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EstaPastaDeTrabalho"/>
  <mc:AlternateContent xmlns:mc="http://schemas.openxmlformats.org/markup-compatibility/2006">
    <mc:Choice Requires="x15">
      <x15ac:absPath xmlns:x15ac="http://schemas.microsoft.com/office/spreadsheetml/2010/11/ac" url="Y:\CONTRATOS\SUPRA\PE311276 - Subscrições Red Hat 2026\Planejamento da Contratação\Pesquisa de Preço\"/>
    </mc:Choice>
  </mc:AlternateContent>
  <xr:revisionPtr revIDLastSave="0" documentId="13_ncr:1_{151498CA-BD5A-4668-BAD0-8379956BE6E7}" xr6:coauthVersionLast="47" xr6:coauthVersionMax="47" xr10:uidLastSave="{00000000-0000-0000-0000-000000000000}"/>
  <bookViews>
    <workbookView xWindow="-108" yWindow="-108" windowWidth="23256" windowHeight="12456" tabRatio="500" firstSheet="1" activeTab="2" xr2:uid="{00000000-000D-0000-FFFF-FFFF00000000}"/>
  </bookViews>
  <sheets>
    <sheet name="IN 65" sheetId="15" r:id="rId1"/>
    <sheet name="Preço Estimado" sheetId="18" r:id="rId2"/>
    <sheet name="Cálculo" sheetId="17" r:id="rId3"/>
    <sheet name="Licenças" sheetId="16" r:id="rId4"/>
  </sheets>
  <externalReferences>
    <externalReference r:id="rId5"/>
    <externalReference r:id="rId6"/>
    <externalReference r:id="rId7"/>
  </externalReferences>
  <definedNames>
    <definedName name="_\d">[1]LTFEM96!$B$426</definedName>
    <definedName name="_\g">[1]LTFEM96!$B$500</definedName>
    <definedName name="_\h">[1]LTFEM96!$B$422</definedName>
    <definedName name="_\m">[1]LTFEM96!$B$430</definedName>
    <definedName name="_\n">'[2]%PIB'!#REF!</definedName>
    <definedName name="_\s">[1]LTFEM96!$B$452</definedName>
    <definedName name="__123Graph_A" hidden="1">[1]LTFEM96!$E$351:$E$372</definedName>
    <definedName name="__123Graph_AGRAPH1" hidden="1">[1]LTFEM96!$D$351:$D$372</definedName>
    <definedName name="__123Graph_AGRAPH2" hidden="1">[1]LTFEM96!$E$351:$E$372</definedName>
    <definedName name="__123Graph_B" hidden="1">[1]LTFEM96!$G$351:$G$372</definedName>
    <definedName name="__123Graph_BGRAPH1" hidden="1">[1]LTFEM96!$F$351:$F$372</definedName>
    <definedName name="__123Graph_BGRAPH2" hidden="1">[1]LTFEM96!$G$351:$G$372</definedName>
    <definedName name="__123Graph_LBL_A" hidden="1">[1]LTFEM96!$H$351:$H$372</definedName>
    <definedName name="__123Graph_LBL_AGRAPH1" hidden="1">[1]LTFEM96!$H$351:$H$372</definedName>
    <definedName name="__123Graph_LBL_AGRAPH2" hidden="1">[1]LTFEM96!$H$351:$H$372</definedName>
    <definedName name="__123Graph_X" hidden="1">[1]LTFEM96!$B$351:$B$372</definedName>
    <definedName name="__123Graph_XGRAPH1" hidden="1">[1]LTFEM96!$C$351:$C$372</definedName>
    <definedName name="__123Graph_XGRAPH2" hidden="1">[1]LTFEM96!$B$351:$B$372</definedName>
    <definedName name="_pag1">#REF!</definedName>
    <definedName name="_pag2">#REF!</definedName>
    <definedName name="_r">#REF!</definedName>
    <definedName name="_xlnm.Print_Area" localSheetId="2">Cálculo!$A$1:$O$166</definedName>
    <definedName name="_xlnm.Print_Area" localSheetId="1">'Preço Estimado'!$A$2:$J$28</definedName>
    <definedName name="_xlnm.Print_Area">[1]LTFEM96!$A$3:$K$144</definedName>
    <definedName name="BEN_ES_RJ_SUL_CO_80">#REF!</definedName>
    <definedName name="CHKPAS">[1]LTFEM96!$B$447</definedName>
    <definedName name="CHKSAVE">[1]LTFEM96!$B$437</definedName>
    <definedName name="cib_cab2">[3]P24!#REF!</definedName>
    <definedName name="CID_CAB">#REF!</definedName>
    <definedName name="CODTERRITORIO">#REF!</definedName>
    <definedName name="D0">#REF!</definedName>
    <definedName name="DICNOMEBL_BLC_UNIC">#REF!</definedName>
    <definedName name="DOC">[1]LTFEM96!$A$151:$H$270</definedName>
    <definedName name="ERR_LOC">[1]LTFEM96!$B$648</definedName>
    <definedName name="ERR_MSG">[1]LTFEM96!$B$528</definedName>
    <definedName name="FG">#REF!</definedName>
    <definedName name="FILENAME">[1]LTFEM96!$B$489</definedName>
    <definedName name="FILTROBL_BLC_UNIC">#REF!</definedName>
    <definedName name="FLOPDIR">[1]LTFEM96!$B$631</definedName>
    <definedName name="FLOPPY">[1]LTFEM96!$B$524</definedName>
    <definedName name="FVDS">#REF!</definedName>
    <definedName name="GETFILE">[1]LTFEM96!$B$463</definedName>
    <definedName name="GRAF">#REF!</definedName>
    <definedName name="GraficoNovo17">#REF!</definedName>
    <definedName name="GRDIR">[1]LTFEM96!$B$518</definedName>
    <definedName name="HELP">[1]LTFEM96!$A$251:$G$270</definedName>
    <definedName name="Ident">"Figura 3"</definedName>
    <definedName name="LTFEMAM80">#REF!</definedName>
    <definedName name="LTMASCAM80">#REF!</definedName>
    <definedName name="MESSAGE">[1]LTFEM96!$A$621</definedName>
    <definedName name="MSG_CELL">[1]LTFEM96!$A$643</definedName>
    <definedName name="NOMEPRODUTO1">#REF!</definedName>
    <definedName name="NOMEPRODUTO2">#REF!</definedName>
    <definedName name="NOMEPRODUTO3">#REF!</definedName>
    <definedName name="NOMEPRODUTO4">#REF!</definedName>
    <definedName name="NOMETERRITORIO">#REF!</definedName>
    <definedName name="NOMETERRITORIOMAIS">#REF!</definedName>
    <definedName name="NOMETERRITORIOTIT">#REF!</definedName>
    <definedName name="NOMETERRITORIOTITMAIS">#REF!</definedName>
    <definedName name="NOMEUNIDADE1">#REF!</definedName>
    <definedName name="NOMEUNIDADE2">#REF!</definedName>
    <definedName name="NOMEUNIDADE3">#REF!</definedName>
    <definedName name="NOMEUNIDADE4">#REF!</definedName>
    <definedName name="NOPAS">[1]LTFEM96!$B$540</definedName>
    <definedName name="NOPAS3">[1]LTFEM96!$B$549</definedName>
    <definedName name="NUMERODEORDEM">#REF!</definedName>
    <definedName name="OLD_MSG">[1]LTFEM96!$A$665</definedName>
    <definedName name="ORDEMTERRITORIO">#REF!</definedName>
    <definedName name="PAS_MSG1">[1]LTFEM96!$A$554</definedName>
    <definedName name="PAS_MSG2">[1]LTFEM96!$A$577</definedName>
    <definedName name="PAS_MSG3">[1]LTFEM96!$A$599</definedName>
    <definedName name="PAUSE">[1]LTFEM96!$B$533</definedName>
    <definedName name="POPBRFILHO_H">#REF!</definedName>
    <definedName name="POPBRFILHO_M">#REF!</definedName>
    <definedName name="POPBRFREQ6">#REF!</definedName>
    <definedName name="POPBRPEA">#REF!</definedName>
    <definedName name="PRINT">[1]LTFEM96!$A$22:$K$144</definedName>
    <definedName name="PRINT_AREA_MI">[1]LTFEM96!$A$3:$K$144</definedName>
    <definedName name="PRINT_TITLES_MI">[1]LTFEM96!$A$1:$IV$2</definedName>
    <definedName name="RESDIR">[1]LTFEM96!$B$488</definedName>
    <definedName name="RESTYPE">[1]LTFEM96!$B$522</definedName>
    <definedName name="REWFD">#REF!</definedName>
    <definedName name="RSVMENU">[1]LTFEM96!$B$458</definedName>
    <definedName name="s">#REF!</definedName>
    <definedName name="SAVE">[1]LTFEM96!$B$485</definedName>
    <definedName name="SAVE_MSG">[1]LTFEM96!$A$687</definedName>
    <definedName name="SAVED">[1]LTFEM96!$B$497</definedName>
    <definedName name="SAVENGO">[1]LTFEM96!$B$442</definedName>
    <definedName name="SPSS">#REF!</definedName>
    <definedName name="TEMP">[1]LTFEM96!$B$538</definedName>
    <definedName name="_xlnm.Print_Titles">[1]LTFEM96!$A$1:$IV$2</definedName>
    <definedName name="TOTORDEMBLC_UNIC">#REF!</definedName>
    <definedName name="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0" i="17" l="1"/>
  <c r="F127" i="17"/>
  <c r="F128" i="17"/>
  <c r="F129" i="17"/>
  <c r="F126" i="17"/>
  <c r="C92" i="17"/>
  <c r="C91" i="17"/>
  <c r="C78" i="17"/>
  <c r="C79" i="17"/>
  <c r="C36" i="17"/>
  <c r="C35" i="17"/>
  <c r="C77" i="17"/>
  <c r="C76" i="17"/>
  <c r="C90" i="17"/>
  <c r="F147" i="17" l="1"/>
  <c r="E147" i="17"/>
  <c r="F146" i="17"/>
  <c r="E146" i="17"/>
  <c r="F145" i="17"/>
  <c r="E145" i="17"/>
  <c r="E144" i="17"/>
  <c r="F144" i="17" s="1"/>
  <c r="C144" i="17"/>
  <c r="F143" i="17"/>
  <c r="E143" i="17"/>
  <c r="F142" i="17"/>
  <c r="E142" i="17"/>
  <c r="F141" i="17"/>
  <c r="E141" i="17"/>
  <c r="C141" i="17"/>
  <c r="F140" i="17"/>
  <c r="E140" i="17"/>
  <c r="F133" i="17"/>
  <c r="F12" i="18" s="1"/>
  <c r="G12" i="18" s="1"/>
  <c r="F132" i="17"/>
  <c r="D12" i="18" s="1"/>
  <c r="E12" i="18" s="1"/>
  <c r="E130" i="17"/>
  <c r="C130" i="17"/>
  <c r="E129" i="17"/>
  <c r="E128" i="17"/>
  <c r="F131" i="17"/>
  <c r="F135" i="17" s="1"/>
  <c r="E127" i="17"/>
  <c r="E126" i="17"/>
  <c r="F118" i="17"/>
  <c r="F116" i="17"/>
  <c r="E116" i="17"/>
  <c r="F115" i="17"/>
  <c r="E115" i="17"/>
  <c r="F114" i="17"/>
  <c r="E114" i="17"/>
  <c r="F113" i="17"/>
  <c r="E113" i="17"/>
  <c r="F108" i="17"/>
  <c r="F107" i="17"/>
  <c r="F106" i="17"/>
  <c r="F105" i="17"/>
  <c r="F102" i="17"/>
  <c r="E102" i="17"/>
  <c r="F101" i="17"/>
  <c r="E101" i="17"/>
  <c r="E92" i="17"/>
  <c r="F92" i="17" s="1"/>
  <c r="E91" i="17"/>
  <c r="F91" i="17" s="1"/>
  <c r="E90" i="17"/>
  <c r="F90" i="17" s="1"/>
  <c r="F89" i="17"/>
  <c r="E89" i="17"/>
  <c r="C89" i="17"/>
  <c r="F88" i="17"/>
  <c r="E88" i="17"/>
  <c r="E79" i="17"/>
  <c r="F79" i="17" s="1"/>
  <c r="E78" i="17"/>
  <c r="F78" i="17" s="1"/>
  <c r="F77" i="17"/>
  <c r="E77" i="17"/>
  <c r="E76" i="17"/>
  <c r="F76" i="17" s="1"/>
  <c r="E75" i="17"/>
  <c r="F75" i="17" s="1"/>
  <c r="C75" i="17"/>
  <c r="F74" i="17"/>
  <c r="E74" i="17"/>
  <c r="F65" i="17"/>
  <c r="E65" i="17"/>
  <c r="F64" i="17"/>
  <c r="E64" i="17"/>
  <c r="F63" i="17"/>
  <c r="E63" i="17"/>
  <c r="C63" i="17"/>
  <c r="F62" i="17"/>
  <c r="E62" i="17"/>
  <c r="F61" i="17"/>
  <c r="E61" i="17"/>
  <c r="F60" i="17"/>
  <c r="E60" i="17"/>
  <c r="F59" i="17"/>
  <c r="E59" i="17"/>
  <c r="F50" i="17"/>
  <c r="E50" i="17"/>
  <c r="F49" i="17"/>
  <c r="E49" i="17"/>
  <c r="C49" i="17"/>
  <c r="F48" i="17"/>
  <c r="E48" i="17"/>
  <c r="F47" i="17"/>
  <c r="F51" i="17" s="1"/>
  <c r="E47" i="17"/>
  <c r="F46" i="17"/>
  <c r="E46" i="17"/>
  <c r="E36" i="17"/>
  <c r="F36" i="17" s="1"/>
  <c r="E35" i="17"/>
  <c r="F35" i="17" s="1"/>
  <c r="F34" i="17"/>
  <c r="E34" i="17"/>
  <c r="C34" i="17"/>
  <c r="F33" i="17"/>
  <c r="E33" i="17"/>
  <c r="F26" i="17"/>
  <c r="F25" i="17"/>
  <c r="F4" i="18" s="1"/>
  <c r="G4" i="18" s="1"/>
  <c r="F22" i="17"/>
  <c r="E22" i="17"/>
  <c r="F21" i="17"/>
  <c r="E21" i="17"/>
  <c r="C21" i="17"/>
  <c r="F20" i="17"/>
  <c r="F23" i="17" s="1"/>
  <c r="E20" i="17"/>
  <c r="F19" i="17"/>
  <c r="E19" i="17"/>
  <c r="F18" i="17"/>
  <c r="E18" i="17"/>
  <c r="F8" i="17"/>
  <c r="E8" i="17"/>
  <c r="F7" i="17"/>
  <c r="E7" i="17"/>
  <c r="F6" i="17"/>
  <c r="E6" i="17"/>
  <c r="E5" i="17"/>
  <c r="F5" i="17" s="1"/>
  <c r="C5" i="17"/>
  <c r="F4" i="17"/>
  <c r="E4" i="17"/>
  <c r="F3" i="17"/>
  <c r="E3" i="17"/>
  <c r="D24" i="18"/>
  <c r="E24" i="18" s="1"/>
  <c r="D10" i="18"/>
  <c r="E10" i="18" s="1"/>
  <c r="M8" i="15"/>
  <c r="M7" i="15"/>
  <c r="L7" i="15"/>
  <c r="K7" i="15"/>
  <c r="J7" i="15"/>
  <c r="M4" i="15"/>
  <c r="L4" i="15"/>
  <c r="K4" i="15"/>
  <c r="J4" i="15"/>
  <c r="F26" i="18" l="1"/>
  <c r="G26" i="18" s="1"/>
  <c r="F93" i="17"/>
  <c r="F96" i="17"/>
  <c r="F94" i="17"/>
  <c r="D9" i="18" s="1"/>
  <c r="E9" i="18" s="1"/>
  <c r="F12" i="17"/>
  <c r="F11" i="17"/>
  <c r="F10" i="17"/>
  <c r="F9" i="17"/>
  <c r="F40" i="17"/>
  <c r="F39" i="17"/>
  <c r="F38" i="17"/>
  <c r="D5" i="18" s="1"/>
  <c r="E5" i="18" s="1"/>
  <c r="F37" i="17"/>
  <c r="F41" i="17" s="1"/>
  <c r="G64" i="17"/>
  <c r="F150" i="17"/>
  <c r="F149" i="17"/>
  <c r="D19" i="18" s="1"/>
  <c r="E19" i="18" s="1"/>
  <c r="F148" i="17"/>
  <c r="F152" i="17" s="1"/>
  <c r="G19" i="17"/>
  <c r="F27" i="17"/>
  <c r="G114" i="17"/>
  <c r="G127" i="17"/>
  <c r="F134" i="17"/>
  <c r="F119" i="17"/>
  <c r="F120" i="17"/>
  <c r="G113" i="17"/>
  <c r="G130" i="17"/>
  <c r="G126" i="17"/>
  <c r="G129" i="17"/>
  <c r="F80" i="17"/>
  <c r="G144" i="17"/>
  <c r="F81" i="17"/>
  <c r="D23" i="18"/>
  <c r="E23" i="18" s="1"/>
  <c r="G20" i="17"/>
  <c r="F82" i="17"/>
  <c r="G128" i="17"/>
  <c r="F54" i="17"/>
  <c r="F53" i="17"/>
  <c r="F52" i="17"/>
  <c r="F69" i="17"/>
  <c r="F83" i="17"/>
  <c r="G22" i="17"/>
  <c r="G18" i="17"/>
  <c r="G21" i="17"/>
  <c r="G48" i="17"/>
  <c r="G102" i="17"/>
  <c r="F24" i="18"/>
  <c r="G24" i="18" s="1"/>
  <c r="G101" i="17"/>
  <c r="F10" i="18"/>
  <c r="G10" i="18" s="1"/>
  <c r="F117" i="17"/>
  <c r="F121" i="17" s="1"/>
  <c r="F151" i="17"/>
  <c r="D25" i="18"/>
  <c r="E25" i="18" s="1"/>
  <c r="D11" i="18"/>
  <c r="E11" i="18" s="1"/>
  <c r="F109" i="17"/>
  <c r="D26" i="18"/>
  <c r="E26" i="18" s="1"/>
  <c r="F24" i="17"/>
  <c r="D4" i="18" s="1"/>
  <c r="E4" i="18" s="1"/>
  <c r="H5" i="18" s="1"/>
  <c r="F68" i="17"/>
  <c r="G62" i="17" s="1"/>
  <c r="F67" i="17"/>
  <c r="F66" i="17"/>
  <c r="F95" i="17"/>
  <c r="G91" i="17" s="1"/>
  <c r="G147" i="17"/>
  <c r="G35" i="17" l="1"/>
  <c r="G75" i="17"/>
  <c r="D6" i="18"/>
  <c r="E6" i="18" s="1"/>
  <c r="D20" i="18"/>
  <c r="E20" i="18" s="1"/>
  <c r="G34" i="17"/>
  <c r="F5" i="18"/>
  <c r="G5" i="18" s="1"/>
  <c r="I5" i="18" s="1"/>
  <c r="G33" i="17"/>
  <c r="F70" i="17"/>
  <c r="G141" i="17"/>
  <c r="F19" i="18"/>
  <c r="G19" i="18" s="1"/>
  <c r="G140" i="17"/>
  <c r="G142" i="17"/>
  <c r="G146" i="17"/>
  <c r="G145" i="17"/>
  <c r="G92" i="17"/>
  <c r="G89" i="17"/>
  <c r="G88" i="17"/>
  <c r="F23" i="18"/>
  <c r="G23" i="18" s="1"/>
  <c r="F9" i="18"/>
  <c r="G9" i="18" s="1"/>
  <c r="F84" i="17"/>
  <c r="G61" i="17"/>
  <c r="F6" i="18"/>
  <c r="G6" i="18" s="1"/>
  <c r="G46" i="17"/>
  <c r="G50" i="17"/>
  <c r="F20" i="18"/>
  <c r="G20" i="18" s="1"/>
  <c r="G49" i="17"/>
  <c r="D21" i="18"/>
  <c r="E21" i="18" s="1"/>
  <c r="D7" i="18"/>
  <c r="E7" i="18" s="1"/>
  <c r="G47" i="17"/>
  <c r="G143" i="17"/>
  <c r="F13" i="17"/>
  <c r="D22" i="18"/>
  <c r="E22" i="18" s="1"/>
  <c r="D8" i="18"/>
  <c r="E8" i="18" s="1"/>
  <c r="D3" i="18"/>
  <c r="E3" i="18" s="1"/>
  <c r="D18" i="18"/>
  <c r="E18" i="18" s="1"/>
  <c r="G36" i="17"/>
  <c r="G7" i="17"/>
  <c r="G3" i="17"/>
  <c r="F18" i="18"/>
  <c r="G18" i="18" s="1"/>
  <c r="G4" i="17"/>
  <c r="G8" i="17"/>
  <c r="F3" i="18"/>
  <c r="G3" i="18" s="1"/>
  <c r="G6" i="17"/>
  <c r="F97" i="17"/>
  <c r="G59" i="17"/>
  <c r="F21" i="18"/>
  <c r="G21" i="18" s="1"/>
  <c r="G65" i="17"/>
  <c r="G60" i="17"/>
  <c r="F7" i="18"/>
  <c r="G7" i="18" s="1"/>
  <c r="G63" i="17"/>
  <c r="F22" i="18"/>
  <c r="G22" i="18" s="1"/>
  <c r="G79" i="17"/>
  <c r="G76" i="17"/>
  <c r="F8" i="18"/>
  <c r="G8" i="18" s="1"/>
  <c r="G74" i="17"/>
  <c r="G115" i="17"/>
  <c r="F25" i="18"/>
  <c r="G25" i="18" s="1"/>
  <c r="F11" i="18"/>
  <c r="G11" i="18" s="1"/>
  <c r="G116" i="17"/>
  <c r="G5" i="17"/>
  <c r="G78" i="17"/>
  <c r="G90" i="17"/>
  <c r="G77" i="17"/>
  <c r="F55" i="17"/>
  <c r="E27" i="18" l="1"/>
  <c r="E13" i="18"/>
  <c r="G13" i="18"/>
  <c r="G27" i="18"/>
</calcChain>
</file>

<file path=xl/sharedStrings.xml><?xml version="1.0" encoding="utf-8"?>
<sst xmlns="http://schemas.openxmlformats.org/spreadsheetml/2006/main" count="401" uniqueCount="119">
  <si>
    <t>DESCRIÇÃO</t>
  </si>
  <si>
    <t>QUANT.</t>
  </si>
  <si>
    <t>UNID</t>
  </si>
  <si>
    <t>PARÂMETRO II</t>
  </si>
  <si>
    <t>PARÂMETRO IV</t>
  </si>
  <si>
    <t>Média</t>
  </si>
  <si>
    <t>Mediana</t>
  </si>
  <si>
    <t>CV</t>
  </si>
  <si>
    <t>Preço Estimado</t>
  </si>
  <si>
    <t>BACEN</t>
  </si>
  <si>
    <t>SSP-SP</t>
  </si>
  <si>
    <t>SEFAZ-SC</t>
  </si>
  <si>
    <t>INPI</t>
  </si>
  <si>
    <t>UNICAMP</t>
  </si>
  <si>
    <t>COMPWIRE</t>
  </si>
  <si>
    <t xml:space="preserve"> Solução de Armazenamento de dados</t>
  </si>
  <si>
    <t>Unid</t>
  </si>
  <si>
    <t>-</t>
  </si>
  <si>
    <t xml:space="preserve"> Serviços de instalação e configuração</t>
  </si>
  <si>
    <t>Serviço de garantia</t>
  </si>
  <si>
    <t>Meses</t>
  </si>
  <si>
    <t>Serviço de Treinamento</t>
  </si>
  <si>
    <t>Turma</t>
  </si>
  <si>
    <t>TOTAL ESTIMADO</t>
  </si>
  <si>
    <t>* Valores referentes ao resultado da projeção dos custos unitários aferidos com a quantidade do objeto pretendido pelo BCB.</t>
  </si>
  <si>
    <t>Menor Valor</t>
  </si>
  <si>
    <t>SKU</t>
  </si>
  <si>
    <t>Nome do Produto</t>
  </si>
  <si>
    <t>QTD</t>
  </si>
  <si>
    <t>Preço Unitário</t>
  </si>
  <si>
    <t>Total Estimado</t>
  </si>
  <si>
    <t>RH00006F3</t>
  </si>
  <si>
    <t>Red Hat Enterprise Linux for Virtual Datacenters with Satellite, Premium</t>
  </si>
  <si>
    <t>MCT2735F3</t>
  </si>
  <si>
    <t>Red Hat OpenShift Container Platform Premium (2 Cores or 4 vCPUs)</t>
  </si>
  <si>
    <t>MW01659F3</t>
  </si>
  <si>
    <t>Red Hat Advanced Cluster Security for Kubernetes, Premium (2 Cores or 4 VCPUs)</t>
  </si>
  <si>
    <t>RH00008F3</t>
  </si>
  <si>
    <t>Red Hat Enterprise Linux Server with Smart Management, Premium (Physical or Virtual Nodes)</t>
  </si>
  <si>
    <t>MCT3694F3</t>
  </si>
  <si>
    <t>Red Hat Ansible Automation Platform, Premium (100 Managed Nodes)</t>
  </si>
  <si>
    <t>MW2300282F3</t>
  </si>
  <si>
    <t>Red Hat AMQ, Premium (16 Cores)</t>
  </si>
  <si>
    <t>MW2399076F3</t>
  </si>
  <si>
    <t>Red Hat AMQ, Premium (64 Cores)</t>
  </si>
  <si>
    <t>MCT1350</t>
  </si>
  <si>
    <r>
      <t xml:space="preserve">Technical Account Management Services for Red Hat Platforms (1 visita por semana)  </t>
    </r>
    <r>
      <rPr>
        <i/>
        <sz val="10"/>
        <color theme="1"/>
        <rFont val="Arial"/>
        <charset val="134"/>
      </rPr>
      <t>Middleware</t>
    </r>
  </si>
  <si>
    <t>GPS-SC</t>
  </si>
  <si>
    <r>
      <t xml:space="preserve">Dedicated Engineer (5 visitas por semana) </t>
    </r>
    <r>
      <rPr>
        <i/>
        <sz val="10"/>
        <color theme="1"/>
        <rFont val="Arial"/>
        <charset val="134"/>
      </rPr>
      <t>OpenShift</t>
    </r>
  </si>
  <si>
    <t>LS120</t>
  </si>
  <si>
    <t>Red Hat Learning Subscription Basic (Acesso Pessoal por 1 ano)</t>
  </si>
  <si>
    <t>CUSTO TOTAL</t>
  </si>
  <si>
    <t>MW01621F3</t>
  </si>
  <si>
    <t>Red Hat OpenShift Container Platform PLUS Premium (2 Cores or 4 vCPUs)</t>
  </si>
  <si>
    <t xml:space="preserve">1.1 - RH00006 - Red Hat Enterprise Linux for Virtual Datacenters with Satellite, Premium </t>
  </si>
  <si>
    <t>Parâmetro - Fonte</t>
  </si>
  <si>
    <t>Custo Total</t>
  </si>
  <si>
    <t>Preço Mensal</t>
  </si>
  <si>
    <t>Estimado (36 meses)</t>
  </si>
  <si>
    <t>Z- Score (Abs.)</t>
  </si>
  <si>
    <t>Análise</t>
  </si>
  <si>
    <t>Data</t>
  </si>
  <si>
    <t>III - PMC-TIC</t>
  </si>
  <si>
    <t>Válido</t>
  </si>
  <si>
    <t>II - PF</t>
  </si>
  <si>
    <t>II - PRODESP</t>
  </si>
  <si>
    <t>II - TJ-SP</t>
  </si>
  <si>
    <t>II - TRF5</t>
  </si>
  <si>
    <t>II - PREF RJ</t>
  </si>
  <si>
    <t xml:space="preserve"> 14/08/2025</t>
  </si>
  <si>
    <t>Desvio padrão</t>
  </si>
  <si>
    <t>Coeficiente de variação</t>
  </si>
  <si>
    <t>1.2 - MCT2735 - Red Hat OpenShift Container Platform Premium (2 Cores or 4 vCPUs)</t>
  </si>
  <si>
    <t>II - DPE-RO</t>
  </si>
  <si>
    <t>II - PRODERJ</t>
  </si>
  <si>
    <t>II - TRE-MT</t>
  </si>
  <si>
    <t>1.3 -  MW01659 - Red Hat Advanced Cluster Security for Kubernetes, Premium (2 Cores or 4 VCPUs)</t>
  </si>
  <si>
    <t>III - CDW</t>
  </si>
  <si>
    <t>III - BLITZHANDEL</t>
  </si>
  <si>
    <t>1.4 -  RH00008 - Red Hat Enterprise Linux Server with Smart Management, Premium (Physical or Virtual Nodes)</t>
  </si>
  <si>
    <t>II - MPE-SP</t>
  </si>
  <si>
    <t>1.5 - MCT3694 - Red Hat Ansible Automation Platform, Premium (100 Managed Nodes)</t>
  </si>
  <si>
    <t>II - DETRAN-DF</t>
  </si>
  <si>
    <t>II - INEP</t>
  </si>
  <si>
    <t xml:space="preserve"> 29/12/2025</t>
  </si>
  <si>
    <t>1.6 - MW2300282 - Red Hat AMQ, Premium (16 Cores)</t>
  </si>
  <si>
    <t>III - SENETIC</t>
  </si>
  <si>
    <t>III - BOTTON LINE</t>
  </si>
  <si>
    <t>1.7 - MW2399076 - Red Hat AMQ, Premium (64 Cores)</t>
  </si>
  <si>
    <t>III - INSIGHT</t>
  </si>
  <si>
    <t>1.8 - MCT1350 - Technical Account Management Services for Red Hat Platforms (1 visita por semana)  Middleware</t>
  </si>
  <si>
    <t xml:space="preserve">II - INEP </t>
  </si>
  <si>
    <t>Exc. Elevado (1ª iteração)</t>
  </si>
  <si>
    <t>Inexequível (2ª iteração)</t>
  </si>
  <si>
    <t>1.9 - Dedicated Engineer (5 visitas por semana) OpenShift - GPS-SC</t>
  </si>
  <si>
    <t>Estimado (12 meses)</t>
  </si>
  <si>
    <t>Red Hat OpenShift Platform Plus, Premium (2 Cores or 4 vCPU) MW01621</t>
  </si>
  <si>
    <t>II - MPE-MS</t>
  </si>
  <si>
    <t>COD PMC-TIC</t>
  </si>
  <si>
    <t>RH7.0-158</t>
  </si>
  <si>
    <t>Red Hat Enterprise Linux for Virtual Datacenters, Premium</t>
  </si>
  <si>
    <t>RH7.0-104</t>
  </si>
  <si>
    <t>RH7.0-001</t>
  </si>
  <si>
    <t>RH7.0-160</t>
  </si>
  <si>
    <t>RH7.0-010</t>
  </si>
  <si>
    <t>RH7.0-084</t>
  </si>
  <si>
    <t>RH7.0-086</t>
  </si>
  <si>
    <t>SVADD001</t>
  </si>
  <si>
    <t>RH7.0-291</t>
  </si>
  <si>
    <t>RH7.0-290</t>
  </si>
  <si>
    <t>RH7.0-292</t>
  </si>
  <si>
    <t>MW01621</t>
  </si>
  <si>
    <t>RH7.0-117</t>
  </si>
  <si>
    <t xml:space="preserve">Red Hat OpenShift Platform Plus, Premium (2 Cores or 4 vCPU) </t>
  </si>
  <si>
    <t>US DOLAR - PTAX (09/06/26)</t>
  </si>
  <si>
    <t>EURO - PTAX (09/06/26)</t>
  </si>
  <si>
    <t xml:space="preserve">Red Hat Learning Subscription Basic </t>
  </si>
  <si>
    <t>Red Hat Learning Subscription Basic</t>
  </si>
  <si>
    <t>1.10 - Red Hat Learning Subscription Basic - LS120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</si>
</sst>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#.00_ "/>
    <numFmt numFmtId="165" formatCode="_-* #,##0.0000000_-;\-* #,##0.0000000_-;_-* &quot;-&quot;??_-;_-@_-"/>
    <numFmt numFmtId="166" formatCode="_-&quot;R$ &quot;* #,##0.00_-;&quot;-R$ &quot;* #,##0.00_-;_-&quot;R$ &quot;* \-??_-;_-@_-"/>
  </numFmts>
  <fonts count="22">
    <font>
      <sz val="11"/>
      <color theme="1"/>
      <name val="Aptos Narrow"/>
      <charset val="1"/>
    </font>
    <font>
      <sz val="10"/>
      <color theme="1"/>
      <name val="Arial"/>
      <charset val="1"/>
    </font>
    <font>
      <b/>
      <sz val="10"/>
      <color theme="1"/>
      <name val="Arial"/>
      <charset val="134"/>
    </font>
    <font>
      <sz val="10"/>
      <color theme="1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b/>
      <sz val="10"/>
      <color rgb="FF000000"/>
      <name val="Arial"/>
      <charset val="134"/>
    </font>
    <font>
      <b/>
      <sz val="10"/>
      <color rgb="FFFF0000"/>
      <name val="Arial"/>
      <charset val="134"/>
    </font>
    <font>
      <b/>
      <sz val="10"/>
      <color rgb="FF0070C0"/>
      <name val="Arial"/>
      <charset val="134"/>
    </font>
    <font>
      <sz val="10"/>
      <color rgb="FFFF0000"/>
      <name val="Arial"/>
      <charset val="1"/>
    </font>
    <font>
      <sz val="10"/>
      <color rgb="FF0070C0"/>
      <name val="Arial"/>
      <charset val="1"/>
    </font>
    <font>
      <sz val="10"/>
      <color theme="1"/>
      <name val="Aptos Narrow"/>
      <charset val="1"/>
    </font>
    <font>
      <b/>
      <sz val="10"/>
      <color theme="1"/>
      <name val="Aptos Narrow"/>
      <charset val="134"/>
    </font>
    <font>
      <sz val="10"/>
      <color theme="1"/>
      <name val="Aptos Narrow"/>
      <charset val="134"/>
      <scheme val="minor"/>
    </font>
    <font>
      <sz val="11"/>
      <name val="Aptos Narrow"/>
      <charset val="134"/>
    </font>
    <font>
      <b/>
      <sz val="10"/>
      <color theme="1"/>
      <name val="Aptos Narrow"/>
      <charset val="134"/>
      <scheme val="minor"/>
    </font>
    <font>
      <sz val="11"/>
      <color theme="1"/>
      <name val="Aptos Narrow"/>
      <charset val="134"/>
      <scheme val="minor"/>
    </font>
    <font>
      <i/>
      <sz val="10"/>
      <color theme="1"/>
      <name val="Arial"/>
      <charset val="134"/>
    </font>
    <font>
      <sz val="11"/>
      <color theme="1"/>
      <name val="Aptos Narrow"/>
      <charset val="1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49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37437055574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44" fontId="16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" fillId="0" borderId="0" applyBorder="0" applyAlignment="0" applyProtection="0"/>
    <xf numFmtId="0" fontId="3" fillId="0" borderId="0"/>
    <xf numFmtId="9" fontId="16" fillId="0" borderId="0" applyFont="0" applyFill="0" applyBorder="0" applyAlignment="0" applyProtection="0"/>
    <xf numFmtId="0" fontId="16" fillId="0" borderId="0"/>
    <xf numFmtId="0" fontId="5" fillId="0" borderId="0"/>
    <xf numFmtId="9" fontId="3" fillId="0" borderId="0" applyFont="0" applyFill="0" applyBorder="0" applyAlignment="0" applyProtection="0"/>
    <xf numFmtId="9" fontId="5" fillId="0" borderId="0" applyBorder="0" applyAlignment="0" applyProtection="0"/>
    <xf numFmtId="9" fontId="5" fillId="0" borderId="0" applyBorder="0" applyAlignment="0" applyProtection="0"/>
    <xf numFmtId="166" fontId="18" fillId="0" borderId="0" applyBorder="0" applyProtection="0"/>
  </cellStyleXfs>
  <cellXfs count="9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3" fillId="0" borderId="0" xfId="0" applyFont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wrapText="1"/>
    </xf>
    <xf numFmtId="166" fontId="5" fillId="3" borderId="1" xfId="12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wrapText="1"/>
    </xf>
    <xf numFmtId="44" fontId="3" fillId="3" borderId="1" xfId="0" applyNumberFormat="1" applyFont="1" applyFill="1" applyBorder="1" applyAlignment="1">
      <alignment wrapText="1"/>
    </xf>
    <xf numFmtId="165" fontId="5" fillId="3" borderId="1" xfId="3" applyNumberFormat="1" applyFont="1" applyFill="1" applyBorder="1"/>
    <xf numFmtId="14" fontId="5" fillId="0" borderId="1" xfId="0" applyNumberFormat="1" applyFont="1" applyBorder="1" applyAlignment="1">
      <alignment horizontal="center"/>
    </xf>
    <xf numFmtId="44" fontId="4" fillId="0" borderId="1" xfId="0" applyNumberFormat="1" applyFont="1" applyBorder="1" applyAlignment="1">
      <alignment wrapText="1"/>
    </xf>
    <xf numFmtId="44" fontId="4" fillId="4" borderId="1" xfId="0" applyNumberFormat="1" applyFont="1" applyFill="1" applyBorder="1" applyAlignment="1">
      <alignment wrapText="1"/>
    </xf>
    <xf numFmtId="10" fontId="4" fillId="0" borderId="1" xfId="11" applyNumberFormat="1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164" fontId="5" fillId="3" borderId="1" xfId="12" applyNumberFormat="1" applyFont="1" applyFill="1" applyBorder="1" applyAlignment="1">
      <alignment wrapText="1"/>
    </xf>
    <xf numFmtId="4" fontId="3" fillId="3" borderId="0" xfId="0" applyNumberFormat="1" applyFont="1" applyFill="1"/>
    <xf numFmtId="0" fontId="3" fillId="0" borderId="0" xfId="5"/>
    <xf numFmtId="0" fontId="2" fillId="0" borderId="6" xfId="5" applyFont="1" applyBorder="1" applyAlignment="1">
      <alignment horizontal="center"/>
    </xf>
    <xf numFmtId="0" fontId="2" fillId="0" borderId="5" xfId="5" applyFont="1" applyBorder="1" applyAlignment="1">
      <alignment horizontal="center"/>
    </xf>
    <xf numFmtId="0" fontId="2" fillId="0" borderId="1" xfId="5" applyFont="1" applyBorder="1" applyAlignment="1">
      <alignment horizontal="center"/>
    </xf>
    <xf numFmtId="0" fontId="3" fillId="0" borderId="7" xfId="5" applyBorder="1"/>
    <xf numFmtId="0" fontId="3" fillId="0" borderId="1" xfId="5" applyBorder="1"/>
    <xf numFmtId="44" fontId="1" fillId="3" borderId="1" xfId="2" applyFont="1" applyFill="1" applyBorder="1"/>
    <xf numFmtId="0" fontId="3" fillId="3" borderId="1" xfId="5" applyFill="1" applyBorder="1"/>
    <xf numFmtId="44" fontId="1" fillId="0" borderId="1" xfId="2" applyFont="1" applyBorder="1"/>
    <xf numFmtId="0" fontId="5" fillId="3" borderId="1" xfId="5" applyFont="1" applyFill="1" applyBorder="1"/>
    <xf numFmtId="0" fontId="3" fillId="3" borderId="8" xfId="5" applyFill="1" applyBorder="1"/>
    <xf numFmtId="44" fontId="1" fillId="3" borderId="8" xfId="2" applyFont="1" applyFill="1" applyBorder="1"/>
    <xf numFmtId="0" fontId="3" fillId="3" borderId="0" xfId="5" applyFill="1"/>
    <xf numFmtId="0" fontId="2" fillId="0" borderId="0" xfId="5" applyFont="1" applyAlignment="1">
      <alignment horizontal="center"/>
    </xf>
    <xf numFmtId="44" fontId="3" fillId="0" borderId="1" xfId="5" applyNumberFormat="1" applyBorder="1"/>
    <xf numFmtId="0" fontId="3" fillId="5" borderId="1" xfId="5" applyFill="1" applyBorder="1"/>
    <xf numFmtId="0" fontId="3" fillId="0" borderId="8" xfId="5" applyBorder="1"/>
    <xf numFmtId="44" fontId="3" fillId="3" borderId="8" xfId="5" applyNumberFormat="1" applyFill="1" applyBorder="1"/>
    <xf numFmtId="44" fontId="9" fillId="0" borderId="1" xfId="2" applyFont="1" applyBorder="1"/>
    <xf numFmtId="44" fontId="10" fillId="0" borderId="1" xfId="2" applyFont="1" applyBorder="1"/>
    <xf numFmtId="44" fontId="7" fillId="0" borderId="5" xfId="5" applyNumberFormat="1" applyFont="1" applyBorder="1"/>
    <xf numFmtId="44" fontId="8" fillId="0" borderId="1" xfId="5" applyNumberFormat="1" applyFont="1" applyBorder="1"/>
    <xf numFmtId="44" fontId="2" fillId="0" borderId="0" xfId="5" applyNumberFormat="1" applyFont="1"/>
    <xf numFmtId="0" fontId="11" fillId="3" borderId="0" xfId="0" applyFont="1" applyFill="1" applyAlignment="1">
      <alignment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44" fontId="13" fillId="3" borderId="1" xfId="1" applyFont="1" applyFill="1" applyBorder="1" applyAlignment="1">
      <alignment vertical="center"/>
    </xf>
    <xf numFmtId="166" fontId="14" fillId="3" borderId="1" xfId="12" applyFont="1" applyFill="1" applyBorder="1" applyAlignment="1">
      <alignment wrapText="1"/>
    </xf>
    <xf numFmtId="0" fontId="12" fillId="6" borderId="5" xfId="0" applyFont="1" applyFill="1" applyBorder="1" applyAlignment="1">
      <alignment horizontal="center" vertical="center" wrapText="1"/>
    </xf>
    <xf numFmtId="44" fontId="13" fillId="3" borderId="1" xfId="1" applyFont="1" applyFill="1" applyBorder="1" applyAlignment="1">
      <alignment horizontal="center" vertical="center"/>
    </xf>
    <xf numFmtId="44" fontId="15" fillId="3" borderId="1" xfId="1" applyFont="1" applyFill="1" applyBorder="1" applyAlignment="1">
      <alignment horizontal="center" vertical="center"/>
    </xf>
    <xf numFmtId="10" fontId="3" fillId="3" borderId="1" xfId="10" applyNumberFormat="1" applyFont="1" applyFill="1" applyBorder="1" applyAlignment="1">
      <alignment horizontal="center" vertical="center"/>
    </xf>
    <xf numFmtId="166" fontId="12" fillId="3" borderId="1" xfId="12" applyFont="1" applyFill="1" applyBorder="1" applyAlignment="1">
      <alignment horizontal="center" vertical="center"/>
    </xf>
    <xf numFmtId="164" fontId="10" fillId="3" borderId="12" xfId="0" applyNumberFormat="1" applyFont="1" applyFill="1" applyBorder="1"/>
    <xf numFmtId="164" fontId="10" fillId="3" borderId="14" xfId="0" applyNumberFormat="1" applyFont="1" applyFill="1" applyBorder="1"/>
    <xf numFmtId="0" fontId="19" fillId="0" borderId="0" xfId="5" applyFont="1" applyAlignment="1">
      <alignment horizontal="center"/>
    </xf>
    <xf numFmtId="0" fontId="1" fillId="5" borderId="1" xfId="0" applyFont="1" applyFill="1" applyBorder="1"/>
    <xf numFmtId="44" fontId="3" fillId="0" borderId="0" xfId="5" applyNumberFormat="1"/>
    <xf numFmtId="0" fontId="2" fillId="3" borderId="6" xfId="5" applyFont="1" applyFill="1" applyBorder="1" applyAlignment="1">
      <alignment horizontal="center"/>
    </xf>
    <xf numFmtId="0" fontId="7" fillId="0" borderId="1" xfId="5" applyFont="1" applyBorder="1" applyAlignment="1">
      <alignment horizontal="center"/>
    </xf>
    <xf numFmtId="0" fontId="8" fillId="0" borderId="1" xfId="5" applyFont="1" applyBorder="1" applyAlignment="1">
      <alignment horizontal="center"/>
    </xf>
    <xf numFmtId="0" fontId="20" fillId="0" borderId="1" xfId="5" applyFont="1" applyBorder="1" applyAlignment="1">
      <alignment horizontal="center"/>
    </xf>
    <xf numFmtId="0" fontId="21" fillId="0" borderId="1" xfId="5" applyFont="1" applyBorder="1" applyAlignment="1">
      <alignment horizontal="center"/>
    </xf>
    <xf numFmtId="0" fontId="11" fillId="3" borderId="4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vertical="center" wrapText="1"/>
    </xf>
    <xf numFmtId="0" fontId="12" fillId="6" borderId="1" xfId="0" applyFont="1" applyFill="1" applyBorder="1" applyAlignment="1">
      <alignment horizontal="center" vertical="center" wrapText="1"/>
    </xf>
    <xf numFmtId="44" fontId="15" fillId="3" borderId="1" xfId="1" applyFont="1" applyFill="1" applyBorder="1" applyAlignment="1">
      <alignment horizontal="center" vertical="center"/>
    </xf>
    <xf numFmtId="44" fontId="13" fillId="3" borderId="1" xfId="1" applyFont="1" applyFill="1" applyBorder="1" applyAlignment="1">
      <alignment horizontal="center" vertical="center"/>
    </xf>
    <xf numFmtId="10" fontId="5" fillId="3" borderId="1" xfId="11" applyNumberForma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44" fontId="15" fillId="3" borderId="8" xfId="1" applyFont="1" applyFill="1" applyBorder="1" applyAlignment="1">
      <alignment horizontal="center" vertical="center"/>
    </xf>
    <xf numFmtId="44" fontId="15" fillId="3" borderId="10" xfId="1" applyFont="1" applyFill="1" applyBorder="1" applyAlignment="1">
      <alignment horizontal="center" vertical="center"/>
    </xf>
    <xf numFmtId="44" fontId="15" fillId="3" borderId="7" xfId="1" applyFont="1" applyFill="1" applyBorder="1" applyAlignment="1">
      <alignment horizontal="center" vertical="center"/>
    </xf>
    <xf numFmtId="0" fontId="10" fillId="3" borderId="11" xfId="0" applyFont="1" applyFill="1" applyBorder="1"/>
    <xf numFmtId="0" fontId="10" fillId="3" borderId="9" xfId="0" applyFont="1" applyFill="1" applyBorder="1"/>
    <xf numFmtId="0" fontId="10" fillId="3" borderId="13" xfId="0" applyFont="1" applyFill="1" applyBorder="1"/>
    <xf numFmtId="0" fontId="10" fillId="3" borderId="2" xfId="0" applyFont="1" applyFill="1" applyBorder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vertical="center" wrapText="1"/>
    </xf>
  </cellXfs>
  <cellStyles count="13">
    <cellStyle name="Moeda" xfId="12" builtinId="4"/>
    <cellStyle name="Moeda 2" xfId="1" xr:uid="{00000000-0005-0000-0000-000001000000}"/>
    <cellStyle name="Moeda 3" xfId="2" xr:uid="{00000000-0005-0000-0000-000002000000}"/>
    <cellStyle name="Normal" xfId="0" builtinId="0"/>
    <cellStyle name="Normal 2" xfId="8" xr:uid="{00000000-0005-0000-0000-00002C000000}"/>
    <cellStyle name="Normal 3" xfId="7" xr:uid="{00000000-0005-0000-0000-00002A000000}"/>
    <cellStyle name="Normal 4" xfId="5" xr:uid="{00000000-0005-0000-0000-000023000000}"/>
    <cellStyle name="Porcentagem" xfId="11" builtinId="5"/>
    <cellStyle name="Porcentagem 2" xfId="6" xr:uid="{00000000-0005-0000-0000-000027000000}"/>
    <cellStyle name="Porcentagem 2 2" xfId="10" xr:uid="{00000000-0005-0000-0000-000034000000}"/>
    <cellStyle name="Porcentagem 3" xfId="9" xr:uid="{00000000-0005-0000-0000-00002F000000}"/>
    <cellStyle name="Vírgula 2" xfId="3" xr:uid="{00000000-0005-0000-0000-000003000000}"/>
    <cellStyle name="Vírgula 3" xfId="4" xr:uid="{00000000-0005-0000-0000-000004000000}"/>
  </cellStyles>
  <dxfs count="5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  <dxf>
      <font>
        <b/>
        <i val="0"/>
      </font>
      <fill>
        <patternFill patternType="solid">
          <bgColor rgb="FFACE4F9"/>
        </patternFill>
      </fill>
    </dxf>
    <dxf>
      <fill>
        <patternFill patternType="solid">
          <bgColor rgb="FFFCF49D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9ECE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D848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69B97"/>
      <color rgb="FFACE4F9"/>
      <color rgb="FFC0E499"/>
      <color rgb="FFFCF4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TFEM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vi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f_graficos_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TFEM96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%PIB"/>
      <sheetName val="Gráf22"/>
      <sheetName val="Plan22"/>
      <sheetName val="Gráf20 (2)"/>
      <sheetName val="Plan20 (2)"/>
      <sheetName val="Gráf19"/>
      <sheetName val="Plan19"/>
      <sheetName val="Gráf20"/>
      <sheetName val="Plan20"/>
      <sheetName val="Gráf11"/>
      <sheetName val="Plan11"/>
      <sheetName val="Gráf4"/>
      <sheetName val="Plan4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1"/>
      <sheetName val="P1"/>
      <sheetName val="G2"/>
      <sheetName val="P2"/>
      <sheetName val="G3"/>
      <sheetName val="P3"/>
      <sheetName val="G4"/>
      <sheetName val="P4"/>
      <sheetName val="G5"/>
      <sheetName val="P5"/>
      <sheetName val="G6"/>
      <sheetName val="P6"/>
      <sheetName val="G7"/>
      <sheetName val="P7"/>
      <sheetName val="G8"/>
      <sheetName val="P8"/>
      <sheetName val="G9"/>
      <sheetName val="P9"/>
      <sheetName val="G10"/>
      <sheetName val="P10"/>
      <sheetName val="G11_1"/>
      <sheetName val="P11_1"/>
      <sheetName val="G11_2"/>
      <sheetName val="P11_2"/>
      <sheetName val="G12 (2)"/>
      <sheetName val="G12"/>
      <sheetName val="P12"/>
      <sheetName val="G13"/>
      <sheetName val="P13"/>
      <sheetName val="G14"/>
      <sheetName val="P14"/>
      <sheetName val="P15"/>
      <sheetName val="G16"/>
      <sheetName val="P16"/>
      <sheetName val="G17"/>
      <sheetName val="P17"/>
      <sheetName val="G18"/>
      <sheetName val="P18"/>
      <sheetName val="G19"/>
      <sheetName val="G20"/>
      <sheetName val="P19_20"/>
      <sheetName val="G21"/>
      <sheetName val="G22"/>
      <sheetName val="P21_22"/>
      <sheetName val="G23"/>
      <sheetName val="G23_2"/>
      <sheetName val="P23"/>
      <sheetName val="G24"/>
      <sheetName val="P24"/>
      <sheetName val="G25"/>
      <sheetName val="P25"/>
      <sheetName val="G26"/>
      <sheetName val="P26"/>
      <sheetName val="G27"/>
      <sheetName val="P27"/>
      <sheetName val="G28"/>
      <sheetName val="P28"/>
      <sheetName val="G29"/>
      <sheetName val="P29"/>
      <sheetName val="G30"/>
      <sheetName val="P30"/>
      <sheetName val="Tab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</a:majorFont>
      <a:minorFont>
        <a:latin typeface="Aptos Narrow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M9"/>
  <sheetViews>
    <sheetView workbookViewId="0">
      <pane xSplit="1" topLeftCell="B1" activePane="topRight" state="frozen"/>
      <selection pane="topRight" activeCell="F15" sqref="F15"/>
    </sheetView>
  </sheetViews>
  <sheetFormatPr defaultColWidth="8.5546875" defaultRowHeight="15" customHeight="1"/>
  <cols>
    <col min="1" max="1" width="30.33203125" style="45" customWidth="1"/>
    <col min="2" max="2" width="6.88671875" style="45" customWidth="1"/>
    <col min="3" max="3" width="5.6640625" style="45" customWidth="1"/>
    <col min="4" max="5" width="15.88671875" style="45" customWidth="1"/>
    <col min="6" max="6" width="17.33203125" style="45" customWidth="1"/>
    <col min="7" max="7" width="15.88671875" style="45" customWidth="1"/>
    <col min="8" max="9" width="16.6640625" style="45" customWidth="1"/>
    <col min="10" max="11" width="15.88671875" style="45" customWidth="1"/>
    <col min="12" max="12" width="7.44140625" style="45" customWidth="1"/>
    <col min="13" max="13" width="16.33203125" style="45" customWidth="1"/>
    <col min="14" max="16384" width="8.5546875" style="45"/>
  </cols>
  <sheetData>
    <row r="1" spans="1:13" ht="1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3" ht="15" customHeight="1">
      <c r="A2" s="72" t="s">
        <v>0</v>
      </c>
      <c r="B2" s="72" t="s">
        <v>1</v>
      </c>
      <c r="C2" s="72" t="s">
        <v>2</v>
      </c>
      <c r="D2" s="67" t="s">
        <v>3</v>
      </c>
      <c r="E2" s="67"/>
      <c r="F2" s="67"/>
      <c r="G2" s="67"/>
      <c r="H2" s="68"/>
      <c r="I2" s="51" t="s">
        <v>4</v>
      </c>
      <c r="J2" s="72" t="s">
        <v>5</v>
      </c>
      <c r="K2" s="72" t="s">
        <v>6</v>
      </c>
      <c r="L2" s="72" t="s">
        <v>7</v>
      </c>
      <c r="M2" s="76" t="s">
        <v>8</v>
      </c>
    </row>
    <row r="3" spans="1:13" ht="13.8">
      <c r="A3" s="72"/>
      <c r="B3" s="72"/>
      <c r="C3" s="72"/>
      <c r="D3" s="46" t="s">
        <v>9</v>
      </c>
      <c r="E3" s="46" t="s">
        <v>10</v>
      </c>
      <c r="F3" s="46" t="s">
        <v>11</v>
      </c>
      <c r="G3" s="46" t="s">
        <v>12</v>
      </c>
      <c r="H3" s="46" t="s">
        <v>13</v>
      </c>
      <c r="I3" s="46" t="s">
        <v>14</v>
      </c>
      <c r="J3" s="72"/>
      <c r="K3" s="72"/>
      <c r="L3" s="72"/>
      <c r="M3" s="77"/>
    </row>
    <row r="4" spans="1:13" ht="13.8">
      <c r="A4" s="47" t="s">
        <v>15</v>
      </c>
      <c r="B4" s="48">
        <v>11</v>
      </c>
      <c r="C4" s="48" t="s">
        <v>16</v>
      </c>
      <c r="D4" s="49">
        <v>8419388.3925000001</v>
      </c>
      <c r="E4" s="49">
        <v>11109695.3125</v>
      </c>
      <c r="F4" s="49">
        <v>12382895.5876814</v>
      </c>
      <c r="G4" s="49">
        <v>14397635.347139999</v>
      </c>
      <c r="H4" s="49" t="s">
        <v>17</v>
      </c>
      <c r="I4" s="49" t="s">
        <v>17</v>
      </c>
      <c r="J4" s="73">
        <f>AVERAGE(D4:H4)</f>
        <v>11577403.659955349</v>
      </c>
      <c r="K4" s="74">
        <f>MEDIAN(D4:H4)</f>
        <v>11746295.450090699</v>
      </c>
      <c r="L4" s="75">
        <f>_xlfn.STDEV.S(D4:H6)/J4</f>
        <v>0.21619302835030532</v>
      </c>
      <c r="M4" s="78">
        <f>J4</f>
        <v>11577403.659955349</v>
      </c>
    </row>
    <row r="5" spans="1:13" ht="13.8">
      <c r="A5" s="47" t="s">
        <v>18</v>
      </c>
      <c r="B5" s="48">
        <v>11</v>
      </c>
      <c r="C5" s="48" t="s">
        <v>16</v>
      </c>
      <c r="D5" s="49"/>
      <c r="E5" s="49"/>
      <c r="F5" s="49"/>
      <c r="G5" s="49"/>
      <c r="H5" s="49"/>
      <c r="I5" s="49"/>
      <c r="J5" s="73"/>
      <c r="K5" s="74"/>
      <c r="L5" s="75"/>
      <c r="M5" s="79"/>
    </row>
    <row r="6" spans="1:13" ht="27.6">
      <c r="A6" s="47" t="s">
        <v>19</v>
      </c>
      <c r="B6" s="48">
        <v>60</v>
      </c>
      <c r="C6" s="48" t="s">
        <v>20</v>
      </c>
      <c r="D6" s="49"/>
      <c r="E6" s="49"/>
      <c r="F6" s="49"/>
      <c r="G6" s="49"/>
      <c r="H6" s="49"/>
      <c r="I6" s="49"/>
      <c r="J6" s="73"/>
      <c r="K6" s="74"/>
      <c r="L6" s="75"/>
      <c r="M6" s="80"/>
    </row>
    <row r="7" spans="1:13" ht="14.4">
      <c r="A7" s="47" t="s">
        <v>21</v>
      </c>
      <c r="B7" s="48">
        <v>1</v>
      </c>
      <c r="C7" s="48" t="s">
        <v>22</v>
      </c>
      <c r="D7" s="50">
        <v>34384</v>
      </c>
      <c r="E7" s="52" t="s">
        <v>17</v>
      </c>
      <c r="F7" s="52" t="s">
        <v>17</v>
      </c>
      <c r="G7" s="50">
        <v>38000</v>
      </c>
      <c r="H7" s="50">
        <v>31506.53</v>
      </c>
      <c r="I7" s="50">
        <v>37571.46</v>
      </c>
      <c r="J7" s="53">
        <f>AVERAGE(D7:I7)</f>
        <v>35365.497499999998</v>
      </c>
      <c r="K7" s="52">
        <f>MEDIAN(D7:I7)</f>
        <v>35977.729999999996</v>
      </c>
      <c r="L7" s="54">
        <f>_xlfn.STDEV.S(D7:I7)/J7</f>
        <v>8.5861830873855557E-2</v>
      </c>
      <c r="M7" s="55">
        <f>J7</f>
        <v>35365.497499999998</v>
      </c>
    </row>
    <row r="8" spans="1:13" ht="13.8">
      <c r="A8" s="69" t="s">
        <v>23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55">
        <f>SUM(M4:M7)</f>
        <v>11612769.157455349</v>
      </c>
    </row>
    <row r="9" spans="1:13" ht="15" customHeight="1">
      <c r="A9" s="71" t="s">
        <v>24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</row>
  </sheetData>
  <mergeCells count="15">
    <mergeCell ref="A1:L1"/>
    <mergeCell ref="D2:H2"/>
    <mergeCell ref="A8:L8"/>
    <mergeCell ref="A9:M9"/>
    <mergeCell ref="A2:A3"/>
    <mergeCell ref="B2:B3"/>
    <mergeCell ref="C2:C3"/>
    <mergeCell ref="J2:J3"/>
    <mergeCell ref="J4:J6"/>
    <mergeCell ref="K2:K3"/>
    <mergeCell ref="K4:K6"/>
    <mergeCell ref="L2:L3"/>
    <mergeCell ref="L4:L6"/>
    <mergeCell ref="M2:M3"/>
    <mergeCell ref="M4:M6"/>
  </mergeCells>
  <pageMargins left="0.25" right="0.25" top="0.75" bottom="0.75" header="0.3" footer="0.3"/>
  <pageSetup paperSize="9" scale="54" orientation="landscape" horizontalDpi="300" verticalDpi="300"/>
  <headerFooter>
    <oddHeader>&amp;C&amp;"Times New Roman,Regular"&amp;12&amp;Kffffff&amp;A&amp;R&amp;"Calibri"&amp;10&amp;K000000 Interno&amp;1#_x000D_</oddHeader>
    <oddFooter>&amp;C&amp;"Times New Roman,Regular"&amp;12&amp;KffffffPágina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I28"/>
  <sheetViews>
    <sheetView topLeftCell="A8" zoomScale="120" zoomScaleNormal="120" workbookViewId="0">
      <selection activeCell="A13" sqref="A13:D13"/>
    </sheetView>
  </sheetViews>
  <sheetFormatPr defaultColWidth="9.109375" defaultRowHeight="12.75" customHeight="1"/>
  <cols>
    <col min="1" max="1" width="13.88671875" style="22" bestFit="1" customWidth="1"/>
    <col min="2" max="2" width="82.6640625" style="22" bestFit="1" customWidth="1"/>
    <col min="3" max="3" width="6.44140625" style="22" customWidth="1"/>
    <col min="4" max="4" width="16.33203125" style="22" customWidth="1"/>
    <col min="5" max="5" width="19.6640625" style="22" customWidth="1"/>
    <col min="6" max="6" width="18" style="22" customWidth="1"/>
    <col min="7" max="7" width="21.5546875" style="22" customWidth="1"/>
    <col min="8" max="9" width="16.88671875" style="22" bestFit="1" customWidth="1"/>
    <col min="10" max="16384" width="9.109375" style="22"/>
  </cols>
  <sheetData>
    <row r="1" spans="1:9" ht="12.75" customHeight="1">
      <c r="D1" s="62" t="s">
        <v>25</v>
      </c>
      <c r="E1" s="62"/>
      <c r="F1" s="63" t="s">
        <v>5</v>
      </c>
      <c r="G1" s="63"/>
    </row>
    <row r="2" spans="1:9" ht="23.25" customHeight="1">
      <c r="A2" s="23" t="s">
        <v>26</v>
      </c>
      <c r="B2" s="24" t="s">
        <v>27</v>
      </c>
      <c r="C2" s="25" t="s">
        <v>28</v>
      </c>
      <c r="D2" s="25" t="s">
        <v>29</v>
      </c>
      <c r="E2" s="25" t="s">
        <v>30</v>
      </c>
      <c r="F2" s="25" t="s">
        <v>29</v>
      </c>
      <c r="G2" s="25" t="s">
        <v>30</v>
      </c>
    </row>
    <row r="3" spans="1:9" ht="13.2">
      <c r="A3" s="26" t="s">
        <v>31</v>
      </c>
      <c r="B3" s="27" t="s">
        <v>32</v>
      </c>
      <c r="C3" s="27">
        <v>154</v>
      </c>
      <c r="D3" s="28">
        <f>Cálculo!F10</f>
        <v>87493.28</v>
      </c>
      <c r="E3" s="40">
        <f t="shared" ref="E3:E12" si="0">C3*D3</f>
        <v>13473965.119999999</v>
      </c>
      <c r="F3" s="30">
        <f>Cálculo!F11</f>
        <v>104322.06763333332</v>
      </c>
      <c r="G3" s="41">
        <f t="shared" ref="G3:G12" si="1">F3*C3</f>
        <v>16065598.415533332</v>
      </c>
    </row>
    <row r="4" spans="1:9" ht="13.2">
      <c r="A4" s="37" t="s">
        <v>33</v>
      </c>
      <c r="B4" s="37" t="s">
        <v>34</v>
      </c>
      <c r="C4" s="29">
        <v>576</v>
      </c>
      <c r="D4" s="28">
        <f>Cálculo!F24</f>
        <v>84255</v>
      </c>
      <c r="E4" s="40">
        <f t="shared" si="0"/>
        <v>48530880</v>
      </c>
      <c r="F4" s="28">
        <f>Cálculo!F25</f>
        <v>101569.14794000001</v>
      </c>
      <c r="G4" s="41">
        <f t="shared" si="1"/>
        <v>58503829.213440008</v>
      </c>
    </row>
    <row r="5" spans="1:9" ht="13.2">
      <c r="A5" s="37" t="s">
        <v>35</v>
      </c>
      <c r="B5" s="59" t="s">
        <v>36</v>
      </c>
      <c r="C5" s="29">
        <v>576</v>
      </c>
      <c r="D5" s="28">
        <f>Cálculo!F38</f>
        <v>12792.532500000001</v>
      </c>
      <c r="E5" s="40">
        <f t="shared" si="0"/>
        <v>7368498.7200000007</v>
      </c>
      <c r="F5" s="28">
        <f>Cálculo!F39</f>
        <v>16793.440803000001</v>
      </c>
      <c r="G5" s="41">
        <f t="shared" si="1"/>
        <v>9673021.902528001</v>
      </c>
      <c r="H5" s="60">
        <f>SUM(E4:E5)</f>
        <v>55899378.719999999</v>
      </c>
      <c r="I5" s="60">
        <f>SUM(G4:G5)</f>
        <v>68176851.115968004</v>
      </c>
    </row>
    <row r="6" spans="1:9" ht="13.2">
      <c r="A6" s="29" t="s">
        <v>37</v>
      </c>
      <c r="B6" s="29" t="s">
        <v>38</v>
      </c>
      <c r="C6" s="27">
        <v>6</v>
      </c>
      <c r="D6" s="30">
        <f>Cálculo!F52</f>
        <v>25471.45</v>
      </c>
      <c r="E6" s="40">
        <f t="shared" si="0"/>
        <v>152828.70000000001</v>
      </c>
      <c r="F6" s="28">
        <f>Cálculo!F53</f>
        <v>33052.566319999998</v>
      </c>
      <c r="G6" s="41">
        <f t="shared" si="1"/>
        <v>198315.39791999999</v>
      </c>
    </row>
    <row r="7" spans="1:9" ht="13.2">
      <c r="A7" s="29" t="s">
        <v>39</v>
      </c>
      <c r="B7" s="29" t="s">
        <v>40</v>
      </c>
      <c r="C7" s="29">
        <v>1</v>
      </c>
      <c r="D7" s="30">
        <f>Cálculo!F67</f>
        <v>333982.59999999998</v>
      </c>
      <c r="E7" s="40">
        <f t="shared" si="0"/>
        <v>333982.59999999998</v>
      </c>
      <c r="F7" s="28">
        <f>Cálculo!F68</f>
        <v>400628.7499</v>
      </c>
      <c r="G7" s="41">
        <f t="shared" si="1"/>
        <v>400628.7499</v>
      </c>
    </row>
    <row r="8" spans="1:9" ht="13.2">
      <c r="A8" s="29" t="s">
        <v>41</v>
      </c>
      <c r="B8" s="29" t="s">
        <v>42</v>
      </c>
      <c r="C8" s="29">
        <v>2</v>
      </c>
      <c r="D8" s="30">
        <f>Cálculo!F81</f>
        <v>811406.45708099997</v>
      </c>
      <c r="E8" s="40">
        <f t="shared" si="0"/>
        <v>1622812.9141619999</v>
      </c>
      <c r="F8" s="28">
        <f>Cálculo!F82</f>
        <v>932539.70832599991</v>
      </c>
      <c r="G8" s="41">
        <f t="shared" si="1"/>
        <v>1865079.4166519998</v>
      </c>
    </row>
    <row r="9" spans="1:9" ht="13.2">
      <c r="A9" s="29" t="s">
        <v>43</v>
      </c>
      <c r="B9" s="29" t="s">
        <v>44</v>
      </c>
      <c r="C9" s="29">
        <v>3</v>
      </c>
      <c r="D9" s="30">
        <f>Cálculo!F94</f>
        <v>2558242.7412390001</v>
      </c>
      <c r="E9" s="40">
        <f t="shared" si="0"/>
        <v>7674728.2237170003</v>
      </c>
      <c r="F9" s="28">
        <f>Cálculo!F95</f>
        <v>3308593.4604791999</v>
      </c>
      <c r="G9" s="41">
        <f t="shared" si="1"/>
        <v>9925780.3814375997</v>
      </c>
    </row>
    <row r="10" spans="1:9" ht="13.2">
      <c r="A10" s="31" t="s">
        <v>45</v>
      </c>
      <c r="B10" s="29" t="s">
        <v>46</v>
      </c>
      <c r="C10" s="29">
        <v>1</v>
      </c>
      <c r="D10" s="30">
        <f>Cálculo!F106</f>
        <v>1372917</v>
      </c>
      <c r="E10" s="40">
        <f t="shared" si="0"/>
        <v>1372917</v>
      </c>
      <c r="F10" s="28">
        <f>Cálculo!F107</f>
        <v>1427932.8900000001</v>
      </c>
      <c r="G10" s="41">
        <f t="shared" si="1"/>
        <v>1427932.8900000001</v>
      </c>
    </row>
    <row r="11" spans="1:9" ht="13.2">
      <c r="A11" s="29" t="s">
        <v>47</v>
      </c>
      <c r="B11" s="29" t="s">
        <v>48</v>
      </c>
      <c r="C11" s="29">
        <v>1</v>
      </c>
      <c r="D11" s="30">
        <f>Cálculo!F118</f>
        <v>3960000</v>
      </c>
      <c r="E11" s="40">
        <f t="shared" si="0"/>
        <v>3960000</v>
      </c>
      <c r="F11" s="28">
        <f>Cálculo!F119</f>
        <v>4820384.6325000003</v>
      </c>
      <c r="G11" s="41">
        <f t="shared" si="1"/>
        <v>4820384.6325000003</v>
      </c>
    </row>
    <row r="12" spans="1:9" ht="13.2">
      <c r="A12" s="32" t="s">
        <v>49</v>
      </c>
      <c r="B12" s="32" t="s">
        <v>117</v>
      </c>
      <c r="C12" s="32">
        <v>10</v>
      </c>
      <c r="D12" s="33">
        <f>Cálculo!F132</f>
        <v>54549.168000000005</v>
      </c>
      <c r="E12" s="40">
        <f t="shared" si="0"/>
        <v>545491.68000000005</v>
      </c>
      <c r="F12" s="28">
        <f>Cálculo!F133</f>
        <v>74004.291599999997</v>
      </c>
      <c r="G12" s="41">
        <f t="shared" si="1"/>
        <v>740042.91599999997</v>
      </c>
    </row>
    <row r="13" spans="1:9" ht="13.2">
      <c r="A13" s="61" t="s">
        <v>51</v>
      </c>
      <c r="B13" s="61"/>
      <c r="C13" s="61"/>
      <c r="D13" s="61"/>
      <c r="E13" s="42">
        <f>SUM(E3:E12)</f>
        <v>85036104.957879007</v>
      </c>
      <c r="G13" s="43">
        <f>SUM(G3:G12)</f>
        <v>103620613.91591091</v>
      </c>
    </row>
    <row r="14" spans="1:9" ht="13.2">
      <c r="A14" s="34"/>
      <c r="B14" s="34"/>
      <c r="C14" s="34"/>
      <c r="D14" s="34"/>
      <c r="E14" s="34"/>
      <c r="F14" s="34"/>
    </row>
    <row r="15" spans="1:9" ht="13.2">
      <c r="A15" s="35"/>
      <c r="B15" s="35"/>
      <c r="C15" s="35"/>
      <c r="D15" s="35"/>
      <c r="E15" s="35"/>
      <c r="F15" s="35"/>
      <c r="G15" s="44"/>
    </row>
    <row r="16" spans="1:9" ht="13.2">
      <c r="A16" s="58"/>
      <c r="B16" s="58"/>
      <c r="C16" s="58"/>
      <c r="D16" s="64" t="s">
        <v>25</v>
      </c>
      <c r="E16" s="64"/>
      <c r="F16" s="65" t="s">
        <v>5</v>
      </c>
      <c r="G16" s="65"/>
    </row>
    <row r="17" spans="1:7" ht="27" customHeight="1">
      <c r="A17" s="25" t="s">
        <v>26</v>
      </c>
      <c r="B17" s="25" t="s">
        <v>27</v>
      </c>
      <c r="C17" s="25" t="s">
        <v>28</v>
      </c>
      <c r="D17" s="25" t="s">
        <v>29</v>
      </c>
      <c r="E17" s="25" t="s">
        <v>30</v>
      </c>
      <c r="F17" s="25" t="s">
        <v>29</v>
      </c>
      <c r="G17" s="25" t="s">
        <v>30</v>
      </c>
    </row>
    <row r="18" spans="1:7" ht="13.2">
      <c r="A18" s="27" t="s">
        <v>31</v>
      </c>
      <c r="B18" s="27" t="s">
        <v>32</v>
      </c>
      <c r="C18" s="27">
        <v>154</v>
      </c>
      <c r="D18" s="36">
        <f>Cálculo!F10</f>
        <v>87493.28</v>
      </c>
      <c r="E18" s="40">
        <f t="shared" ref="E18:E26" si="2">C18*D18</f>
        <v>13473965.119999999</v>
      </c>
      <c r="F18" s="30">
        <f>Cálculo!F11</f>
        <v>104322.06763333332</v>
      </c>
      <c r="G18" s="30">
        <f t="shared" ref="G18:G26" si="3">F18*C18</f>
        <v>16065598.415533332</v>
      </c>
    </row>
    <row r="19" spans="1:7" ht="13.2">
      <c r="A19" s="37" t="s">
        <v>52</v>
      </c>
      <c r="B19" s="37" t="s">
        <v>53</v>
      </c>
      <c r="C19" s="27">
        <v>576</v>
      </c>
      <c r="D19" s="36">
        <f>Cálculo!F149</f>
        <v>88000</v>
      </c>
      <c r="E19" s="40">
        <f t="shared" si="2"/>
        <v>50688000</v>
      </c>
      <c r="F19" s="30">
        <f>Cálculo!F150</f>
        <v>111861.29944999999</v>
      </c>
      <c r="G19" s="30">
        <f t="shared" si="3"/>
        <v>64432108.483199999</v>
      </c>
    </row>
    <row r="20" spans="1:7" ht="13.2">
      <c r="A20" s="27" t="s">
        <v>37</v>
      </c>
      <c r="B20" s="27" t="s">
        <v>38</v>
      </c>
      <c r="C20" s="27">
        <v>6</v>
      </c>
      <c r="D20" s="36">
        <f>Cálculo!F52</f>
        <v>25471.45</v>
      </c>
      <c r="E20" s="40">
        <f t="shared" si="2"/>
        <v>152828.70000000001</v>
      </c>
      <c r="F20" s="30">
        <f>Cálculo!F53</f>
        <v>33052.566319999998</v>
      </c>
      <c r="G20" s="30">
        <f t="shared" si="3"/>
        <v>198315.39791999999</v>
      </c>
    </row>
    <row r="21" spans="1:7" ht="13.2">
      <c r="A21" s="27" t="s">
        <v>39</v>
      </c>
      <c r="B21" s="27" t="s">
        <v>40</v>
      </c>
      <c r="C21" s="27">
        <v>1</v>
      </c>
      <c r="D21" s="36">
        <f>Cálculo!F67</f>
        <v>333982.59999999998</v>
      </c>
      <c r="E21" s="40">
        <f t="shared" si="2"/>
        <v>333982.59999999998</v>
      </c>
      <c r="F21" s="30">
        <f>Cálculo!F68</f>
        <v>400628.7499</v>
      </c>
      <c r="G21" s="30">
        <f t="shared" si="3"/>
        <v>400628.7499</v>
      </c>
    </row>
    <row r="22" spans="1:7" ht="13.2">
      <c r="A22" s="27" t="s">
        <v>41</v>
      </c>
      <c r="B22" s="27" t="s">
        <v>42</v>
      </c>
      <c r="C22" s="27">
        <v>2</v>
      </c>
      <c r="D22" s="36">
        <f>Cálculo!F81</f>
        <v>811406.45708099997</v>
      </c>
      <c r="E22" s="40">
        <f t="shared" si="2"/>
        <v>1622812.9141619999</v>
      </c>
      <c r="F22" s="30">
        <f>Cálculo!F82</f>
        <v>932539.70832599991</v>
      </c>
      <c r="G22" s="30">
        <f t="shared" si="3"/>
        <v>1865079.4166519998</v>
      </c>
    </row>
    <row r="23" spans="1:7" ht="13.2">
      <c r="A23" s="27" t="s">
        <v>43</v>
      </c>
      <c r="B23" s="27" t="s">
        <v>44</v>
      </c>
      <c r="C23" s="27">
        <v>3</v>
      </c>
      <c r="D23" s="36">
        <f>Cálculo!F94</f>
        <v>2558242.7412390001</v>
      </c>
      <c r="E23" s="40">
        <f t="shared" si="2"/>
        <v>7674728.2237170003</v>
      </c>
      <c r="F23" s="30">
        <f>Cálculo!F95</f>
        <v>3308593.4604791999</v>
      </c>
      <c r="G23" s="30">
        <f t="shared" si="3"/>
        <v>9925780.3814375997</v>
      </c>
    </row>
    <row r="24" spans="1:7" ht="13.2">
      <c r="A24" s="31" t="s">
        <v>45</v>
      </c>
      <c r="B24" s="27" t="s">
        <v>46</v>
      </c>
      <c r="C24" s="27">
        <v>1</v>
      </c>
      <c r="D24" s="36">
        <f>Cálculo!F106</f>
        <v>1372917</v>
      </c>
      <c r="E24" s="40">
        <f t="shared" si="2"/>
        <v>1372917</v>
      </c>
      <c r="F24" s="30">
        <f>Cálculo!F107</f>
        <v>1427932.8900000001</v>
      </c>
      <c r="G24" s="30">
        <f t="shared" si="3"/>
        <v>1427932.8900000001</v>
      </c>
    </row>
    <row r="25" spans="1:7" ht="13.2">
      <c r="A25" s="27" t="s">
        <v>47</v>
      </c>
      <c r="B25" s="27" t="s">
        <v>48</v>
      </c>
      <c r="C25" s="27">
        <v>1</v>
      </c>
      <c r="D25" s="36">
        <f>Cálculo!F118</f>
        <v>3960000</v>
      </c>
      <c r="E25" s="40">
        <f t="shared" si="2"/>
        <v>3960000</v>
      </c>
      <c r="F25" s="30">
        <f>Cálculo!F119</f>
        <v>4820384.6325000003</v>
      </c>
      <c r="G25" s="30">
        <f t="shared" si="3"/>
        <v>4820384.6325000003</v>
      </c>
    </row>
    <row r="26" spans="1:7" ht="13.2">
      <c r="A26" s="38" t="s">
        <v>49</v>
      </c>
      <c r="B26" s="38" t="s">
        <v>116</v>
      </c>
      <c r="C26" s="32">
        <v>10</v>
      </c>
      <c r="D26" s="39">
        <f>Cálculo!F132</f>
        <v>54549.168000000005</v>
      </c>
      <c r="E26" s="40">
        <f t="shared" si="2"/>
        <v>545491.68000000005</v>
      </c>
      <c r="F26" s="28">
        <f>Cálculo!F133</f>
        <v>74004.291599999997</v>
      </c>
      <c r="G26" s="30">
        <f t="shared" si="3"/>
        <v>740042.91599999997</v>
      </c>
    </row>
    <row r="27" spans="1:7" ht="13.2">
      <c r="A27" s="61" t="s">
        <v>51</v>
      </c>
      <c r="B27" s="61"/>
      <c r="C27" s="61"/>
      <c r="D27" s="61"/>
      <c r="E27" s="42">
        <f>SUM(E18:E26)</f>
        <v>79824726.237879008</v>
      </c>
      <c r="G27" s="43">
        <f>SUM(G18:G26)</f>
        <v>99875871.283142909</v>
      </c>
    </row>
    <row r="28" spans="1:7" ht="13.2">
      <c r="A28" s="35"/>
      <c r="B28" s="35"/>
      <c r="C28" s="35"/>
      <c r="D28" s="35"/>
      <c r="E28" s="35"/>
      <c r="F28" s="35"/>
      <c r="G28" s="44"/>
    </row>
  </sheetData>
  <mergeCells count="6">
    <mergeCell ref="A27:D27"/>
    <mergeCell ref="D1:E1"/>
    <mergeCell ref="F1:G1"/>
    <mergeCell ref="A13:D13"/>
    <mergeCell ref="D16:E16"/>
    <mergeCell ref="F16:G16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&amp;R&amp;"Calibri"&amp;10&amp;K000000 Interno&amp;1#_x000D_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P166"/>
  <sheetViews>
    <sheetView tabSelected="1" topLeftCell="A120" zoomScale="115" zoomScaleNormal="115" workbookViewId="0">
      <selection activeCell="B125" sqref="B125"/>
    </sheetView>
  </sheetViews>
  <sheetFormatPr defaultColWidth="8.5546875" defaultRowHeight="15" customHeight="1"/>
  <cols>
    <col min="1" max="1" width="3.109375" style="6" customWidth="1"/>
    <col min="2" max="2" width="16.5546875" style="6" customWidth="1"/>
    <col min="3" max="3" width="16.6640625" style="6" customWidth="1"/>
    <col min="4" max="4" width="7.44140625" style="6" customWidth="1"/>
    <col min="5" max="5" width="14.6640625" style="6" customWidth="1"/>
    <col min="6" max="6" width="19.5546875" style="6" customWidth="1"/>
    <col min="7" max="7" width="17.6640625" style="6" customWidth="1"/>
    <col min="8" max="8" width="22.109375" style="6" customWidth="1"/>
    <col min="9" max="9" width="11.109375" style="5" customWidth="1"/>
    <col min="10" max="16" width="8.5546875" style="5"/>
    <col min="17" max="16384" width="8.5546875" style="7"/>
  </cols>
  <sheetData>
    <row r="1" spans="1:9" ht="42" customHeight="1">
      <c r="B1" s="88" t="s">
        <v>54</v>
      </c>
      <c r="C1" s="88"/>
      <c r="D1" s="88"/>
      <c r="E1" s="88"/>
      <c r="F1" s="88"/>
      <c r="G1" s="88"/>
      <c r="H1" s="88"/>
    </row>
    <row r="2" spans="1:9" ht="26.4" customHeight="1">
      <c r="B2" s="8" t="s">
        <v>55</v>
      </c>
      <c r="C2" s="8" t="s">
        <v>56</v>
      </c>
      <c r="D2" s="8" t="s">
        <v>20</v>
      </c>
      <c r="E2" s="8" t="s">
        <v>57</v>
      </c>
      <c r="F2" s="8" t="s">
        <v>58</v>
      </c>
      <c r="G2" s="8" t="s">
        <v>59</v>
      </c>
      <c r="H2" s="8" t="s">
        <v>60</v>
      </c>
      <c r="I2" s="8" t="s">
        <v>61</v>
      </c>
    </row>
    <row r="3" spans="1:9" ht="15" customHeight="1">
      <c r="B3" s="9" t="s">
        <v>62</v>
      </c>
      <c r="C3" s="10">
        <v>35841.269999999997</v>
      </c>
      <c r="D3" s="11">
        <v>12</v>
      </c>
      <c r="E3" s="13">
        <f>C3/D3</f>
        <v>2986.7724999999996</v>
      </c>
      <c r="F3" s="13">
        <f>E3*36</f>
        <v>107523.80999999998</v>
      </c>
      <c r="G3" s="14">
        <f t="shared" ref="G3:G8" si="0">ABS((F3-$F$11)/$F$9)</f>
        <v>0.19922704401588542</v>
      </c>
      <c r="H3" s="15" t="s">
        <v>63</v>
      </c>
      <c r="I3" s="15">
        <v>45987</v>
      </c>
    </row>
    <row r="4" spans="1:9" s="5" customFormat="1" ht="13.2">
      <c r="A4" s="6"/>
      <c r="B4" s="9" t="s">
        <v>64</v>
      </c>
      <c r="C4" s="10">
        <v>29948.89</v>
      </c>
      <c r="D4" s="11">
        <v>12</v>
      </c>
      <c r="E4" s="13">
        <f t="shared" ref="E4:E8" si="1">C4/D4</f>
        <v>2495.7408333333333</v>
      </c>
      <c r="F4" s="13">
        <f t="shared" ref="F4:F8" si="2">E4*36</f>
        <v>89846.67</v>
      </c>
      <c r="G4" s="14">
        <f t="shared" si="0"/>
        <v>0.90072540235208498</v>
      </c>
      <c r="H4" s="15" t="s">
        <v>63</v>
      </c>
      <c r="I4" s="15">
        <v>46017</v>
      </c>
    </row>
    <row r="5" spans="1:9" s="5" customFormat="1" ht="13.2">
      <c r="A5" s="6"/>
      <c r="B5" s="12" t="s">
        <v>65</v>
      </c>
      <c r="C5" s="10">
        <f>51051.74-(51051.74*0.11)</f>
        <v>45436.048599999995</v>
      </c>
      <c r="D5" s="11">
        <v>12</v>
      </c>
      <c r="E5" s="13">
        <f t="shared" si="1"/>
        <v>3786.337383333333</v>
      </c>
      <c r="F5" s="13">
        <f t="shared" si="2"/>
        <v>136308.1458</v>
      </c>
      <c r="G5" s="14">
        <f t="shared" si="0"/>
        <v>1.9903199798803519</v>
      </c>
      <c r="H5" s="15" t="s">
        <v>63</v>
      </c>
      <c r="I5" s="15">
        <v>45811</v>
      </c>
    </row>
    <row r="6" spans="1:9" s="5" customFormat="1" ht="13.2">
      <c r="A6" s="6"/>
      <c r="B6" s="9" t="s">
        <v>66</v>
      </c>
      <c r="C6" s="10">
        <v>105207</v>
      </c>
      <c r="D6" s="11">
        <v>36</v>
      </c>
      <c r="E6" s="13">
        <f t="shared" si="1"/>
        <v>2922.4166666666665</v>
      </c>
      <c r="F6" s="13">
        <f t="shared" si="2"/>
        <v>105207</v>
      </c>
      <c r="G6" s="14">
        <f t="shared" si="0"/>
        <v>5.5064536547496247E-2</v>
      </c>
      <c r="H6" s="15" t="s">
        <v>63</v>
      </c>
      <c r="I6" s="15">
        <v>45806</v>
      </c>
    </row>
    <row r="7" spans="1:9" s="5" customFormat="1" ht="13.2">
      <c r="A7" s="6"/>
      <c r="B7" s="9" t="s">
        <v>67</v>
      </c>
      <c r="C7" s="10">
        <v>87493.28</v>
      </c>
      <c r="D7" s="11">
        <v>36</v>
      </c>
      <c r="E7" s="13">
        <f t="shared" si="1"/>
        <v>2430.3688888888887</v>
      </c>
      <c r="F7" s="13">
        <f t="shared" si="2"/>
        <v>87493.28</v>
      </c>
      <c r="G7" s="14">
        <f t="shared" si="0"/>
        <v>1.047164084613917</v>
      </c>
      <c r="H7" s="15" t="s">
        <v>63</v>
      </c>
      <c r="I7" s="15">
        <v>45891</v>
      </c>
    </row>
    <row r="8" spans="1:9" s="5" customFormat="1" ht="13.2">
      <c r="A8" s="6"/>
      <c r="B8" s="9" t="s">
        <v>68</v>
      </c>
      <c r="C8" s="10">
        <v>66369</v>
      </c>
      <c r="D8" s="11">
        <v>24</v>
      </c>
      <c r="E8" s="13">
        <f t="shared" si="1"/>
        <v>2765.375</v>
      </c>
      <c r="F8" s="13">
        <f t="shared" si="2"/>
        <v>99553.5</v>
      </c>
      <c r="G8" s="14">
        <f t="shared" si="0"/>
        <v>0.29672207347772989</v>
      </c>
      <c r="H8" s="15" t="s">
        <v>63</v>
      </c>
      <c r="I8" s="15" t="s">
        <v>69</v>
      </c>
    </row>
    <row r="9" spans="1:9" s="5" customFormat="1" ht="13.2">
      <c r="A9" s="6"/>
      <c r="B9" s="85" t="s">
        <v>70</v>
      </c>
      <c r="C9" s="86"/>
      <c r="D9" s="86"/>
      <c r="E9" s="87"/>
      <c r="F9" s="16">
        <f>SQRT(_xlfn.VAR.P(F3:F8))</f>
        <v>16070.822023597189</v>
      </c>
    </row>
    <row r="10" spans="1:9" s="5" customFormat="1" ht="13.2">
      <c r="A10" s="6"/>
      <c r="B10" s="89" t="s">
        <v>25</v>
      </c>
      <c r="C10" s="90"/>
      <c r="D10" s="90"/>
      <c r="E10" s="91"/>
      <c r="F10" s="17">
        <f>SMALL(F3:F8,1)</f>
        <v>87493.28</v>
      </c>
    </row>
    <row r="11" spans="1:9" s="5" customFormat="1" ht="13.2">
      <c r="A11" s="6"/>
      <c r="B11" s="85" t="s">
        <v>5</v>
      </c>
      <c r="C11" s="86"/>
      <c r="D11" s="86"/>
      <c r="E11" s="87"/>
      <c r="F11" s="16">
        <f>AVERAGE(F3:F8)</f>
        <v>104322.06763333332</v>
      </c>
    </row>
    <row r="12" spans="1:9" s="5" customFormat="1" ht="13.2">
      <c r="A12" s="6"/>
      <c r="B12" s="85" t="s">
        <v>6</v>
      </c>
      <c r="C12" s="86"/>
      <c r="D12" s="86"/>
      <c r="E12" s="87"/>
      <c r="F12" s="16">
        <f>MEDIAN(F3:F8)</f>
        <v>102380.25</v>
      </c>
    </row>
    <row r="13" spans="1:9" s="5" customFormat="1" ht="15" customHeight="1">
      <c r="A13" s="6"/>
      <c r="B13" s="85" t="s">
        <v>71</v>
      </c>
      <c r="C13" s="86"/>
      <c r="D13" s="86"/>
      <c r="E13" s="87"/>
      <c r="F13" s="18">
        <f>F9/F11</f>
        <v>0.15405007193762893</v>
      </c>
    </row>
    <row r="14" spans="1:9" s="5" customFormat="1" ht="13.2">
      <c r="A14" s="6"/>
      <c r="B14" s="6"/>
      <c r="C14" s="6"/>
      <c r="D14" s="6"/>
      <c r="E14" s="6"/>
      <c r="F14" s="6"/>
      <c r="G14" s="6"/>
      <c r="H14" s="6"/>
    </row>
    <row r="15" spans="1:9" s="5" customFormat="1" ht="13.2">
      <c r="A15" s="6"/>
      <c r="B15" s="6"/>
      <c r="C15" s="6"/>
      <c r="D15" s="6"/>
      <c r="E15" s="6"/>
      <c r="F15" s="6"/>
      <c r="G15" s="6"/>
      <c r="H15" s="6"/>
    </row>
    <row r="16" spans="1:9" s="5" customFormat="1" ht="27.75" customHeight="1">
      <c r="A16" s="6"/>
      <c r="B16" s="88" t="s">
        <v>72</v>
      </c>
      <c r="C16" s="88"/>
      <c r="D16" s="88"/>
      <c r="E16" s="88"/>
      <c r="F16" s="88"/>
      <c r="G16" s="88"/>
      <c r="H16" s="88"/>
    </row>
    <row r="17" spans="1:9" s="5" customFormat="1" ht="26.4">
      <c r="A17" s="6"/>
      <c r="B17" s="8" t="s">
        <v>55</v>
      </c>
      <c r="C17" s="8" t="s">
        <v>56</v>
      </c>
      <c r="D17" s="8" t="s">
        <v>20</v>
      </c>
      <c r="E17" s="8" t="s">
        <v>57</v>
      </c>
      <c r="F17" s="8" t="s">
        <v>58</v>
      </c>
      <c r="G17" s="8" t="s">
        <v>59</v>
      </c>
      <c r="H17" s="8" t="s">
        <v>60</v>
      </c>
      <c r="I17" s="8" t="s">
        <v>61</v>
      </c>
    </row>
    <row r="18" spans="1:9" s="5" customFormat="1" ht="13.2">
      <c r="A18" s="6"/>
      <c r="B18" s="9" t="s">
        <v>62</v>
      </c>
      <c r="C18" s="10">
        <v>32926.79</v>
      </c>
      <c r="D18" s="11">
        <v>12</v>
      </c>
      <c r="E18" s="13">
        <f>C18/D18</f>
        <v>2743.8991666666666</v>
      </c>
      <c r="F18" s="13">
        <f>E18*36</f>
        <v>98780.37</v>
      </c>
      <c r="G18" s="14">
        <f t="shared" ref="G18:G22" si="3">ABS((F18-$F$25)/$F$23)</f>
        <v>0.29560772164233345</v>
      </c>
      <c r="H18" s="15" t="s">
        <v>63</v>
      </c>
      <c r="I18" s="15">
        <v>45987</v>
      </c>
    </row>
    <row r="19" spans="1:9" s="5" customFormat="1" ht="13.2">
      <c r="A19" s="6"/>
      <c r="B19" s="9" t="s">
        <v>73</v>
      </c>
      <c r="C19" s="10">
        <v>106920</v>
      </c>
      <c r="D19" s="11">
        <v>36</v>
      </c>
      <c r="E19" s="13">
        <f>C19/D19</f>
        <v>2970</v>
      </c>
      <c r="F19" s="13">
        <f t="shared" ref="F19:F22" si="4">E19*36</f>
        <v>106920</v>
      </c>
      <c r="G19" s="14">
        <f t="shared" si="3"/>
        <v>0.56718506110306344</v>
      </c>
      <c r="H19" s="15" t="s">
        <v>63</v>
      </c>
      <c r="I19" s="15">
        <v>45757</v>
      </c>
    </row>
    <row r="20" spans="1:9" s="5" customFormat="1" ht="13.2">
      <c r="A20" s="6"/>
      <c r="B20" s="12" t="s">
        <v>74</v>
      </c>
      <c r="C20" s="10">
        <v>28085</v>
      </c>
      <c r="D20" s="11">
        <v>12</v>
      </c>
      <c r="E20" s="13">
        <f>C20/D20</f>
        <v>2340.4166666666665</v>
      </c>
      <c r="F20" s="13">
        <f t="shared" si="4"/>
        <v>84255</v>
      </c>
      <c r="G20" s="14">
        <f t="shared" si="3"/>
        <v>1.8352826703447309</v>
      </c>
      <c r="H20" s="15" t="s">
        <v>63</v>
      </c>
      <c r="I20" s="15">
        <v>45821</v>
      </c>
    </row>
    <row r="21" spans="1:9" s="5" customFormat="1" ht="13.2">
      <c r="A21" s="6"/>
      <c r="B21" s="9" t="s">
        <v>65</v>
      </c>
      <c r="C21" s="10">
        <f>40782.91-(40782.91*0.11)</f>
        <v>36296.789900000003</v>
      </c>
      <c r="D21" s="11">
        <v>12</v>
      </c>
      <c r="E21" s="13">
        <f t="shared" ref="E21:E22" si="5">C21/D21</f>
        <v>3024.7324916666671</v>
      </c>
      <c r="F21" s="13">
        <f t="shared" si="4"/>
        <v>108890.36970000001</v>
      </c>
      <c r="G21" s="14">
        <f t="shared" si="3"/>
        <v>0.77604231339834229</v>
      </c>
      <c r="H21" s="15" t="s">
        <v>63</v>
      </c>
      <c r="I21" s="15">
        <v>45811</v>
      </c>
    </row>
    <row r="22" spans="1:9" s="5" customFormat="1" ht="13.2">
      <c r="A22" s="6"/>
      <c r="B22" s="9" t="s">
        <v>75</v>
      </c>
      <c r="C22" s="10">
        <v>109000</v>
      </c>
      <c r="D22" s="11">
        <v>36</v>
      </c>
      <c r="E22" s="13">
        <f t="shared" si="5"/>
        <v>3027.7777777777778</v>
      </c>
      <c r="F22" s="13">
        <f t="shared" si="4"/>
        <v>109000</v>
      </c>
      <c r="G22" s="14">
        <f t="shared" si="3"/>
        <v>0.78766301748565393</v>
      </c>
      <c r="H22" s="15" t="s">
        <v>63</v>
      </c>
      <c r="I22" s="15">
        <v>46017</v>
      </c>
    </row>
    <row r="23" spans="1:9" s="5" customFormat="1" ht="13.2">
      <c r="A23" s="6"/>
      <c r="B23" s="85" t="s">
        <v>70</v>
      </c>
      <c r="C23" s="86"/>
      <c r="D23" s="86"/>
      <c r="E23" s="87"/>
      <c r="F23" s="16">
        <f>SQRT(_xlfn.VAR.P(F17:F22))</f>
        <v>9434.0497078566113</v>
      </c>
    </row>
    <row r="24" spans="1:9" s="5" customFormat="1" ht="13.2">
      <c r="A24" s="6"/>
      <c r="B24" s="89" t="s">
        <v>25</v>
      </c>
      <c r="C24" s="90"/>
      <c r="D24" s="90"/>
      <c r="E24" s="91"/>
      <c r="F24" s="17">
        <f>SMALL(F18:F22,1)</f>
        <v>84255</v>
      </c>
    </row>
    <row r="25" spans="1:9" s="5" customFormat="1" ht="13.2">
      <c r="A25" s="6"/>
      <c r="B25" s="85" t="s">
        <v>5</v>
      </c>
      <c r="C25" s="86"/>
      <c r="D25" s="86"/>
      <c r="E25" s="87"/>
      <c r="F25" s="16">
        <f>AVERAGE(F18:F22)</f>
        <v>101569.14794000001</v>
      </c>
    </row>
    <row r="26" spans="1:9" s="5" customFormat="1" ht="13.2">
      <c r="A26" s="6"/>
      <c r="B26" s="85" t="s">
        <v>6</v>
      </c>
      <c r="C26" s="86"/>
      <c r="D26" s="86"/>
      <c r="E26" s="87"/>
      <c r="F26" s="16">
        <f>MEDIAN(F18:F22)</f>
        <v>106920</v>
      </c>
    </row>
    <row r="27" spans="1:9" s="5" customFormat="1" ht="15" customHeight="1">
      <c r="A27" s="6"/>
      <c r="B27" s="85" t="s">
        <v>71</v>
      </c>
      <c r="C27" s="86"/>
      <c r="D27" s="86"/>
      <c r="E27" s="87"/>
      <c r="F27" s="18">
        <f>F23/F25</f>
        <v>9.2883025005089062E-2</v>
      </c>
    </row>
    <row r="28" spans="1:9" s="5" customFormat="1" ht="13.2">
      <c r="A28" s="6"/>
      <c r="B28" s="6"/>
      <c r="C28" s="6"/>
      <c r="D28" s="6"/>
      <c r="E28" s="6"/>
      <c r="F28" s="6"/>
      <c r="G28" s="6"/>
      <c r="H28" s="6"/>
    </row>
    <row r="29" spans="1:9" s="5" customFormat="1" ht="13.2">
      <c r="A29" s="6"/>
      <c r="B29" s="6"/>
      <c r="C29" s="6"/>
      <c r="D29" s="6"/>
      <c r="E29" s="6"/>
      <c r="F29" s="6"/>
      <c r="G29" s="6"/>
      <c r="H29" s="6"/>
    </row>
    <row r="30" spans="1:9" s="5" customFormat="1" ht="13.2">
      <c r="A30" s="6"/>
      <c r="B30" s="6"/>
      <c r="C30" s="6"/>
      <c r="D30" s="6"/>
      <c r="E30" s="6"/>
      <c r="F30" s="6"/>
      <c r="G30" s="6"/>
      <c r="H30" s="6"/>
    </row>
    <row r="31" spans="1:9" s="5" customFormat="1" ht="29.25" customHeight="1">
      <c r="A31" s="6"/>
      <c r="B31" s="88" t="s">
        <v>76</v>
      </c>
      <c r="C31" s="88"/>
      <c r="D31" s="88"/>
      <c r="E31" s="88"/>
      <c r="F31" s="88"/>
      <c r="G31" s="88"/>
      <c r="H31" s="88"/>
    </row>
    <row r="32" spans="1:9" s="5" customFormat="1" ht="26.4">
      <c r="A32" s="6"/>
      <c r="B32" s="8" t="s">
        <v>55</v>
      </c>
      <c r="C32" s="8" t="s">
        <v>56</v>
      </c>
      <c r="D32" s="8" t="s">
        <v>20</v>
      </c>
      <c r="E32" s="8" t="s">
        <v>57</v>
      </c>
      <c r="F32" s="8" t="s">
        <v>58</v>
      </c>
      <c r="G32" s="8" t="s">
        <v>59</v>
      </c>
      <c r="H32" s="8" t="s">
        <v>60</v>
      </c>
      <c r="I32" s="8" t="s">
        <v>61</v>
      </c>
    </row>
    <row r="33" spans="1:9" s="5" customFormat="1" ht="13.2">
      <c r="A33" s="6"/>
      <c r="B33" s="9" t="s">
        <v>62</v>
      </c>
      <c r="C33" s="10">
        <v>6314.81</v>
      </c>
      <c r="D33" s="11">
        <v>12</v>
      </c>
      <c r="E33" s="13">
        <f>C33/D33</f>
        <v>526.23416666666674</v>
      </c>
      <c r="F33" s="13">
        <f t="shared" ref="F33:F36" si="6">E33*36</f>
        <v>18944.430000000004</v>
      </c>
      <c r="G33" s="14">
        <f t="shared" ref="G33:G36" si="7">ABS((F33-$F$39)/$F$37)</f>
        <v>0.70795511072282158</v>
      </c>
      <c r="H33" s="15" t="s">
        <v>63</v>
      </c>
      <c r="I33" s="15">
        <v>45987</v>
      </c>
    </row>
    <row r="34" spans="1:9" s="5" customFormat="1" ht="13.2">
      <c r="A34" s="6"/>
      <c r="B34" s="9" t="s">
        <v>65</v>
      </c>
      <c r="C34" s="10">
        <f>7647.35-(7647.35*0.11)</f>
        <v>6806.1415000000006</v>
      </c>
      <c r="D34" s="11">
        <v>12</v>
      </c>
      <c r="E34" s="13">
        <f>C34/D34</f>
        <v>567.17845833333342</v>
      </c>
      <c r="F34" s="13">
        <f t="shared" si="6"/>
        <v>20418.424500000005</v>
      </c>
      <c r="G34" s="14">
        <f t="shared" si="7"/>
        <v>1.1930909453926268</v>
      </c>
      <c r="H34" s="15" t="s">
        <v>63</v>
      </c>
      <c r="I34" s="15">
        <v>45811</v>
      </c>
    </row>
    <row r="35" spans="1:9" s="5" customFormat="1" ht="13.2">
      <c r="A35" s="6"/>
      <c r="B35" s="9" t="s">
        <v>77</v>
      </c>
      <c r="C35" s="10">
        <f>825*D155</f>
        <v>4264.1775000000007</v>
      </c>
      <c r="D35" s="11">
        <v>12</v>
      </c>
      <c r="E35" s="13">
        <f>C35/D35</f>
        <v>355.34812500000004</v>
      </c>
      <c r="F35" s="13">
        <f t="shared" si="6"/>
        <v>12792.532500000001</v>
      </c>
      <c r="G35" s="14">
        <f t="shared" si="7"/>
        <v>1.3168190173119767</v>
      </c>
      <c r="H35" s="15" t="s">
        <v>63</v>
      </c>
      <c r="I35" s="15">
        <v>46080</v>
      </c>
    </row>
    <row r="36" spans="1:9" s="5" customFormat="1" ht="26.4">
      <c r="A36" s="6"/>
      <c r="B36" s="9" t="s">
        <v>78</v>
      </c>
      <c r="C36" s="10">
        <f>838.21*D156</f>
        <v>5006.1254040000003</v>
      </c>
      <c r="D36" s="11">
        <v>12</v>
      </c>
      <c r="E36" s="13">
        <f t="shared" ref="E36" si="8">C36/D36</f>
        <v>417.17711700000001</v>
      </c>
      <c r="F36" s="13">
        <f t="shared" si="6"/>
        <v>15018.376212000001</v>
      </c>
      <c r="G36" s="14">
        <f t="shared" si="7"/>
        <v>0.58422703880347004</v>
      </c>
      <c r="H36" s="15" t="s">
        <v>63</v>
      </c>
      <c r="I36" s="15">
        <v>46080</v>
      </c>
    </row>
    <row r="37" spans="1:9" s="5" customFormat="1" ht="13.2">
      <c r="A37" s="6"/>
      <c r="B37" s="85" t="s">
        <v>70</v>
      </c>
      <c r="C37" s="86"/>
      <c r="D37" s="86"/>
      <c r="E37" s="87"/>
      <c r="F37" s="16">
        <f>SQRT(_xlfn.VAR.P(F33:F36))</f>
        <v>3038.3129727022442</v>
      </c>
    </row>
    <row r="38" spans="1:9" s="5" customFormat="1" ht="13.2">
      <c r="A38" s="6"/>
      <c r="B38" s="89" t="s">
        <v>25</v>
      </c>
      <c r="C38" s="90"/>
      <c r="D38" s="90"/>
      <c r="E38" s="91"/>
      <c r="F38" s="17">
        <f>SMALL(F33:F36,1)</f>
        <v>12792.532500000001</v>
      </c>
    </row>
    <row r="39" spans="1:9" s="5" customFormat="1" ht="13.2">
      <c r="A39" s="6"/>
      <c r="B39" s="85" t="s">
        <v>5</v>
      </c>
      <c r="C39" s="86"/>
      <c r="D39" s="86"/>
      <c r="E39" s="87"/>
      <c r="F39" s="16">
        <f>AVERAGE(F33:F36)</f>
        <v>16793.440803000001</v>
      </c>
    </row>
    <row r="40" spans="1:9" s="5" customFormat="1" ht="13.2">
      <c r="A40" s="6"/>
      <c r="B40" s="85" t="s">
        <v>6</v>
      </c>
      <c r="C40" s="86"/>
      <c r="D40" s="86"/>
      <c r="E40" s="87"/>
      <c r="F40" s="16">
        <f>MEDIAN(F33:F36)</f>
        <v>16981.403106000002</v>
      </c>
    </row>
    <row r="41" spans="1:9" s="5" customFormat="1" ht="15" customHeight="1">
      <c r="A41" s="6"/>
      <c r="B41" s="85" t="s">
        <v>71</v>
      </c>
      <c r="C41" s="86"/>
      <c r="D41" s="86"/>
      <c r="E41" s="87"/>
      <c r="F41" s="18">
        <f>F37/F39</f>
        <v>0.18092259998078988</v>
      </c>
    </row>
    <row r="42" spans="1:9" s="5" customFormat="1" ht="13.2">
      <c r="A42" s="6"/>
      <c r="B42" s="6"/>
      <c r="C42" s="6"/>
      <c r="D42" s="6"/>
      <c r="E42" s="6"/>
      <c r="F42" s="6"/>
      <c r="G42" s="6"/>
      <c r="H42" s="6"/>
    </row>
    <row r="43" spans="1:9" s="5" customFormat="1" ht="13.2">
      <c r="A43" s="6"/>
      <c r="B43" s="6"/>
      <c r="C43" s="6"/>
      <c r="D43" s="6"/>
      <c r="E43" s="6"/>
      <c r="F43" s="6"/>
      <c r="G43" s="6"/>
      <c r="H43" s="6"/>
    </row>
    <row r="44" spans="1:9" s="5" customFormat="1" ht="31.5" customHeight="1">
      <c r="A44" s="6"/>
      <c r="B44" s="88" t="s">
        <v>79</v>
      </c>
      <c r="C44" s="88"/>
      <c r="D44" s="88"/>
      <c r="E44" s="88"/>
      <c r="F44" s="88"/>
      <c r="G44" s="88"/>
      <c r="H44" s="88"/>
    </row>
    <row r="45" spans="1:9" s="5" customFormat="1" ht="26.4">
      <c r="A45" s="6"/>
      <c r="B45" s="8" t="s">
        <v>55</v>
      </c>
      <c r="C45" s="8" t="s">
        <v>56</v>
      </c>
      <c r="D45" s="8" t="s">
        <v>20</v>
      </c>
      <c r="E45" s="8" t="s">
        <v>57</v>
      </c>
      <c r="F45" s="8" t="s">
        <v>58</v>
      </c>
      <c r="G45" s="8" t="s">
        <v>59</v>
      </c>
      <c r="H45" s="8" t="s">
        <v>60</v>
      </c>
      <c r="I45" s="8" t="s">
        <v>61</v>
      </c>
    </row>
    <row r="46" spans="1:9" s="5" customFormat="1" ht="13.2">
      <c r="A46" s="6"/>
      <c r="B46" s="9" t="s">
        <v>62</v>
      </c>
      <c r="C46" s="10">
        <v>11658.24</v>
      </c>
      <c r="D46" s="11">
        <v>12</v>
      </c>
      <c r="E46" s="13">
        <f t="shared" ref="E46:E50" si="9">C46/D46</f>
        <v>971.52</v>
      </c>
      <c r="F46" s="13">
        <f t="shared" ref="F46:F50" si="10">E46*36</f>
        <v>34974.720000000001</v>
      </c>
      <c r="G46" s="14">
        <f t="shared" ref="G46:G50" si="11">ABS((F46-$F$53)/$F$51)</f>
        <v>0.32942175737755941</v>
      </c>
      <c r="H46" s="15" t="s">
        <v>63</v>
      </c>
      <c r="I46" s="15">
        <v>45987</v>
      </c>
    </row>
    <row r="47" spans="1:9" s="5" customFormat="1" ht="13.2">
      <c r="A47" s="6"/>
      <c r="B47" s="9" t="s">
        <v>80</v>
      </c>
      <c r="C47" s="10">
        <v>31280</v>
      </c>
      <c r="D47" s="11">
        <v>36</v>
      </c>
      <c r="E47" s="13">
        <f t="shared" si="9"/>
        <v>868.88888888888891</v>
      </c>
      <c r="F47" s="13">
        <f t="shared" si="10"/>
        <v>31280</v>
      </c>
      <c r="G47" s="14">
        <f t="shared" si="11"/>
        <v>0.30378523750643693</v>
      </c>
      <c r="H47" s="15" t="s">
        <v>63</v>
      </c>
      <c r="I47" s="15">
        <v>45751</v>
      </c>
    </row>
    <row r="48" spans="1:9" s="5" customFormat="1" ht="13.2">
      <c r="A48" s="6"/>
      <c r="B48" s="12" t="s">
        <v>66</v>
      </c>
      <c r="C48" s="10">
        <v>30511</v>
      </c>
      <c r="D48" s="11">
        <v>36</v>
      </c>
      <c r="E48" s="13">
        <f t="shared" si="9"/>
        <v>847.52777777777783</v>
      </c>
      <c r="F48" s="13">
        <f t="shared" si="10"/>
        <v>30511</v>
      </c>
      <c r="G48" s="14">
        <f t="shared" si="11"/>
        <v>0.43557768160661042</v>
      </c>
      <c r="H48" s="15" t="s">
        <v>63</v>
      </c>
      <c r="I48" s="15">
        <v>45806</v>
      </c>
    </row>
    <row r="49" spans="1:9" s="5" customFormat="1" ht="13.2">
      <c r="A49" s="6"/>
      <c r="B49" s="9" t="s">
        <v>65</v>
      </c>
      <c r="C49" s="10">
        <f>16114.48-(16114.48*0.11)</f>
        <v>14341.887199999999</v>
      </c>
      <c r="D49" s="11">
        <v>12</v>
      </c>
      <c r="E49" s="13">
        <f t="shared" si="9"/>
        <v>1195.1572666666666</v>
      </c>
      <c r="F49" s="13">
        <f t="shared" si="10"/>
        <v>43025.661599999999</v>
      </c>
      <c r="G49" s="14">
        <f t="shared" si="11"/>
        <v>1.7092049443369368</v>
      </c>
      <c r="H49" s="15" t="s">
        <v>63</v>
      </c>
      <c r="I49" s="15">
        <v>45811</v>
      </c>
    </row>
    <row r="50" spans="1:9" s="5" customFormat="1" ht="13.2">
      <c r="A50" s="6"/>
      <c r="B50" s="9" t="s">
        <v>67</v>
      </c>
      <c r="C50" s="10">
        <v>25471.45</v>
      </c>
      <c r="D50" s="11">
        <v>36</v>
      </c>
      <c r="E50" s="13">
        <f t="shared" si="9"/>
        <v>707.54027777777776</v>
      </c>
      <c r="F50" s="13">
        <f t="shared" si="10"/>
        <v>25471.45</v>
      </c>
      <c r="G50" s="14">
        <f t="shared" si="11"/>
        <v>1.299263782601447</v>
      </c>
      <c r="H50" s="15" t="s">
        <v>63</v>
      </c>
      <c r="I50" s="15">
        <v>45891</v>
      </c>
    </row>
    <row r="51" spans="1:9" s="5" customFormat="1" ht="13.2">
      <c r="A51" s="6"/>
      <c r="B51" s="85" t="s">
        <v>70</v>
      </c>
      <c r="C51" s="86"/>
      <c r="D51" s="86"/>
      <c r="E51" s="87"/>
      <c r="F51" s="16">
        <f>SQRT(_xlfn.VAR.P(F46:F50))</f>
        <v>5834.9323836463218</v>
      </c>
    </row>
    <row r="52" spans="1:9" s="5" customFormat="1" ht="13.2">
      <c r="A52" s="6"/>
      <c r="B52" s="89" t="s">
        <v>25</v>
      </c>
      <c r="C52" s="90"/>
      <c r="D52" s="90"/>
      <c r="E52" s="91"/>
      <c r="F52" s="17">
        <f>SMALL(F46:F50,1)</f>
        <v>25471.45</v>
      </c>
    </row>
    <row r="53" spans="1:9" s="5" customFormat="1" ht="13.2">
      <c r="A53" s="6"/>
      <c r="B53" s="85" t="s">
        <v>5</v>
      </c>
      <c r="C53" s="86"/>
      <c r="D53" s="86"/>
      <c r="E53" s="87"/>
      <c r="F53" s="16">
        <f>AVERAGE(F46:F50)</f>
        <v>33052.566319999998</v>
      </c>
    </row>
    <row r="54" spans="1:9" s="5" customFormat="1" ht="13.2">
      <c r="A54" s="6"/>
      <c r="B54" s="85" t="s">
        <v>6</v>
      </c>
      <c r="C54" s="86"/>
      <c r="D54" s="86"/>
      <c r="E54" s="87"/>
      <c r="F54" s="16">
        <f>MEDIAN(F46:F50)</f>
        <v>31280</v>
      </c>
    </row>
    <row r="55" spans="1:9" s="5" customFormat="1" ht="15" customHeight="1">
      <c r="A55" s="6"/>
      <c r="B55" s="85" t="s">
        <v>71</v>
      </c>
      <c r="C55" s="86"/>
      <c r="D55" s="86"/>
      <c r="E55" s="87"/>
      <c r="F55" s="18">
        <f>F51/F53</f>
        <v>0.17653492703577525</v>
      </c>
    </row>
    <row r="56" spans="1:9" s="5" customFormat="1" ht="13.2">
      <c r="A56" s="6"/>
      <c r="B56" s="6"/>
      <c r="C56" s="6"/>
      <c r="D56" s="6"/>
      <c r="E56" s="6"/>
      <c r="F56" s="6"/>
      <c r="G56" s="6"/>
      <c r="H56" s="6"/>
    </row>
    <row r="57" spans="1:9" s="5" customFormat="1" ht="28.5" customHeight="1">
      <c r="A57" s="6"/>
      <c r="B57" s="88" t="s">
        <v>81</v>
      </c>
      <c r="C57" s="88"/>
      <c r="D57" s="88"/>
      <c r="E57" s="88"/>
      <c r="F57" s="88"/>
      <c r="G57" s="88"/>
      <c r="H57" s="88"/>
    </row>
    <row r="58" spans="1:9" s="5" customFormat="1" ht="26.4">
      <c r="A58" s="6"/>
      <c r="B58" s="8" t="s">
        <v>55</v>
      </c>
      <c r="C58" s="8" t="s">
        <v>56</v>
      </c>
      <c r="D58" s="8" t="s">
        <v>20</v>
      </c>
      <c r="E58" s="8" t="s">
        <v>57</v>
      </c>
      <c r="F58" s="8" t="s">
        <v>58</v>
      </c>
      <c r="G58" s="8" t="s">
        <v>59</v>
      </c>
      <c r="H58" s="8" t="s">
        <v>60</v>
      </c>
      <c r="I58" s="8" t="s">
        <v>61</v>
      </c>
    </row>
    <row r="59" spans="1:9" s="5" customFormat="1" ht="13.2">
      <c r="A59" s="6"/>
      <c r="B59" s="9" t="s">
        <v>62</v>
      </c>
      <c r="C59" s="10">
        <v>144055.71</v>
      </c>
      <c r="D59" s="11">
        <v>12</v>
      </c>
      <c r="E59" s="13">
        <f t="shared" ref="E59:E65" si="12">C59/D59</f>
        <v>12004.6425</v>
      </c>
      <c r="F59" s="13">
        <f t="shared" ref="F59:F65" si="13">E59*36</f>
        <v>432167.13</v>
      </c>
      <c r="G59" s="14">
        <f t="shared" ref="G59:G65" si="14">ABS((F59-$F$68)/$F$66)</f>
        <v>0.75361851704983063</v>
      </c>
      <c r="H59" s="15" t="s">
        <v>63</v>
      </c>
      <c r="I59" s="15">
        <v>45987</v>
      </c>
    </row>
    <row r="60" spans="1:9" s="5" customFormat="1" ht="13.2">
      <c r="A60" s="6"/>
      <c r="B60" s="9" t="s">
        <v>82</v>
      </c>
      <c r="C60" s="10">
        <v>262000</v>
      </c>
      <c r="D60" s="11">
        <v>24</v>
      </c>
      <c r="E60" s="13">
        <f t="shared" si="12"/>
        <v>10916.666666666666</v>
      </c>
      <c r="F60" s="13">
        <f t="shared" si="13"/>
        <v>393000</v>
      </c>
      <c r="G60" s="14">
        <f t="shared" si="14"/>
        <v>0.18229113760291191</v>
      </c>
      <c r="H60" s="15" t="s">
        <v>63</v>
      </c>
      <c r="I60" s="15">
        <v>45937</v>
      </c>
    </row>
    <row r="61" spans="1:9" s="5" customFormat="1" ht="13.2">
      <c r="A61" s="6"/>
      <c r="B61" s="12" t="s">
        <v>83</v>
      </c>
      <c r="C61" s="10">
        <v>133367</v>
      </c>
      <c r="D61" s="11">
        <v>12</v>
      </c>
      <c r="E61" s="13">
        <f t="shared" si="12"/>
        <v>11113.916666666666</v>
      </c>
      <c r="F61" s="13">
        <f t="shared" si="13"/>
        <v>400101</v>
      </c>
      <c r="G61" s="14">
        <f t="shared" si="14"/>
        <v>1.2610733200314011E-2</v>
      </c>
      <c r="H61" s="15" t="s">
        <v>63</v>
      </c>
      <c r="I61" s="15">
        <v>45793</v>
      </c>
    </row>
    <row r="62" spans="1:9" s="5" customFormat="1" ht="13.2">
      <c r="A62" s="6"/>
      <c r="B62" s="9" t="s">
        <v>74</v>
      </c>
      <c r="C62" s="10">
        <v>122874</v>
      </c>
      <c r="D62" s="11">
        <v>12</v>
      </c>
      <c r="E62" s="13">
        <f t="shared" si="12"/>
        <v>10239.5</v>
      </c>
      <c r="F62" s="13">
        <f t="shared" si="13"/>
        <v>368622</v>
      </c>
      <c r="G62" s="14">
        <f t="shared" si="14"/>
        <v>0.76481034595758468</v>
      </c>
      <c r="H62" s="15" t="s">
        <v>63</v>
      </c>
      <c r="I62" s="15">
        <v>45821</v>
      </c>
    </row>
    <row r="63" spans="1:9" s="5" customFormat="1" ht="13.2">
      <c r="A63" s="6"/>
      <c r="B63" s="9" t="s">
        <v>65</v>
      </c>
      <c r="C63" s="10">
        <f>178423.79-(178423.79*0.11)</f>
        <v>158797.17310000001</v>
      </c>
      <c r="D63" s="11">
        <v>12</v>
      </c>
      <c r="E63" s="13">
        <f t="shared" si="12"/>
        <v>13233.097758333335</v>
      </c>
      <c r="F63" s="13">
        <f t="shared" si="13"/>
        <v>476391.51930000004</v>
      </c>
      <c r="G63" s="14">
        <f t="shared" si="14"/>
        <v>1.8103728137519755</v>
      </c>
      <c r="H63" s="15" t="s">
        <v>63</v>
      </c>
      <c r="I63" s="15">
        <v>45811</v>
      </c>
    </row>
    <row r="64" spans="1:9" s="5" customFormat="1" ht="13.2">
      <c r="A64" s="6"/>
      <c r="B64" s="9" t="s">
        <v>67</v>
      </c>
      <c r="C64" s="10">
        <v>333982.59999999998</v>
      </c>
      <c r="D64" s="11">
        <v>36</v>
      </c>
      <c r="E64" s="13">
        <f t="shared" si="12"/>
        <v>9277.2944444444438</v>
      </c>
      <c r="F64" s="13">
        <f t="shared" si="13"/>
        <v>333982.59999999998</v>
      </c>
      <c r="G64" s="14">
        <f t="shared" si="14"/>
        <v>1.5925286110277654</v>
      </c>
      <c r="H64" s="15" t="s">
        <v>63</v>
      </c>
      <c r="I64" s="15" t="s">
        <v>84</v>
      </c>
    </row>
    <row r="65" spans="1:9" s="5" customFormat="1" ht="13.2">
      <c r="A65" s="6"/>
      <c r="B65" s="9" t="s">
        <v>68</v>
      </c>
      <c r="C65" s="10">
        <v>266758</v>
      </c>
      <c r="D65" s="11">
        <v>24</v>
      </c>
      <c r="E65" s="13">
        <f t="shared" si="12"/>
        <v>11114.916666666666</v>
      </c>
      <c r="F65" s="13">
        <f t="shared" si="13"/>
        <v>400137</v>
      </c>
      <c r="G65" s="14">
        <f t="shared" si="14"/>
        <v>1.1750503013228598E-2</v>
      </c>
      <c r="H65" s="15" t="s">
        <v>63</v>
      </c>
      <c r="I65" s="15" t="s">
        <v>69</v>
      </c>
    </row>
    <row r="66" spans="1:9" s="5" customFormat="1" ht="13.2">
      <c r="A66" s="6"/>
      <c r="B66" s="85" t="s">
        <v>70</v>
      </c>
      <c r="C66" s="86"/>
      <c r="D66" s="86"/>
      <c r="E66" s="87"/>
      <c r="F66" s="16">
        <f>SQRT(_xlfn.VAR.P(F59:F65))</f>
        <v>41849.263767379845</v>
      </c>
    </row>
    <row r="67" spans="1:9" s="5" customFormat="1" ht="13.2">
      <c r="A67" s="6"/>
      <c r="B67" s="89" t="s">
        <v>25</v>
      </c>
      <c r="C67" s="90"/>
      <c r="D67" s="90"/>
      <c r="E67" s="91"/>
      <c r="F67" s="17">
        <f>SMALL(F59:F65,1)</f>
        <v>333982.59999999998</v>
      </c>
    </row>
    <row r="68" spans="1:9" s="5" customFormat="1" ht="13.2">
      <c r="A68" s="6"/>
      <c r="B68" s="85" t="s">
        <v>5</v>
      </c>
      <c r="C68" s="86"/>
      <c r="D68" s="86"/>
      <c r="E68" s="87"/>
      <c r="F68" s="16">
        <f>AVERAGE(F59:F65)</f>
        <v>400628.7499</v>
      </c>
    </row>
    <row r="69" spans="1:9" s="5" customFormat="1" ht="13.2">
      <c r="A69" s="6"/>
      <c r="B69" s="85" t="s">
        <v>6</v>
      </c>
      <c r="C69" s="86"/>
      <c r="D69" s="86"/>
      <c r="E69" s="87"/>
      <c r="F69" s="16">
        <f>MEDIAN(F59:F65)</f>
        <v>400101</v>
      </c>
    </row>
    <row r="70" spans="1:9" s="5" customFormat="1" ht="15" customHeight="1">
      <c r="A70" s="6"/>
      <c r="B70" s="85" t="s">
        <v>71</v>
      </c>
      <c r="C70" s="86"/>
      <c r="D70" s="86"/>
      <c r="E70" s="87"/>
      <c r="F70" s="18">
        <f>F66/F68</f>
        <v>0.10445896301207974</v>
      </c>
    </row>
    <row r="71" spans="1:9" s="5" customFormat="1" ht="13.2">
      <c r="A71" s="6"/>
      <c r="B71" s="6"/>
      <c r="C71" s="6"/>
      <c r="D71" s="6"/>
      <c r="E71" s="6"/>
      <c r="F71" s="6"/>
      <c r="G71" s="6"/>
      <c r="H71" s="6"/>
    </row>
    <row r="72" spans="1:9" s="5" customFormat="1" ht="31.5" customHeight="1">
      <c r="A72" s="6"/>
      <c r="B72" s="88" t="s">
        <v>85</v>
      </c>
      <c r="C72" s="88"/>
      <c r="D72" s="88"/>
      <c r="E72" s="88"/>
      <c r="F72" s="88"/>
      <c r="G72" s="88"/>
      <c r="H72" s="88"/>
    </row>
    <row r="73" spans="1:9" s="5" customFormat="1" ht="26.4">
      <c r="A73" s="6"/>
      <c r="B73" s="8" t="s">
        <v>55</v>
      </c>
      <c r="C73" s="8" t="s">
        <v>56</v>
      </c>
      <c r="D73" s="8" t="s">
        <v>20</v>
      </c>
      <c r="E73" s="8" t="s">
        <v>57</v>
      </c>
      <c r="F73" s="8" t="s">
        <v>58</v>
      </c>
      <c r="G73" s="8" t="s">
        <v>59</v>
      </c>
      <c r="H73" s="8" t="s">
        <v>60</v>
      </c>
      <c r="I73" s="8" t="s">
        <v>61</v>
      </c>
    </row>
    <row r="74" spans="1:9" s="5" customFormat="1" ht="13.2">
      <c r="A74" s="6"/>
      <c r="B74" s="9" t="s">
        <v>62</v>
      </c>
      <c r="C74" s="10">
        <v>344334</v>
      </c>
      <c r="D74" s="11">
        <v>12</v>
      </c>
      <c r="E74" s="13">
        <f t="shared" ref="E74:E79" si="15">C74/D74</f>
        <v>28694.5</v>
      </c>
      <c r="F74" s="13">
        <f t="shared" ref="F74:F79" si="16">E74*36</f>
        <v>1033002</v>
      </c>
      <c r="G74" s="14">
        <f t="shared" ref="G74:G79" si="17">ABS((F74-$F$82)/$F$80)</f>
        <v>0.76438500702671197</v>
      </c>
      <c r="H74" s="15" t="s">
        <v>63</v>
      </c>
      <c r="I74" s="15">
        <v>45987</v>
      </c>
    </row>
    <row r="75" spans="1:9" s="5" customFormat="1" ht="13.2">
      <c r="A75" s="6"/>
      <c r="B75" s="9" t="s">
        <v>65</v>
      </c>
      <c r="C75" s="10">
        <f>440451.33-(440451.33*0.11)</f>
        <v>392001.68369999999</v>
      </c>
      <c r="D75" s="11">
        <v>12</v>
      </c>
      <c r="E75" s="13">
        <f t="shared" si="15"/>
        <v>32666.806975</v>
      </c>
      <c r="F75" s="13">
        <f t="shared" si="16"/>
        <v>1176005.0511</v>
      </c>
      <c r="G75" s="14">
        <f t="shared" si="17"/>
        <v>1.8524488606228802</v>
      </c>
      <c r="H75" s="15" t="s">
        <v>63</v>
      </c>
      <c r="I75" s="15">
        <v>45811</v>
      </c>
    </row>
    <row r="76" spans="1:9" s="5" customFormat="1" ht="13.2">
      <c r="A76" s="6"/>
      <c r="B76" s="9" t="s">
        <v>86</v>
      </c>
      <c r="C76" s="10">
        <f>49893.06*D156</f>
        <v>297981.311544</v>
      </c>
      <c r="D76" s="11">
        <v>12</v>
      </c>
      <c r="E76" s="13">
        <f t="shared" si="15"/>
        <v>24831.775962</v>
      </c>
      <c r="F76" s="13">
        <f t="shared" si="16"/>
        <v>893943.93463200005</v>
      </c>
      <c r="G76" s="14">
        <f t="shared" si="17"/>
        <v>0.29366272911654739</v>
      </c>
      <c r="H76" s="15" t="s">
        <v>63</v>
      </c>
      <c r="I76" s="15">
        <v>46079</v>
      </c>
    </row>
    <row r="77" spans="1:9" s="5" customFormat="1" ht="26.4">
      <c r="A77" s="6"/>
      <c r="B77" s="9" t="s">
        <v>87</v>
      </c>
      <c r="C77" s="10">
        <f>52328.21*D155</f>
        <v>270468.81902699999</v>
      </c>
      <c r="D77" s="11">
        <v>12</v>
      </c>
      <c r="E77" s="13">
        <f t="shared" si="15"/>
        <v>22539.068252249999</v>
      </c>
      <c r="F77" s="13">
        <f t="shared" si="16"/>
        <v>811406.45708099997</v>
      </c>
      <c r="G77" s="14">
        <f t="shared" si="17"/>
        <v>0.92166363678563101</v>
      </c>
      <c r="H77" s="15" t="s">
        <v>63</v>
      </c>
      <c r="I77" s="15">
        <v>46079</v>
      </c>
    </row>
    <row r="78" spans="1:9" s="5" customFormat="1" ht="13.2">
      <c r="A78" s="6"/>
      <c r="B78" s="9" t="s">
        <v>77</v>
      </c>
      <c r="C78" s="10">
        <f>52656.99*D155</f>
        <v>272168.184213</v>
      </c>
      <c r="D78" s="11">
        <v>12</v>
      </c>
      <c r="E78" s="13">
        <f t="shared" si="15"/>
        <v>22680.682017750001</v>
      </c>
      <c r="F78" s="13">
        <f t="shared" si="16"/>
        <v>816504.552639</v>
      </c>
      <c r="G78" s="14">
        <f t="shared" si="17"/>
        <v>0.88287388051001103</v>
      </c>
      <c r="H78" s="15" t="s">
        <v>63</v>
      </c>
      <c r="I78" s="15">
        <v>46079</v>
      </c>
    </row>
    <row r="79" spans="1:9" s="5" customFormat="1" ht="26.4">
      <c r="A79" s="6"/>
      <c r="B79" s="9" t="s">
        <v>78</v>
      </c>
      <c r="C79" s="10">
        <f>48242.82*D156</f>
        <v>288125.418168</v>
      </c>
      <c r="D79" s="11">
        <v>12</v>
      </c>
      <c r="E79" s="13">
        <f t="shared" si="15"/>
        <v>24010.451514</v>
      </c>
      <c r="F79" s="13">
        <f t="shared" si="16"/>
        <v>864376.25450400007</v>
      </c>
      <c r="G79" s="14">
        <f t="shared" si="17"/>
        <v>0.51863362123739731</v>
      </c>
      <c r="H79" s="15" t="s">
        <v>63</v>
      </c>
      <c r="I79" s="15">
        <v>46079</v>
      </c>
    </row>
    <row r="80" spans="1:9" s="5" customFormat="1" ht="13.2">
      <c r="A80" s="6"/>
      <c r="B80" s="85" t="s">
        <v>70</v>
      </c>
      <c r="C80" s="86"/>
      <c r="D80" s="86"/>
      <c r="E80" s="87"/>
      <c r="F80" s="16">
        <f>SQRT(_xlfn.VAR.P(F74:F79))</f>
        <v>131428.91442203466</v>
      </c>
    </row>
    <row r="81" spans="1:9" s="5" customFormat="1" ht="13.2">
      <c r="A81" s="6"/>
      <c r="B81" s="89" t="s">
        <v>25</v>
      </c>
      <c r="C81" s="90"/>
      <c r="D81" s="90"/>
      <c r="E81" s="91"/>
      <c r="F81" s="17">
        <f>SMALL(F74:F79,1)</f>
        <v>811406.45708099997</v>
      </c>
    </row>
    <row r="82" spans="1:9" s="5" customFormat="1" ht="13.2">
      <c r="A82" s="6"/>
      <c r="B82" s="85" t="s">
        <v>5</v>
      </c>
      <c r="C82" s="86"/>
      <c r="D82" s="86"/>
      <c r="E82" s="87"/>
      <c r="F82" s="16">
        <f>AVERAGE(F74:F79)</f>
        <v>932539.70832599991</v>
      </c>
    </row>
    <row r="83" spans="1:9" s="5" customFormat="1" ht="13.2">
      <c r="A83" s="6"/>
      <c r="B83" s="85" t="s">
        <v>6</v>
      </c>
      <c r="C83" s="86"/>
      <c r="D83" s="86"/>
      <c r="E83" s="87"/>
      <c r="F83" s="16">
        <f>MEDIAN(F74:F79)</f>
        <v>879160.09456800006</v>
      </c>
    </row>
    <row r="84" spans="1:9" s="5" customFormat="1" ht="15" customHeight="1">
      <c r="A84" s="6"/>
      <c r="B84" s="85" t="s">
        <v>71</v>
      </c>
      <c r="C84" s="86"/>
      <c r="D84" s="86"/>
      <c r="E84" s="87"/>
      <c r="F84" s="18">
        <f>F80/F82</f>
        <v>0.14093653412138604</v>
      </c>
    </row>
    <row r="85" spans="1:9" s="5" customFormat="1" ht="13.2">
      <c r="A85" s="6"/>
      <c r="B85" s="6"/>
      <c r="C85" s="6"/>
      <c r="D85" s="6"/>
      <c r="E85" s="6"/>
      <c r="F85" s="6"/>
      <c r="G85" s="6"/>
      <c r="H85" s="6"/>
    </row>
    <row r="86" spans="1:9" s="5" customFormat="1" ht="36.75" customHeight="1">
      <c r="A86" s="6"/>
      <c r="B86" s="88" t="s">
        <v>88</v>
      </c>
      <c r="C86" s="88"/>
      <c r="D86" s="88"/>
      <c r="E86" s="88"/>
      <c r="F86" s="88"/>
      <c r="G86" s="88"/>
      <c r="H86" s="88"/>
    </row>
    <row r="87" spans="1:9" s="5" customFormat="1" ht="26.4">
      <c r="A87" s="6"/>
      <c r="B87" s="8" t="s">
        <v>55</v>
      </c>
      <c r="C87" s="8" t="s">
        <v>56</v>
      </c>
      <c r="D87" s="8" t="s">
        <v>20</v>
      </c>
      <c r="E87" s="8" t="s">
        <v>57</v>
      </c>
      <c r="F87" s="8" t="s">
        <v>58</v>
      </c>
      <c r="G87" s="8" t="s">
        <v>59</v>
      </c>
      <c r="H87" s="8" t="s">
        <v>60</v>
      </c>
      <c r="I87" s="8" t="s">
        <v>61</v>
      </c>
    </row>
    <row r="88" spans="1:9" s="5" customFormat="1" ht="13.2">
      <c r="A88" s="6"/>
      <c r="B88" s="9" t="s">
        <v>62</v>
      </c>
      <c r="C88" s="10">
        <v>1239602.42</v>
      </c>
      <c r="D88" s="11">
        <v>12</v>
      </c>
      <c r="E88" s="13">
        <f>C88/D88</f>
        <v>103300.20166666666</v>
      </c>
      <c r="F88" s="13">
        <f t="shared" ref="F88:F92" si="18">E88*36</f>
        <v>3718807.26</v>
      </c>
      <c r="G88" s="14">
        <f t="shared" ref="G88:G92" si="19">ABS((F88-$F$95)/$F$93)</f>
        <v>0.68824282757677491</v>
      </c>
      <c r="H88" s="15" t="s">
        <v>63</v>
      </c>
      <c r="I88" s="15">
        <v>45987</v>
      </c>
    </row>
    <row r="89" spans="1:9" s="5" customFormat="1" ht="13.2">
      <c r="A89" s="6"/>
      <c r="B89" s="9" t="s">
        <v>65</v>
      </c>
      <c r="C89" s="10">
        <f>1585623.77-(1585623.77*0.11)</f>
        <v>1411205.1553</v>
      </c>
      <c r="D89" s="11">
        <v>12</v>
      </c>
      <c r="E89" s="13">
        <f t="shared" ref="E89:E92" si="20">C89/D89</f>
        <v>117600.42960833333</v>
      </c>
      <c r="F89" s="13">
        <f t="shared" si="18"/>
        <v>4233615.4659000002</v>
      </c>
      <c r="G89" s="14">
        <f t="shared" si="19"/>
        <v>1.5519706097777668</v>
      </c>
      <c r="H89" s="15" t="s">
        <v>63</v>
      </c>
      <c r="I89" s="15">
        <v>45811</v>
      </c>
    </row>
    <row r="90" spans="1:9" s="5" customFormat="1" ht="26.4">
      <c r="A90" s="6"/>
      <c r="B90" s="9" t="s">
        <v>78</v>
      </c>
      <c r="C90" s="10">
        <f>173669.75*D156</f>
        <v>1037225.2149</v>
      </c>
      <c r="D90" s="11">
        <v>12</v>
      </c>
      <c r="E90" s="13">
        <f t="shared" si="20"/>
        <v>86435.434575000007</v>
      </c>
      <c r="F90" s="13">
        <f t="shared" si="18"/>
        <v>3111675.6447000001</v>
      </c>
      <c r="G90" s="14">
        <f t="shared" si="19"/>
        <v>0.33038204587568254</v>
      </c>
      <c r="H90" s="15" t="s">
        <v>63</v>
      </c>
      <c r="I90" s="15">
        <v>46079</v>
      </c>
    </row>
    <row r="91" spans="1:9" s="5" customFormat="1" ht="26.4">
      <c r="A91" s="6"/>
      <c r="B91" s="9" t="s">
        <v>87</v>
      </c>
      <c r="C91" s="10">
        <f>188353.37*D155</f>
        <v>973542.06351900008</v>
      </c>
      <c r="D91" s="11">
        <v>12</v>
      </c>
      <c r="E91" s="13">
        <f t="shared" si="20"/>
        <v>81128.505293250011</v>
      </c>
      <c r="F91" s="13">
        <f t="shared" si="18"/>
        <v>2920626.1905570002</v>
      </c>
      <c r="G91" s="14">
        <f t="shared" si="19"/>
        <v>0.65091835323535363</v>
      </c>
      <c r="H91" s="15" t="s">
        <v>63</v>
      </c>
      <c r="I91" s="15">
        <v>46079</v>
      </c>
    </row>
    <row r="92" spans="1:9" s="5" customFormat="1" ht="13.2">
      <c r="A92" s="6"/>
      <c r="B92" s="9" t="s">
        <v>89</v>
      </c>
      <c r="C92" s="10">
        <f>164982.99*D155</f>
        <v>852747.58041299996</v>
      </c>
      <c r="D92" s="11">
        <v>12</v>
      </c>
      <c r="E92" s="13">
        <f t="shared" si="20"/>
        <v>71062.298367750001</v>
      </c>
      <c r="F92" s="13">
        <f t="shared" si="18"/>
        <v>2558242.7412390001</v>
      </c>
      <c r="G92" s="14">
        <f t="shared" si="19"/>
        <v>1.2589130382435041</v>
      </c>
      <c r="H92" s="15" t="s">
        <v>63</v>
      </c>
      <c r="I92" s="15">
        <v>46079</v>
      </c>
    </row>
    <row r="93" spans="1:9" s="5" customFormat="1" ht="13.2">
      <c r="A93" s="6"/>
      <c r="B93" s="85" t="s">
        <v>70</v>
      </c>
      <c r="C93" s="86"/>
      <c r="D93" s="86"/>
      <c r="E93" s="87"/>
      <c r="F93" s="16">
        <f>SQRT(_xlfn.VAR.P(F88:F92))</f>
        <v>596030.6204208713</v>
      </c>
    </row>
    <row r="94" spans="1:9" s="5" customFormat="1" ht="13.2">
      <c r="A94" s="6"/>
      <c r="B94" s="89" t="s">
        <v>25</v>
      </c>
      <c r="C94" s="90"/>
      <c r="D94" s="90"/>
      <c r="E94" s="91"/>
      <c r="F94" s="17">
        <f>SMALL(F88:F92,1)</f>
        <v>2558242.7412390001</v>
      </c>
    </row>
    <row r="95" spans="1:9" s="5" customFormat="1" ht="13.2">
      <c r="A95" s="6"/>
      <c r="B95" s="85" t="s">
        <v>5</v>
      </c>
      <c r="C95" s="86"/>
      <c r="D95" s="86"/>
      <c r="E95" s="87"/>
      <c r="F95" s="16">
        <f>AVERAGE(F88:F92)</f>
        <v>3308593.4604791999</v>
      </c>
    </row>
    <row r="96" spans="1:9" s="5" customFormat="1" ht="13.2">
      <c r="A96" s="6"/>
      <c r="B96" s="85" t="s">
        <v>6</v>
      </c>
      <c r="C96" s="86"/>
      <c r="D96" s="86"/>
      <c r="E96" s="87"/>
      <c r="F96" s="16">
        <f>MEDIAN(F88:F92)</f>
        <v>3111675.6447000001</v>
      </c>
    </row>
    <row r="97" spans="1:9" s="5" customFormat="1" ht="15" customHeight="1">
      <c r="A97" s="6"/>
      <c r="B97" s="85" t="s">
        <v>71</v>
      </c>
      <c r="C97" s="86"/>
      <c r="D97" s="86"/>
      <c r="E97" s="87"/>
      <c r="F97" s="18">
        <f>F93/F95</f>
        <v>0.18014622453329315</v>
      </c>
    </row>
    <row r="98" spans="1:9" s="5" customFormat="1" ht="13.2">
      <c r="A98" s="6"/>
      <c r="B98" s="6"/>
      <c r="C98" s="6"/>
      <c r="D98" s="6"/>
      <c r="E98" s="6"/>
      <c r="F98" s="6"/>
      <c r="G98" s="6"/>
      <c r="H98" s="6"/>
    </row>
    <row r="99" spans="1:9" s="5" customFormat="1" ht="27" customHeight="1">
      <c r="A99" s="6"/>
      <c r="B99" s="92" t="s">
        <v>90</v>
      </c>
      <c r="C99" s="92"/>
      <c r="D99" s="92"/>
      <c r="E99" s="92"/>
      <c r="F99" s="92"/>
      <c r="G99" s="92"/>
      <c r="H99" s="92"/>
    </row>
    <row r="100" spans="1:9" s="5" customFormat="1" ht="26.4">
      <c r="A100" s="6"/>
      <c r="B100" s="8" t="s">
        <v>55</v>
      </c>
      <c r="C100" s="8" t="s">
        <v>56</v>
      </c>
      <c r="D100" s="8" t="s">
        <v>20</v>
      </c>
      <c r="E100" s="8" t="s">
        <v>57</v>
      </c>
      <c r="F100" s="8" t="s">
        <v>58</v>
      </c>
      <c r="G100" s="8" t="s">
        <v>59</v>
      </c>
      <c r="H100" s="8" t="s">
        <v>60</v>
      </c>
      <c r="I100" s="8" t="s">
        <v>61</v>
      </c>
    </row>
    <row r="101" spans="1:9" s="5" customFormat="1" ht="13.2">
      <c r="A101" s="6"/>
      <c r="B101" s="12" t="s">
        <v>62</v>
      </c>
      <c r="C101" s="10">
        <v>494316.26</v>
      </c>
      <c r="D101" s="11">
        <v>12</v>
      </c>
      <c r="E101" s="13">
        <f t="shared" ref="E101:E102" si="21">C101/D101</f>
        <v>41193.021666666667</v>
      </c>
      <c r="F101" s="13">
        <f t="shared" ref="F101:F102" si="22">E101*36</f>
        <v>1482948.78</v>
      </c>
      <c r="G101" s="14">
        <f t="shared" ref="G101:G102" si="23">ABS((F101-$F$107)/$F$105)</f>
        <v>0.99999999999999789</v>
      </c>
      <c r="H101" s="15" t="s">
        <v>63</v>
      </c>
      <c r="I101" s="15">
        <v>45987</v>
      </c>
    </row>
    <row r="102" spans="1:9" s="5" customFormat="1" ht="13.2">
      <c r="A102" s="6"/>
      <c r="B102" s="19" t="s">
        <v>91</v>
      </c>
      <c r="C102" s="10">
        <v>457639</v>
      </c>
      <c r="D102" s="11">
        <v>12</v>
      </c>
      <c r="E102" s="13">
        <f t="shared" si="21"/>
        <v>38136.583333333336</v>
      </c>
      <c r="F102" s="13">
        <f t="shared" si="22"/>
        <v>1372917</v>
      </c>
      <c r="G102" s="14">
        <f t="shared" si="23"/>
        <v>1.0000000000000022</v>
      </c>
      <c r="H102" s="15" t="s">
        <v>63</v>
      </c>
      <c r="I102" s="15">
        <v>45793</v>
      </c>
    </row>
    <row r="103" spans="1:9" s="5" customFormat="1" ht="13.2">
      <c r="A103" s="6"/>
      <c r="B103" s="19" t="s">
        <v>66</v>
      </c>
      <c r="C103" s="10">
        <v>4410000</v>
      </c>
      <c r="D103" s="11">
        <v>36</v>
      </c>
      <c r="E103" s="13"/>
      <c r="F103" s="13"/>
      <c r="G103" s="14"/>
      <c r="H103" s="15" t="s">
        <v>92</v>
      </c>
      <c r="I103" s="15">
        <v>45806</v>
      </c>
    </row>
    <row r="104" spans="1:9" s="5" customFormat="1" ht="13.2">
      <c r="A104" s="6"/>
      <c r="B104" s="9" t="s">
        <v>67</v>
      </c>
      <c r="C104" s="10">
        <v>256704</v>
      </c>
      <c r="D104" s="11">
        <v>12</v>
      </c>
      <c r="E104" s="13"/>
      <c r="F104" s="13"/>
      <c r="G104" s="14"/>
      <c r="H104" s="15" t="s">
        <v>93</v>
      </c>
      <c r="I104" s="15">
        <v>45891</v>
      </c>
    </row>
    <row r="105" spans="1:9" s="5" customFormat="1" ht="13.2">
      <c r="A105" s="6"/>
      <c r="B105" s="85" t="s">
        <v>70</v>
      </c>
      <c r="C105" s="86"/>
      <c r="D105" s="86"/>
      <c r="E105" s="87"/>
      <c r="F105" s="16">
        <f>SQRT(_xlfn.VAR.P(F101:F104))</f>
        <v>55015.890000000014</v>
      </c>
    </row>
    <row r="106" spans="1:9" s="5" customFormat="1" ht="13.2">
      <c r="A106" s="6"/>
      <c r="B106" s="89" t="s">
        <v>25</v>
      </c>
      <c r="C106" s="90"/>
      <c r="D106" s="90"/>
      <c r="E106" s="91"/>
      <c r="F106" s="17">
        <f>SMALL(F101:F104,1)</f>
        <v>1372917</v>
      </c>
    </row>
    <row r="107" spans="1:9" s="5" customFormat="1" ht="13.2">
      <c r="A107" s="6"/>
      <c r="B107" s="85" t="s">
        <v>5</v>
      </c>
      <c r="C107" s="86"/>
      <c r="D107" s="86"/>
      <c r="E107" s="87"/>
      <c r="F107" s="16">
        <f>AVERAGE(F101:F104)</f>
        <v>1427932.8900000001</v>
      </c>
    </row>
    <row r="108" spans="1:9" s="5" customFormat="1" ht="13.2">
      <c r="A108" s="6"/>
      <c r="B108" s="85" t="s">
        <v>6</v>
      </c>
      <c r="C108" s="86"/>
      <c r="D108" s="86"/>
      <c r="E108" s="87"/>
      <c r="F108" s="16">
        <f>MEDIAN(F101:F104)</f>
        <v>1427932.8900000001</v>
      </c>
    </row>
    <row r="109" spans="1:9" s="5" customFormat="1" ht="15" customHeight="1">
      <c r="A109" s="6"/>
      <c r="B109" s="85" t="s">
        <v>71</v>
      </c>
      <c r="C109" s="86"/>
      <c r="D109" s="86"/>
      <c r="E109" s="87"/>
      <c r="F109" s="18">
        <f>F105/F107</f>
        <v>3.8528344283742924E-2</v>
      </c>
    </row>
    <row r="110" spans="1:9" s="5" customFormat="1" ht="13.2">
      <c r="A110" s="6"/>
      <c r="B110" s="6"/>
      <c r="C110" s="6"/>
      <c r="D110" s="6"/>
      <c r="E110" s="6"/>
      <c r="F110" s="6"/>
      <c r="G110" s="6"/>
      <c r="H110" s="6"/>
    </row>
    <row r="111" spans="1:9" s="5" customFormat="1" ht="34.5" customHeight="1">
      <c r="A111" s="6"/>
      <c r="B111" s="88" t="s">
        <v>94</v>
      </c>
      <c r="C111" s="88"/>
      <c r="D111" s="88"/>
      <c r="E111" s="88"/>
      <c r="F111" s="88"/>
      <c r="G111" s="88"/>
      <c r="H111" s="88"/>
    </row>
    <row r="112" spans="1:9" s="5" customFormat="1" ht="15" customHeight="1">
      <c r="A112" s="6"/>
      <c r="B112" s="8" t="s">
        <v>55</v>
      </c>
      <c r="C112" s="8" t="s">
        <v>56</v>
      </c>
      <c r="D112" s="8" t="s">
        <v>20</v>
      </c>
      <c r="E112" s="8" t="s">
        <v>57</v>
      </c>
      <c r="F112" s="8" t="s">
        <v>58</v>
      </c>
      <c r="G112" s="8" t="s">
        <v>59</v>
      </c>
      <c r="H112" s="8" t="s">
        <v>60</v>
      </c>
      <c r="I112" s="8" t="s">
        <v>61</v>
      </c>
    </row>
    <row r="113" spans="1:9" s="5" customFormat="1" ht="15" customHeight="1">
      <c r="A113" s="6"/>
      <c r="B113" s="9" t="s">
        <v>62</v>
      </c>
      <c r="C113" s="10">
        <v>1856582.14</v>
      </c>
      <c r="D113" s="11">
        <v>12</v>
      </c>
      <c r="E113" s="13">
        <f t="shared" ref="E113:E116" si="24">C113/D113</f>
        <v>154715.17833333332</v>
      </c>
      <c r="F113" s="13">
        <f t="shared" ref="F113:F115" si="25">E113*36</f>
        <v>5569746.419999999</v>
      </c>
      <c r="G113" s="14">
        <f t="shared" ref="G113:G116" si="26">ABS((F113-$F$119)/$F$117)</f>
        <v>1.2385195425970705</v>
      </c>
      <c r="H113" s="15" t="s">
        <v>63</v>
      </c>
      <c r="I113" s="15">
        <v>45987</v>
      </c>
    </row>
    <row r="114" spans="1:9" s="5" customFormat="1" ht="15" customHeight="1">
      <c r="A114" s="6"/>
      <c r="B114" s="9" t="s">
        <v>64</v>
      </c>
      <c r="C114" s="10">
        <v>1532097.37</v>
      </c>
      <c r="D114" s="11">
        <v>12</v>
      </c>
      <c r="E114" s="13">
        <f t="shared" si="24"/>
        <v>127674.78083333334</v>
      </c>
      <c r="F114" s="13">
        <f t="shared" si="25"/>
        <v>4596292.1100000003</v>
      </c>
      <c r="G114" s="14">
        <f t="shared" si="26"/>
        <v>0.37037245973277516</v>
      </c>
      <c r="H114" s="15" t="s">
        <v>63</v>
      </c>
      <c r="I114" s="15">
        <v>46017</v>
      </c>
    </row>
    <row r="115" spans="1:9" s="5" customFormat="1" ht="15" customHeight="1">
      <c r="A115" s="6"/>
      <c r="B115" s="9" t="s">
        <v>83</v>
      </c>
      <c r="C115" s="10">
        <v>1718500</v>
      </c>
      <c r="D115" s="11">
        <v>12</v>
      </c>
      <c r="E115" s="13">
        <f t="shared" si="24"/>
        <v>143208.33333333334</v>
      </c>
      <c r="F115" s="13">
        <f t="shared" si="25"/>
        <v>5155500</v>
      </c>
      <c r="G115" s="14">
        <f t="shared" si="26"/>
        <v>0.55386722221053941</v>
      </c>
      <c r="H115" s="15" t="s">
        <v>63</v>
      </c>
      <c r="I115" s="15">
        <v>45793</v>
      </c>
    </row>
    <row r="116" spans="1:9" s="5" customFormat="1" ht="15" customHeight="1">
      <c r="A116" s="6"/>
      <c r="B116" s="12" t="s">
        <v>66</v>
      </c>
      <c r="C116" s="10">
        <v>3960000</v>
      </c>
      <c r="D116" s="11">
        <v>36</v>
      </c>
      <c r="E116" s="13">
        <f t="shared" si="24"/>
        <v>110000</v>
      </c>
      <c r="F116" s="13">
        <f t="shared" ref="F116" si="27">E116*36</f>
        <v>3960000</v>
      </c>
      <c r="G116" s="14">
        <f t="shared" si="26"/>
        <v>1.4220143050748377</v>
      </c>
      <c r="H116" s="15" t="s">
        <v>63</v>
      </c>
      <c r="I116" s="15">
        <v>45806</v>
      </c>
    </row>
    <row r="117" spans="1:9" s="5" customFormat="1" ht="15" customHeight="1">
      <c r="A117" s="6"/>
      <c r="B117" s="85" t="s">
        <v>70</v>
      </c>
      <c r="C117" s="86"/>
      <c r="D117" s="86"/>
      <c r="E117" s="87"/>
      <c r="F117" s="16">
        <f>SQRT(_xlfn.VAR.P(F113:F116))</f>
        <v>605046.39751477039</v>
      </c>
    </row>
    <row r="118" spans="1:9" s="5" customFormat="1" ht="15" customHeight="1">
      <c r="A118" s="6"/>
      <c r="B118" s="89" t="s">
        <v>25</v>
      </c>
      <c r="C118" s="90"/>
      <c r="D118" s="90"/>
      <c r="E118" s="91"/>
      <c r="F118" s="17">
        <f>SMALL(F113:F116,1)</f>
        <v>3960000</v>
      </c>
    </row>
    <row r="119" spans="1:9" s="5" customFormat="1" ht="15" customHeight="1">
      <c r="A119" s="6"/>
      <c r="B119" s="85" t="s">
        <v>5</v>
      </c>
      <c r="C119" s="86"/>
      <c r="D119" s="86"/>
      <c r="E119" s="87"/>
      <c r="F119" s="16">
        <f>AVERAGE(F113:F116)</f>
        <v>4820384.6325000003</v>
      </c>
    </row>
    <row r="120" spans="1:9" s="5" customFormat="1" ht="15" customHeight="1">
      <c r="A120" s="6"/>
      <c r="B120" s="85" t="s">
        <v>6</v>
      </c>
      <c r="C120" s="86"/>
      <c r="D120" s="86"/>
      <c r="E120" s="87"/>
      <c r="F120" s="16">
        <f>MEDIAN(F113:F116)</f>
        <v>4875896.0549999997</v>
      </c>
    </row>
    <row r="121" spans="1:9" s="5" customFormat="1" ht="15" customHeight="1">
      <c r="A121" s="6"/>
      <c r="B121" s="85" t="s">
        <v>71</v>
      </c>
      <c r="C121" s="86"/>
      <c r="D121" s="86"/>
      <c r="E121" s="87"/>
      <c r="F121" s="18">
        <f>F117/F119</f>
        <v>0.12551828197182155</v>
      </c>
    </row>
    <row r="124" spans="1:9" ht="22.5" customHeight="1">
      <c r="B124" s="88" t="s">
        <v>118</v>
      </c>
      <c r="C124" s="88"/>
      <c r="D124" s="88"/>
      <c r="E124" s="88"/>
      <c r="F124" s="88"/>
      <c r="G124" s="88"/>
      <c r="H124" s="88"/>
    </row>
    <row r="125" spans="1:9" ht="15" customHeight="1">
      <c r="B125" s="8" t="s">
        <v>55</v>
      </c>
      <c r="C125" s="8" t="s">
        <v>56</v>
      </c>
      <c r="D125" s="8" t="s">
        <v>20</v>
      </c>
      <c r="E125" s="8" t="s">
        <v>57</v>
      </c>
      <c r="F125" s="8" t="s">
        <v>95</v>
      </c>
      <c r="G125" s="8" t="s">
        <v>59</v>
      </c>
      <c r="H125" s="8" t="s">
        <v>60</v>
      </c>
      <c r="I125" s="8" t="s">
        <v>61</v>
      </c>
    </row>
    <row r="126" spans="1:9" ht="15" customHeight="1">
      <c r="B126" s="9" t="s">
        <v>62</v>
      </c>
      <c r="C126" s="10">
        <v>30635.1</v>
      </c>
      <c r="D126" s="11">
        <v>12</v>
      </c>
      <c r="E126" s="13">
        <f>C126/D126</f>
        <v>2552.9249999999997</v>
      </c>
      <c r="F126" s="13">
        <f>E126*36</f>
        <v>91905.299999999988</v>
      </c>
      <c r="G126" s="14">
        <f t="shared" ref="G126:G130" si="28">ABS((F126-$F$133)/$F$131)</f>
        <v>0.97947915971321808</v>
      </c>
      <c r="H126" s="15" t="s">
        <v>63</v>
      </c>
      <c r="I126" s="15">
        <v>45987</v>
      </c>
    </row>
    <row r="127" spans="1:9" ht="15" customHeight="1">
      <c r="B127" s="9" t="s">
        <v>64</v>
      </c>
      <c r="C127" s="10">
        <v>22418.33</v>
      </c>
      <c r="D127" s="11">
        <v>12</v>
      </c>
      <c r="E127" s="13">
        <f t="shared" ref="E127:E130" si="29">C127/D127</f>
        <v>1868.1941666666669</v>
      </c>
      <c r="F127" s="13">
        <f t="shared" ref="F127:F129" si="30">E127*36</f>
        <v>67254.990000000005</v>
      </c>
      <c r="G127" s="14">
        <f t="shared" si="28"/>
        <v>0.36929764581413599</v>
      </c>
      <c r="H127" s="15" t="s">
        <v>63</v>
      </c>
      <c r="I127" s="15">
        <v>46017</v>
      </c>
    </row>
    <row r="128" spans="1:9" ht="15" customHeight="1">
      <c r="B128" s="9" t="s">
        <v>83</v>
      </c>
      <c r="C128" s="10">
        <v>33088</v>
      </c>
      <c r="D128" s="11">
        <v>12</v>
      </c>
      <c r="E128" s="13">
        <f t="shared" si="29"/>
        <v>2757.3333333333335</v>
      </c>
      <c r="F128" s="13">
        <f t="shared" si="30"/>
        <v>99264</v>
      </c>
      <c r="G128" s="14">
        <f t="shared" si="28"/>
        <v>1.3821209065648463</v>
      </c>
      <c r="H128" s="15" t="s">
        <v>63</v>
      </c>
      <c r="I128" s="15">
        <v>45793</v>
      </c>
    </row>
    <row r="129" spans="1:9" ht="15" customHeight="1">
      <c r="B129" s="9" t="s">
        <v>74</v>
      </c>
      <c r="C129" s="10">
        <v>19016</v>
      </c>
      <c r="D129" s="11">
        <v>12</v>
      </c>
      <c r="E129" s="13">
        <f t="shared" si="29"/>
        <v>1584.6666666666667</v>
      </c>
      <c r="F129" s="13">
        <f t="shared" si="30"/>
        <v>57048</v>
      </c>
      <c r="G129" s="14">
        <f t="shared" si="28"/>
        <v>0.9277876350373816</v>
      </c>
      <c r="H129" s="15" t="s">
        <v>63</v>
      </c>
      <c r="I129" s="15">
        <v>45821</v>
      </c>
    </row>
    <row r="130" spans="1:9" ht="15" customHeight="1">
      <c r="B130" s="9" t="s">
        <v>65</v>
      </c>
      <c r="C130" s="10">
        <f>20430.4-(20430.4*0.11)</f>
        <v>18183.056</v>
      </c>
      <c r="D130" s="11">
        <v>12</v>
      </c>
      <c r="E130" s="13">
        <f t="shared" si="29"/>
        <v>1515.2546666666667</v>
      </c>
      <c r="F130" s="13">
        <f>E130*36</f>
        <v>54549.168000000005</v>
      </c>
      <c r="G130" s="14">
        <f t="shared" si="28"/>
        <v>1.064514785426546</v>
      </c>
      <c r="H130" s="15" t="s">
        <v>63</v>
      </c>
      <c r="I130" s="15">
        <v>45811</v>
      </c>
    </row>
    <row r="131" spans="1:9" ht="15" customHeight="1">
      <c r="B131" s="85" t="s">
        <v>70</v>
      </c>
      <c r="C131" s="86"/>
      <c r="D131" s="86"/>
      <c r="E131" s="87"/>
      <c r="F131" s="16">
        <f>SQRT(_xlfn.VAR.P(F126:F130))</f>
        <v>18276.048267572362</v>
      </c>
      <c r="G131" s="5"/>
      <c r="H131" s="5"/>
    </row>
    <row r="132" spans="1:9" ht="15" customHeight="1">
      <c r="B132" s="89" t="s">
        <v>25</v>
      </c>
      <c r="C132" s="90"/>
      <c r="D132" s="90"/>
      <c r="E132" s="91"/>
      <c r="F132" s="17">
        <f>SMALL(F126:F130,1)</f>
        <v>54549.168000000005</v>
      </c>
      <c r="G132" s="5"/>
      <c r="H132" s="5"/>
    </row>
    <row r="133" spans="1:9" ht="15" customHeight="1">
      <c r="B133" s="85" t="s">
        <v>5</v>
      </c>
      <c r="C133" s="86"/>
      <c r="D133" s="86"/>
      <c r="E133" s="87"/>
      <c r="F133" s="16">
        <f>AVERAGE(F126:F130)</f>
        <v>74004.291599999997</v>
      </c>
      <c r="G133" s="5"/>
      <c r="H133" s="5"/>
    </row>
    <row r="134" spans="1:9" ht="15" customHeight="1">
      <c r="B134" s="85" t="s">
        <v>6</v>
      </c>
      <c r="C134" s="86"/>
      <c r="D134" s="86"/>
      <c r="E134" s="87"/>
      <c r="F134" s="16">
        <f>MEDIAN(F126:F130)</f>
        <v>67254.990000000005</v>
      </c>
      <c r="G134" s="5"/>
      <c r="H134" s="5"/>
    </row>
    <row r="135" spans="1:9" ht="15" customHeight="1">
      <c r="B135" s="85" t="s">
        <v>71</v>
      </c>
      <c r="C135" s="86"/>
      <c r="D135" s="86"/>
      <c r="E135" s="87"/>
      <c r="F135" s="18">
        <f>F131/F133</f>
        <v>0.2469593029328094</v>
      </c>
      <c r="G135" s="5"/>
      <c r="H135" s="5"/>
    </row>
    <row r="138" spans="1:9" s="5" customFormat="1" ht="27" customHeight="1">
      <c r="A138" s="6"/>
      <c r="B138" s="88" t="s">
        <v>96</v>
      </c>
      <c r="C138" s="88"/>
      <c r="D138" s="88"/>
      <c r="E138" s="88"/>
      <c r="F138" s="88"/>
      <c r="G138" s="88"/>
      <c r="H138" s="88"/>
    </row>
    <row r="139" spans="1:9" s="5" customFormat="1" ht="15" customHeight="1">
      <c r="A139" s="6"/>
      <c r="B139" s="8" t="s">
        <v>55</v>
      </c>
      <c r="C139" s="8" t="s">
        <v>56</v>
      </c>
      <c r="D139" s="8" t="s">
        <v>20</v>
      </c>
      <c r="E139" s="8" t="s">
        <v>57</v>
      </c>
      <c r="F139" s="8" t="s">
        <v>58</v>
      </c>
      <c r="G139" s="8" t="s">
        <v>59</v>
      </c>
      <c r="H139" s="8" t="s">
        <v>60</v>
      </c>
      <c r="I139" s="8" t="s">
        <v>61</v>
      </c>
    </row>
    <row r="140" spans="1:9" s="5" customFormat="1" ht="15" customHeight="1">
      <c r="A140" s="6"/>
      <c r="B140" s="9" t="s">
        <v>62</v>
      </c>
      <c r="C140" s="10">
        <v>42098.74</v>
      </c>
      <c r="D140" s="11">
        <v>12</v>
      </c>
      <c r="E140" s="13">
        <f t="shared" ref="E140:E147" si="31">C140/D140</f>
        <v>3508.228333333333</v>
      </c>
      <c r="F140" s="13">
        <f t="shared" ref="F140:F147" si="32">E140*36</f>
        <v>126296.21999999999</v>
      </c>
      <c r="G140" s="14">
        <f t="shared" ref="G140:G147" si="33">ABS((F140-$F$150)/$F$148)</f>
        <v>0.96167116215695336</v>
      </c>
      <c r="H140" s="15" t="s">
        <v>63</v>
      </c>
      <c r="I140" s="15">
        <v>45987</v>
      </c>
    </row>
    <row r="141" spans="1:9" s="5" customFormat="1" ht="15" customHeight="1">
      <c r="A141" s="6"/>
      <c r="B141" s="9" t="s">
        <v>74</v>
      </c>
      <c r="C141" s="20">
        <f>35401</f>
        <v>35401</v>
      </c>
      <c r="D141" s="11">
        <v>12</v>
      </c>
      <c r="E141" s="13">
        <f t="shared" si="31"/>
        <v>2950.0833333333335</v>
      </c>
      <c r="F141" s="13">
        <f t="shared" si="32"/>
        <v>106203</v>
      </c>
      <c r="G141" s="14">
        <f t="shared" si="33"/>
        <v>0.37696247714460357</v>
      </c>
      <c r="H141" s="15" t="s">
        <v>63</v>
      </c>
      <c r="I141" s="15">
        <v>45821</v>
      </c>
    </row>
    <row r="142" spans="1:9" s="5" customFormat="1" ht="15" customHeight="1">
      <c r="A142" s="6"/>
      <c r="B142" s="9" t="s">
        <v>64</v>
      </c>
      <c r="C142" s="10">
        <v>34777.589999999997</v>
      </c>
      <c r="D142" s="11">
        <v>12</v>
      </c>
      <c r="E142" s="13">
        <f t="shared" si="31"/>
        <v>2898.1324999999997</v>
      </c>
      <c r="F142" s="13">
        <f t="shared" si="32"/>
        <v>104332.76999999999</v>
      </c>
      <c r="G142" s="14">
        <f t="shared" si="33"/>
        <v>0.50155937058582234</v>
      </c>
      <c r="H142" s="15" t="s">
        <v>63</v>
      </c>
      <c r="I142" s="15">
        <v>45884</v>
      </c>
    </row>
    <row r="143" spans="1:9" s="5" customFormat="1" ht="15" customHeight="1">
      <c r="A143" s="6"/>
      <c r="B143" s="9" t="s">
        <v>82</v>
      </c>
      <c r="C143" s="10">
        <v>80500</v>
      </c>
      <c r="D143" s="11">
        <v>24</v>
      </c>
      <c r="E143" s="13">
        <f t="shared" si="31"/>
        <v>3354.1666666666665</v>
      </c>
      <c r="F143" s="13">
        <f t="shared" si="32"/>
        <v>120750</v>
      </c>
      <c r="G143" s="14">
        <f t="shared" si="33"/>
        <v>0.59217554806587847</v>
      </c>
      <c r="H143" s="15" t="s">
        <v>63</v>
      </c>
      <c r="I143" s="15">
        <v>45937</v>
      </c>
    </row>
    <row r="144" spans="1:9" s="5" customFormat="1" ht="15" customHeight="1">
      <c r="A144" s="6"/>
      <c r="B144" s="9" t="s">
        <v>65</v>
      </c>
      <c r="C144" s="10">
        <f>50977.68-(50977.68*0.11)</f>
        <v>45370.135200000004</v>
      </c>
      <c r="D144" s="11">
        <v>12</v>
      </c>
      <c r="E144" s="13">
        <f t="shared" si="31"/>
        <v>3780.8446000000004</v>
      </c>
      <c r="F144" s="13">
        <f t="shared" si="32"/>
        <v>136110.4056</v>
      </c>
      <c r="G144" s="14">
        <f t="shared" si="33"/>
        <v>1.6155035984966222</v>
      </c>
      <c r="H144" s="15" t="s">
        <v>63</v>
      </c>
      <c r="I144" s="15">
        <v>45811</v>
      </c>
    </row>
    <row r="145" spans="1:9" s="5" customFormat="1" ht="15" customHeight="1">
      <c r="A145" s="6"/>
      <c r="B145" s="9" t="s">
        <v>67</v>
      </c>
      <c r="C145" s="10">
        <v>96264</v>
      </c>
      <c r="D145" s="11">
        <v>36</v>
      </c>
      <c r="E145" s="13">
        <f t="shared" si="31"/>
        <v>2674</v>
      </c>
      <c r="F145" s="13">
        <f t="shared" si="32"/>
        <v>96264</v>
      </c>
      <c r="G145" s="14">
        <f t="shared" si="33"/>
        <v>1.0391101936887006</v>
      </c>
      <c r="H145" s="15" t="s">
        <v>63</v>
      </c>
      <c r="I145" s="15">
        <v>45891</v>
      </c>
    </row>
    <row r="146" spans="1:9" s="5" customFormat="1" ht="15" customHeight="1">
      <c r="A146" s="6"/>
      <c r="B146" s="9" t="s">
        <v>97</v>
      </c>
      <c r="C146" s="10">
        <v>88000</v>
      </c>
      <c r="D146" s="11">
        <v>36</v>
      </c>
      <c r="E146" s="13">
        <f t="shared" si="31"/>
        <v>2444.4444444444443</v>
      </c>
      <c r="F146" s="13">
        <f t="shared" si="32"/>
        <v>88000</v>
      </c>
      <c r="G146" s="14">
        <f t="shared" si="33"/>
        <v>1.5896674660018528</v>
      </c>
      <c r="H146" s="15" t="s">
        <v>63</v>
      </c>
      <c r="I146" s="15">
        <v>45888</v>
      </c>
    </row>
    <row r="147" spans="1:9" s="5" customFormat="1" ht="15" customHeight="1">
      <c r="A147" s="6"/>
      <c r="B147" s="9" t="s">
        <v>68</v>
      </c>
      <c r="C147" s="10">
        <v>77956</v>
      </c>
      <c r="D147" s="11">
        <v>24</v>
      </c>
      <c r="E147" s="13">
        <f t="shared" si="31"/>
        <v>3248.1666666666665</v>
      </c>
      <c r="F147" s="13">
        <f t="shared" si="32"/>
        <v>116934</v>
      </c>
      <c r="G147" s="14">
        <f t="shared" si="33"/>
        <v>0.33794919870152845</v>
      </c>
      <c r="H147" s="15" t="s">
        <v>63</v>
      </c>
      <c r="I147" s="15" t="s">
        <v>69</v>
      </c>
    </row>
    <row r="148" spans="1:9" s="5" customFormat="1" ht="15" customHeight="1">
      <c r="A148" s="6"/>
      <c r="B148" s="85" t="s">
        <v>70</v>
      </c>
      <c r="C148" s="86"/>
      <c r="D148" s="86"/>
      <c r="E148" s="87"/>
      <c r="F148" s="16">
        <f>SQRT(_xlfn.VAR.P(F140:F147))</f>
        <v>15010.245828338655</v>
      </c>
    </row>
    <row r="149" spans="1:9" s="5" customFormat="1" ht="15" customHeight="1">
      <c r="A149" s="6"/>
      <c r="B149" s="89" t="s">
        <v>25</v>
      </c>
      <c r="C149" s="90"/>
      <c r="D149" s="90"/>
      <c r="E149" s="91"/>
      <c r="F149" s="17">
        <f>SMALL(F140:F147,1)</f>
        <v>88000</v>
      </c>
    </row>
    <row r="150" spans="1:9" s="5" customFormat="1" ht="15" customHeight="1">
      <c r="A150" s="6"/>
      <c r="B150" s="85" t="s">
        <v>5</v>
      </c>
      <c r="C150" s="86"/>
      <c r="D150" s="86"/>
      <c r="E150" s="87"/>
      <c r="F150" s="16">
        <f>AVERAGE(F140:F147)</f>
        <v>111861.29944999999</v>
      </c>
    </row>
    <row r="151" spans="1:9" s="5" customFormat="1" ht="15" customHeight="1">
      <c r="A151" s="6"/>
      <c r="B151" s="85" t="s">
        <v>6</v>
      </c>
      <c r="C151" s="86"/>
      <c r="D151" s="86"/>
      <c r="E151" s="87"/>
      <c r="F151" s="16">
        <f>MEDIAN(F140:F147)</f>
        <v>111568.5</v>
      </c>
    </row>
    <row r="152" spans="1:9" s="5" customFormat="1" ht="15" customHeight="1">
      <c r="A152" s="6"/>
      <c r="B152" s="85" t="s">
        <v>71</v>
      </c>
      <c r="C152" s="86"/>
      <c r="D152" s="86"/>
      <c r="E152" s="87"/>
      <c r="F152" s="18">
        <f>F148/F150</f>
        <v>0.13418622796392571</v>
      </c>
    </row>
    <row r="155" spans="1:9" ht="15" customHeight="1">
      <c r="B155" s="81" t="s">
        <v>114</v>
      </c>
      <c r="C155" s="82"/>
      <c r="D155" s="56">
        <v>5.1687000000000003</v>
      </c>
    </row>
    <row r="156" spans="1:9" ht="15" customHeight="1">
      <c r="B156" s="83" t="s">
        <v>115</v>
      </c>
      <c r="C156" s="84"/>
      <c r="D156" s="57">
        <v>5.9724000000000004</v>
      </c>
    </row>
    <row r="166" spans="2:2" ht="15" customHeight="1">
      <c r="B166" s="21"/>
    </row>
  </sheetData>
  <mergeCells count="68">
    <mergeCell ref="B1:H1"/>
    <mergeCell ref="B9:E9"/>
    <mergeCell ref="B10:E10"/>
    <mergeCell ref="B11:E11"/>
    <mergeCell ref="B12:E12"/>
    <mergeCell ref="B13:E13"/>
    <mergeCell ref="B16:H16"/>
    <mergeCell ref="B23:E23"/>
    <mergeCell ref="B24:E24"/>
    <mergeCell ref="B25:E25"/>
    <mergeCell ref="B26:E26"/>
    <mergeCell ref="B27:E27"/>
    <mergeCell ref="B31:H31"/>
    <mergeCell ref="B37:E37"/>
    <mergeCell ref="B38:E38"/>
    <mergeCell ref="B39:E39"/>
    <mergeCell ref="B40:E40"/>
    <mergeCell ref="B41:E41"/>
    <mergeCell ref="B44:H44"/>
    <mergeCell ref="B51:E51"/>
    <mergeCell ref="B52:E52"/>
    <mergeCell ref="B53:E53"/>
    <mergeCell ref="B54:E54"/>
    <mergeCell ref="B55:E55"/>
    <mergeCell ref="B57:H57"/>
    <mergeCell ref="B66:E66"/>
    <mergeCell ref="B67:E67"/>
    <mergeCell ref="B68:E68"/>
    <mergeCell ref="B69:E69"/>
    <mergeCell ref="B70:E70"/>
    <mergeCell ref="B72:H72"/>
    <mergeCell ref="B80:E80"/>
    <mergeCell ref="B81:E81"/>
    <mergeCell ref="B82:E82"/>
    <mergeCell ref="B83:E83"/>
    <mergeCell ref="B84:E84"/>
    <mergeCell ref="B86:H86"/>
    <mergeCell ref="B93:E93"/>
    <mergeCell ref="B94:E94"/>
    <mergeCell ref="B95:E95"/>
    <mergeCell ref="B96:E96"/>
    <mergeCell ref="B97:E97"/>
    <mergeCell ref="B99:H99"/>
    <mergeCell ref="B105:E105"/>
    <mergeCell ref="B106:E106"/>
    <mergeCell ref="B107:E107"/>
    <mergeCell ref="B108:E108"/>
    <mergeCell ref="B109:E109"/>
    <mergeCell ref="B111:H111"/>
    <mergeCell ref="B117:E117"/>
    <mergeCell ref="B118:E118"/>
    <mergeCell ref="B119:E119"/>
    <mergeCell ref="B120:E120"/>
    <mergeCell ref="B121:E121"/>
    <mergeCell ref="B124:H124"/>
    <mergeCell ref="B131:E131"/>
    <mergeCell ref="B132:E132"/>
    <mergeCell ref="B133:E133"/>
    <mergeCell ref="B134:E134"/>
    <mergeCell ref="B135:E135"/>
    <mergeCell ref="B155:C155"/>
    <mergeCell ref="B156:C156"/>
    <mergeCell ref="B152:E152"/>
    <mergeCell ref="B138:H138"/>
    <mergeCell ref="B148:E148"/>
    <mergeCell ref="B149:E149"/>
    <mergeCell ref="B150:E150"/>
    <mergeCell ref="B151:E151"/>
  </mergeCells>
  <conditionalFormatting sqref="F3:F8">
    <cfRule type="top10" dxfId="54" priority="122" bottom="1" rank="1"/>
  </conditionalFormatting>
  <conditionalFormatting sqref="F13">
    <cfRule type="cellIs" dxfId="53" priority="123" operator="lessThan">
      <formula>0.25</formula>
    </cfRule>
  </conditionalFormatting>
  <conditionalFormatting sqref="F18:F22">
    <cfRule type="top10" dxfId="52" priority="98" bottom="1" rank="1"/>
  </conditionalFormatting>
  <conditionalFormatting sqref="F27">
    <cfRule type="cellIs" dxfId="51" priority="88" operator="lessThan">
      <formula>0.25</formula>
    </cfRule>
  </conditionalFormatting>
  <conditionalFormatting sqref="F33:F36">
    <cfRule type="top10" dxfId="50" priority="97" bottom="1" rank="1"/>
  </conditionalFormatting>
  <conditionalFormatting sqref="F41">
    <cfRule type="cellIs" dxfId="49" priority="87" operator="lessThan">
      <formula>0.25</formula>
    </cfRule>
  </conditionalFormatting>
  <conditionalFormatting sqref="F46:F50">
    <cfRule type="top10" dxfId="48" priority="96" bottom="1" rank="1"/>
  </conditionalFormatting>
  <conditionalFormatting sqref="F55">
    <cfRule type="cellIs" dxfId="47" priority="86" operator="lessThan">
      <formula>0.25</formula>
    </cfRule>
  </conditionalFormatting>
  <conditionalFormatting sqref="F59:F65">
    <cfRule type="top10" dxfId="46" priority="95" bottom="1" rank="1"/>
  </conditionalFormatting>
  <conditionalFormatting sqref="F70">
    <cfRule type="cellIs" dxfId="45" priority="85" operator="lessThan">
      <formula>0.25</formula>
    </cfRule>
  </conditionalFormatting>
  <conditionalFormatting sqref="F74:F79">
    <cfRule type="top10" dxfId="44" priority="94" bottom="1" rank="1"/>
  </conditionalFormatting>
  <conditionalFormatting sqref="F84">
    <cfRule type="cellIs" dxfId="43" priority="84" operator="lessThan">
      <formula>0.25</formula>
    </cfRule>
  </conditionalFormatting>
  <conditionalFormatting sqref="F88:F92">
    <cfRule type="top10" dxfId="42" priority="93" bottom="1" rank="1"/>
  </conditionalFormatting>
  <conditionalFormatting sqref="F97">
    <cfRule type="cellIs" dxfId="41" priority="83" operator="lessThan">
      <formula>0.25</formula>
    </cfRule>
  </conditionalFormatting>
  <conditionalFormatting sqref="F101:F104">
    <cfRule type="top10" dxfId="40" priority="92" bottom="1" rank="1"/>
  </conditionalFormatting>
  <conditionalFormatting sqref="F109">
    <cfRule type="cellIs" dxfId="39" priority="82" operator="lessThan">
      <formula>0.25</formula>
    </cfRule>
  </conditionalFormatting>
  <conditionalFormatting sqref="F113:F116">
    <cfRule type="top10" dxfId="38" priority="91" bottom="1" rank="1"/>
  </conditionalFormatting>
  <conditionalFormatting sqref="F121">
    <cfRule type="cellIs" dxfId="37" priority="81" operator="lessThan">
      <formula>0.25</formula>
    </cfRule>
  </conditionalFormatting>
  <conditionalFormatting sqref="F126:F130">
    <cfRule type="top10" dxfId="36" priority="90" bottom="1" rank="1"/>
  </conditionalFormatting>
  <conditionalFormatting sqref="F135">
    <cfRule type="cellIs" dxfId="35" priority="80" operator="lessThan">
      <formula>0.25</formula>
    </cfRule>
  </conditionalFormatting>
  <conditionalFormatting sqref="F140:F147">
    <cfRule type="top10" dxfId="34" priority="89" bottom="1" rank="1"/>
  </conditionalFormatting>
  <conditionalFormatting sqref="F152">
    <cfRule type="cellIs" dxfId="33" priority="79" operator="lessThan">
      <formula>0.25</formula>
    </cfRule>
  </conditionalFormatting>
  <conditionalFormatting sqref="G3:G8">
    <cfRule type="top10" dxfId="32" priority="703" rank="1"/>
    <cfRule type="expression" dxfId="31" priority="704">
      <formula>"H3=MAX($H$3:$H$11)"</formula>
    </cfRule>
  </conditionalFormatting>
  <conditionalFormatting sqref="G18:G22">
    <cfRule type="top10" dxfId="30" priority="21" rank="1"/>
    <cfRule type="expression" dxfId="29" priority="22">
      <formula>"H3=MAX($H$3:$H$11)"</formula>
    </cfRule>
  </conditionalFormatting>
  <conditionalFormatting sqref="G33:G36">
    <cfRule type="expression" dxfId="28" priority="20">
      <formula>"H3=MAX($H$3:$H$11)"</formula>
    </cfRule>
    <cfRule type="top10" dxfId="27" priority="19" rank="1"/>
  </conditionalFormatting>
  <conditionalFormatting sqref="G46:G50">
    <cfRule type="expression" dxfId="26" priority="18">
      <formula>"H3=MAX($H$3:$H$11)"</formula>
    </cfRule>
    <cfRule type="top10" dxfId="25" priority="17" rank="1"/>
  </conditionalFormatting>
  <conditionalFormatting sqref="G59:G65">
    <cfRule type="expression" dxfId="24" priority="16">
      <formula>"H3=MAX($H$3:$H$11)"</formula>
    </cfRule>
    <cfRule type="top10" dxfId="23" priority="15" rank="1"/>
  </conditionalFormatting>
  <conditionalFormatting sqref="G74:G79">
    <cfRule type="top10" dxfId="22" priority="11" rank="1"/>
    <cfRule type="expression" dxfId="21" priority="12">
      <formula>"H3=MAX($H$3:$H$11)"</formula>
    </cfRule>
  </conditionalFormatting>
  <conditionalFormatting sqref="G88:G92">
    <cfRule type="expression" dxfId="20" priority="10">
      <formula>"H3=MAX($H$3:$H$11)"</formula>
    </cfRule>
    <cfRule type="top10" dxfId="19" priority="9" rank="1"/>
  </conditionalFormatting>
  <conditionalFormatting sqref="G101:G104">
    <cfRule type="expression" dxfId="18" priority="8">
      <formula>"H3=MAX($H$3:$H$11)"</formula>
    </cfRule>
    <cfRule type="top10" dxfId="17" priority="7" rank="1"/>
  </conditionalFormatting>
  <conditionalFormatting sqref="G113:G116">
    <cfRule type="expression" dxfId="16" priority="6">
      <formula>"H3=MAX($H$3:$H$11)"</formula>
    </cfRule>
    <cfRule type="top10" dxfId="15" priority="5" rank="1"/>
  </conditionalFormatting>
  <conditionalFormatting sqref="G126:G130">
    <cfRule type="top10" dxfId="14" priority="3" rank="1"/>
    <cfRule type="expression" dxfId="13" priority="4">
      <formula>"H3=MAX($H$3:$H$11)"</formula>
    </cfRule>
  </conditionalFormatting>
  <conditionalFormatting sqref="G140:G147">
    <cfRule type="expression" dxfId="12" priority="2">
      <formula>"H3=MAX($H$3:$H$11)"</formula>
    </cfRule>
    <cfRule type="top10" dxfId="11" priority="1" rank="1"/>
  </conditionalFormatting>
  <conditionalFormatting sqref="H3:I8">
    <cfRule type="cellIs" dxfId="10" priority="154" operator="lessThan">
      <formula>TODAY()-365</formula>
    </cfRule>
  </conditionalFormatting>
  <conditionalFormatting sqref="H18:I22">
    <cfRule type="cellIs" dxfId="9" priority="153" operator="lessThan">
      <formula>TODAY()-365</formula>
    </cfRule>
  </conditionalFormatting>
  <conditionalFormatting sqref="H33:I36">
    <cfRule type="cellIs" dxfId="8" priority="152" operator="lessThan">
      <formula>TODAY()-365</formula>
    </cfRule>
  </conditionalFormatting>
  <conditionalFormatting sqref="H46:I50">
    <cfRule type="cellIs" dxfId="7" priority="151" operator="lessThan">
      <formula>TODAY()-365</formula>
    </cfRule>
  </conditionalFormatting>
  <conditionalFormatting sqref="H59:I65">
    <cfRule type="cellIs" dxfId="6" priority="150" operator="lessThan">
      <formula>TODAY()-365</formula>
    </cfRule>
  </conditionalFormatting>
  <conditionalFormatting sqref="H74:I79">
    <cfRule type="cellIs" dxfId="5" priority="149" operator="lessThan">
      <formula>TODAY()-365</formula>
    </cfRule>
  </conditionalFormatting>
  <conditionalFormatting sqref="H88:I92">
    <cfRule type="cellIs" dxfId="4" priority="148" operator="lessThan">
      <formula>TODAY()-365</formula>
    </cfRule>
  </conditionalFormatting>
  <conditionalFormatting sqref="H101:I104">
    <cfRule type="cellIs" dxfId="3" priority="147" operator="lessThan">
      <formula>TODAY()-365</formula>
    </cfRule>
  </conditionalFormatting>
  <conditionalFormatting sqref="H113:I116">
    <cfRule type="cellIs" dxfId="2" priority="146" operator="lessThan">
      <formula>TODAY()-365</formula>
    </cfRule>
  </conditionalFormatting>
  <conditionalFormatting sqref="H126:I130">
    <cfRule type="cellIs" dxfId="1" priority="145" operator="lessThan">
      <formula>TODAY()-365</formula>
    </cfRule>
  </conditionalFormatting>
  <conditionalFormatting sqref="H140:I147">
    <cfRule type="cellIs" dxfId="0" priority="144" operator="lessThan">
      <formula>TODAY()-365</formula>
    </cfRule>
  </conditionalFormatting>
  <pageMargins left="0.78749999999999998" right="0.78749999999999998" top="1.05277777777778" bottom="1.05277777777778" header="0.78749999999999998" footer="0.78749999999999998"/>
  <pageSetup paperSize="9" scale="49" orientation="portrait" horizontalDpi="300" verticalDpi="300"/>
  <headerFooter>
    <oddHeader>&amp;C&amp;"Times New Roman,Regular"&amp;12&amp;Kffffff&amp;A&amp;R&amp;"Calibri"&amp;10&amp;K000000 Interno&amp;1#_x000D_</oddHeader>
    <oddFooter>&amp;C&amp;"Times New Roman,Regular"&amp;12&amp;KffffffPágina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5"/>
  <dimension ref="A2:C13"/>
  <sheetViews>
    <sheetView zoomScale="120" zoomScaleNormal="120" workbookViewId="0">
      <selection activeCell="C16" sqref="C16"/>
    </sheetView>
  </sheetViews>
  <sheetFormatPr defaultColWidth="9.109375" defaultRowHeight="13.2"/>
  <cols>
    <col min="1" max="2" width="14.5546875" style="1" customWidth="1"/>
    <col min="3" max="3" width="70" style="1" customWidth="1"/>
    <col min="4" max="16384" width="9.109375" style="1"/>
  </cols>
  <sheetData>
    <row r="2" spans="1:3">
      <c r="A2" s="2" t="s">
        <v>26</v>
      </c>
      <c r="B2" s="2" t="s">
        <v>98</v>
      </c>
      <c r="C2" s="2" t="s">
        <v>27</v>
      </c>
    </row>
    <row r="3" spans="1:3">
      <c r="A3" s="3" t="s">
        <v>31</v>
      </c>
      <c r="B3" s="4" t="s">
        <v>99</v>
      </c>
      <c r="C3" s="3" t="s">
        <v>100</v>
      </c>
    </row>
    <row r="4" spans="1:3">
      <c r="A4" s="3" t="s">
        <v>33</v>
      </c>
      <c r="B4" s="4" t="s">
        <v>101</v>
      </c>
      <c r="C4" s="3" t="s">
        <v>34</v>
      </c>
    </row>
    <row r="5" spans="1:3" ht="26.4">
      <c r="A5" s="3" t="s">
        <v>35</v>
      </c>
      <c r="B5" s="4" t="s">
        <v>102</v>
      </c>
      <c r="C5" s="3" t="s">
        <v>36</v>
      </c>
    </row>
    <row r="6" spans="1:3" ht="26.4">
      <c r="A6" s="3" t="s">
        <v>37</v>
      </c>
      <c r="B6" s="4" t="s">
        <v>103</v>
      </c>
      <c r="C6" s="3" t="s">
        <v>38</v>
      </c>
    </row>
    <row r="7" spans="1:3">
      <c r="A7" s="3" t="s">
        <v>39</v>
      </c>
      <c r="B7" s="4" t="s">
        <v>104</v>
      </c>
      <c r="C7" s="3" t="s">
        <v>40</v>
      </c>
    </row>
    <row r="8" spans="1:3">
      <c r="A8" s="3" t="s">
        <v>41</v>
      </c>
      <c r="B8" s="4" t="s">
        <v>105</v>
      </c>
      <c r="C8" s="3" t="s">
        <v>42</v>
      </c>
    </row>
    <row r="9" spans="1:3">
      <c r="A9" s="3" t="s">
        <v>43</v>
      </c>
      <c r="B9" s="4" t="s">
        <v>106</v>
      </c>
      <c r="C9" s="3" t="s">
        <v>44</v>
      </c>
    </row>
    <row r="10" spans="1:3" ht="26.4">
      <c r="A10" s="3" t="s">
        <v>107</v>
      </c>
      <c r="B10" s="4" t="s">
        <v>108</v>
      </c>
      <c r="C10" s="3" t="s">
        <v>46</v>
      </c>
    </row>
    <row r="11" spans="1:3">
      <c r="A11" s="3" t="s">
        <v>47</v>
      </c>
      <c r="B11" s="4" t="s">
        <v>109</v>
      </c>
      <c r="C11" s="3" t="s">
        <v>48</v>
      </c>
    </row>
    <row r="12" spans="1:3">
      <c r="A12" s="3" t="s">
        <v>49</v>
      </c>
      <c r="B12" s="4" t="s">
        <v>110</v>
      </c>
      <c r="C12" s="3" t="s">
        <v>50</v>
      </c>
    </row>
    <row r="13" spans="1:3">
      <c r="A13" s="3" t="s">
        <v>111</v>
      </c>
      <c r="B13" s="4" t="s">
        <v>112</v>
      </c>
      <c r="C13" s="3" t="s">
        <v>113</v>
      </c>
    </row>
  </sheetData>
  <pageMargins left="0.511811024" right="0.511811024" top="0.78740157499999996" bottom="0.78740157499999996" header="0.31496062000000002" footer="0.31496062000000002"/>
  <headerFooter>
    <oddHeader>&amp;R&amp;"Calibri"&amp;10&amp;K000000 Interno&amp;1#_x000D_</oddHeader>
  </headerFooter>
</worksheet>
</file>

<file path=docMetadata/LabelInfo.xml><?xml version="1.0" encoding="utf-8"?>
<clbl:labelList xmlns:clbl="http://schemas.microsoft.com/office/2020/mipLabelMetadata">
  <clbl:label id="{d5ca897c-8647-4d93-9497-2f80cd11388f}" enabled="1" method="Standard" siteId="{2a7030a7-3850-453e-96b7-cd5f58ba9ec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IN 65</vt:lpstr>
      <vt:lpstr>Preço Estimado</vt:lpstr>
      <vt:lpstr>Cálculo</vt:lpstr>
      <vt:lpstr>Licenças</vt:lpstr>
      <vt:lpstr>Cálculo!Area_de_impressao</vt:lpstr>
      <vt:lpstr>'Preço Estimado'!Area_de_impressao</vt:lpstr>
    </vt:vector>
  </TitlesOfParts>
  <Manager/>
  <Company>Bacen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Wellington de Assuncao Rosa</dc:creator>
  <cp:keywords/>
  <dc:description/>
  <cp:lastModifiedBy>Jeferson Soares Oliveira</cp:lastModifiedBy>
  <cp:revision>2</cp:revision>
  <dcterms:created xsi:type="dcterms:W3CDTF">2025-07-09T03:23:00Z</dcterms:created>
  <dcterms:modified xsi:type="dcterms:W3CDTF">2026-07-16T17:53:51Z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