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C55D70E4-0AD5-4406-AFB3-A68A55F94017}" xr6:coauthVersionLast="47" xr6:coauthVersionMax="47" xr10:uidLastSave="{00000000-0000-0000-0000-000000000000}"/>
  <bookViews>
    <workbookView xWindow="-108" yWindow="-108" windowWidth="23256" windowHeight="13896" activeTab="2" xr2:uid="{51751C5A-B726-43FA-8F4A-88CBCA7CD336}"/>
  </bookViews>
  <sheets>
    <sheet name="BDI" sheetId="4" r:id="rId1"/>
    <sheet name="CALCULO" sheetId="2" r:id="rId2"/>
    <sheet name="ORCAMENTO" sheetId="1" r:id="rId3"/>
    <sheet name="CRONOGRAMA" sheetId="5" r:id="rId4"/>
  </sheets>
  <definedNames>
    <definedName name="_xlnm._FilterDatabase" localSheetId="1" hidden="1">CALCULO!$A$4:$J$270</definedName>
    <definedName name="_xlnm._FilterDatabase" localSheetId="2" hidden="1">ORCAMENTO!$A$5:$I$111</definedName>
    <definedName name="_xlnm.Print_Area" localSheetId="0">BDI!$B$2:$I$28</definedName>
    <definedName name="_xlnm.Print_Area" localSheetId="3">CRONOGRAMA!$A$1:$I$26</definedName>
    <definedName name="_xlnm.Print_Area" localSheetId="2">ORCAMENTO!$A$1:$I$111</definedName>
    <definedName name="JR_PAGE_ANCHOR_0_1" localSheetId="1">CALCULO!#REF!</definedName>
    <definedName name="JR_PAGE_ANCHOR_0_1">ORCAMENTO!#REF!</definedName>
    <definedName name="_xlnm.Print_Titles" localSheetId="1">CALCULO!$1:$4</definedName>
    <definedName name="_xlnm.Print_Titles" localSheetId="2">ORCAMENTO!$1:$5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5" i="5" l="1"/>
  <c r="J16" i="5"/>
  <c r="J17" i="5"/>
  <c r="J18" i="5"/>
  <c r="J19" i="5"/>
  <c r="J20" i="5"/>
  <c r="J21" i="5"/>
  <c r="J22" i="5"/>
  <c r="J14" i="5"/>
  <c r="J8" i="5"/>
  <c r="J9" i="5"/>
  <c r="J10" i="5"/>
  <c r="J11" i="5"/>
  <c r="J12" i="5"/>
  <c r="J7" i="5"/>
  <c r="J5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B5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H108" i="1"/>
  <c r="H107" i="1"/>
  <c r="H106" i="1"/>
  <c r="H105" i="1"/>
  <c r="H104" i="1"/>
  <c r="H102" i="1"/>
  <c r="H101" i="1"/>
  <c r="H99" i="1"/>
  <c r="H98" i="1"/>
  <c r="H97" i="1"/>
  <c r="H96" i="1"/>
  <c r="H94" i="1"/>
  <c r="H93" i="1"/>
  <c r="H92" i="1"/>
  <c r="H91" i="1"/>
  <c r="H90" i="1"/>
  <c r="H89" i="1"/>
  <c r="H88" i="1"/>
  <c r="H87" i="1"/>
  <c r="H86" i="1"/>
  <c r="H84" i="1"/>
  <c r="H83" i="1"/>
  <c r="H82" i="1"/>
  <c r="H81" i="1"/>
  <c r="H79" i="1"/>
  <c r="H78" i="1"/>
  <c r="H77" i="1"/>
  <c r="H75" i="1"/>
  <c r="H74" i="1"/>
  <c r="H73" i="1"/>
  <c r="H72" i="1"/>
  <c r="H70" i="1"/>
  <c r="H69" i="1"/>
  <c r="H68" i="1"/>
  <c r="H67" i="1"/>
  <c r="H66" i="1"/>
  <c r="H65" i="1"/>
  <c r="H64" i="1"/>
  <c r="H63" i="1"/>
  <c r="H62" i="1"/>
  <c r="H61" i="1"/>
  <c r="H59" i="1"/>
  <c r="H58" i="1"/>
  <c r="H57" i="1"/>
  <c r="H56" i="1"/>
  <c r="H55" i="1"/>
  <c r="H52" i="1"/>
  <c r="H51" i="1"/>
  <c r="H50" i="1"/>
  <c r="H49" i="1"/>
  <c r="H48" i="1"/>
  <c r="H47" i="1"/>
  <c r="H46" i="1"/>
  <c r="H45" i="1"/>
  <c r="H44" i="1"/>
  <c r="H42" i="1"/>
  <c r="H41" i="1"/>
  <c r="H39" i="1"/>
  <c r="H38" i="1"/>
  <c r="H37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0" i="1"/>
  <c r="H19" i="1"/>
  <c r="H17" i="1"/>
  <c r="H16" i="1"/>
  <c r="H15" i="1"/>
  <c r="H14" i="1"/>
  <c r="H13" i="1"/>
  <c r="H12" i="1"/>
  <c r="H8" i="1"/>
  <c r="H9" i="1"/>
  <c r="H7" i="1"/>
  <c r="F99" i="1" l="1"/>
  <c r="C19" i="2"/>
  <c r="E19" i="2" s="1"/>
  <c r="J16" i="2" s="1"/>
  <c r="F9" i="1" s="1"/>
  <c r="J210" i="2"/>
  <c r="F75" i="1" s="1"/>
  <c r="C267" i="2"/>
  <c r="E267" i="2" s="1"/>
  <c r="G99" i="2"/>
  <c r="C243" i="2"/>
  <c r="E243" i="2" s="1"/>
  <c r="G203" i="2"/>
  <c r="I203" i="2" s="1"/>
  <c r="G204" i="2"/>
  <c r="I204" i="2" s="1"/>
  <c r="G205" i="2"/>
  <c r="I205" i="2" s="1"/>
  <c r="G202" i="2"/>
  <c r="I202" i="2" s="1"/>
  <c r="F202" i="2"/>
  <c r="F203" i="2"/>
  <c r="F204" i="2"/>
  <c r="F205" i="2"/>
  <c r="I201" i="2"/>
  <c r="F201" i="2"/>
  <c r="J208" i="2"/>
  <c r="F74" i="1" s="1"/>
  <c r="C181" i="2"/>
  <c r="C182" i="2"/>
  <c r="F173" i="2"/>
  <c r="I173" i="2"/>
  <c r="F174" i="2"/>
  <c r="I174" i="2"/>
  <c r="F175" i="2"/>
  <c r="I175" i="2"/>
  <c r="F176" i="2"/>
  <c r="I176" i="2"/>
  <c r="F177" i="2"/>
  <c r="I177" i="2"/>
  <c r="I172" i="2"/>
  <c r="F172" i="2"/>
  <c r="G162" i="2"/>
  <c r="G161" i="2"/>
  <c r="G160" i="2"/>
  <c r="G159" i="2"/>
  <c r="G158" i="2"/>
  <c r="G157" i="2"/>
  <c r="G156" i="2"/>
  <c r="G143" i="2"/>
  <c r="G144" i="2"/>
  <c r="G145" i="2"/>
  <c r="G146" i="2"/>
  <c r="G141" i="2"/>
  <c r="G142" i="2"/>
  <c r="G140" i="2"/>
  <c r="C167" i="2"/>
  <c r="J165" i="2" s="1"/>
  <c r="F65" i="1" s="1"/>
  <c r="B152" i="2"/>
  <c r="J149" i="2" s="1"/>
  <c r="F63" i="1" s="1"/>
  <c r="F70" i="1"/>
  <c r="E257" i="2"/>
  <c r="J255" i="2" s="1"/>
  <c r="F102" i="1" s="1"/>
  <c r="E253" i="2"/>
  <c r="J251" i="2" s="1"/>
  <c r="F101" i="1" s="1"/>
  <c r="E244" i="2"/>
  <c r="C121" i="2"/>
  <c r="J118" i="2" s="1"/>
  <c r="F57" i="1" s="1"/>
  <c r="D116" i="2"/>
  <c r="J113" i="2" s="1"/>
  <c r="F56" i="1" s="1"/>
  <c r="C111" i="2"/>
  <c r="J108" i="2" s="1"/>
  <c r="F55" i="1" s="1"/>
  <c r="E85" i="2"/>
  <c r="F85" i="2" s="1"/>
  <c r="E84" i="2"/>
  <c r="F84" i="2" s="1"/>
  <c r="E83" i="2"/>
  <c r="F83" i="2" s="1"/>
  <c r="E82" i="2"/>
  <c r="F82" i="2" s="1"/>
  <c r="E81" i="2"/>
  <c r="F81" i="2" s="1"/>
  <c r="E80" i="2"/>
  <c r="F80" i="2" s="1"/>
  <c r="E79" i="2"/>
  <c r="F79" i="2" s="1"/>
  <c r="E78" i="2"/>
  <c r="F78" i="2" s="1"/>
  <c r="E77" i="2"/>
  <c r="F77" i="2" s="1"/>
  <c r="E76" i="2"/>
  <c r="F76" i="2" s="1"/>
  <c r="F98" i="2"/>
  <c r="G98" i="2" s="1"/>
  <c r="F97" i="2"/>
  <c r="G97" i="2" s="1"/>
  <c r="F104" i="2"/>
  <c r="J102" i="2" s="1"/>
  <c r="F52" i="1" s="1"/>
  <c r="E44" i="2"/>
  <c r="F44" i="2" s="1"/>
  <c r="E43" i="2"/>
  <c r="F43" i="2" s="1"/>
  <c r="E42" i="2"/>
  <c r="F42" i="2" s="1"/>
  <c r="E41" i="2"/>
  <c r="F41" i="2" s="1"/>
  <c r="E40" i="2"/>
  <c r="F40" i="2" s="1"/>
  <c r="E39" i="2"/>
  <c r="F39" i="2" s="1"/>
  <c r="E38" i="2"/>
  <c r="F38" i="2" s="1"/>
  <c r="E36" i="2"/>
  <c r="F36" i="2" s="1"/>
  <c r="E37" i="2"/>
  <c r="F37" i="2" s="1"/>
  <c r="E35" i="2"/>
  <c r="F35" i="2" s="1"/>
  <c r="E68" i="2"/>
  <c r="J66" i="2" s="1"/>
  <c r="F39" i="1" s="1"/>
  <c r="J71" i="2"/>
  <c r="F41" i="1" s="1"/>
  <c r="E30" i="2"/>
  <c r="J28" i="2" s="1"/>
  <c r="F17" i="1" s="1"/>
  <c r="J24" i="2"/>
  <c r="F13" i="1" s="1"/>
  <c r="C14" i="2"/>
  <c r="J11" i="2" s="1"/>
  <c r="F8" i="1" s="1"/>
  <c r="F98" i="1"/>
  <c r="F87" i="1"/>
  <c r="F88" i="1"/>
  <c r="F89" i="1"/>
  <c r="F90" i="1"/>
  <c r="F91" i="1"/>
  <c r="F92" i="1"/>
  <c r="F93" i="1"/>
  <c r="F94" i="1"/>
  <c r="F86" i="1"/>
  <c r="F82" i="1"/>
  <c r="F83" i="1"/>
  <c r="F84" i="1"/>
  <c r="F81" i="1"/>
  <c r="F72" i="1"/>
  <c r="F68" i="1"/>
  <c r="F61" i="1"/>
  <c r="F42" i="1"/>
  <c r="F38" i="1"/>
  <c r="F37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22" i="1"/>
  <c r="F16" i="1"/>
  <c r="F12" i="1"/>
  <c r="G9" i="2"/>
  <c r="C9" i="2"/>
  <c r="J201" i="2" l="1"/>
  <c r="J240" i="2"/>
  <c r="F96" i="1" s="1"/>
  <c r="I96" i="1" s="1"/>
  <c r="I99" i="1"/>
  <c r="I9" i="1"/>
  <c r="G100" i="2"/>
  <c r="J95" i="2" s="1"/>
  <c r="F51" i="1" s="1"/>
  <c r="I51" i="1" s="1"/>
  <c r="J204" i="2"/>
  <c r="J175" i="2"/>
  <c r="J205" i="2"/>
  <c r="J203" i="2"/>
  <c r="J202" i="2"/>
  <c r="E245" i="2"/>
  <c r="J241" i="2" s="1"/>
  <c r="F97" i="1" s="1"/>
  <c r="I97" i="1" s="1"/>
  <c r="J174" i="2"/>
  <c r="J177" i="2"/>
  <c r="J176" i="2"/>
  <c r="J173" i="2"/>
  <c r="J172" i="2"/>
  <c r="G163" i="2"/>
  <c r="J154" i="2" s="1"/>
  <c r="F64" i="1" s="1"/>
  <c r="I64" i="1" s="1"/>
  <c r="G147" i="2"/>
  <c r="J138" i="2" s="1"/>
  <c r="C183" i="2"/>
  <c r="J180" i="2" s="1"/>
  <c r="F67" i="1" s="1"/>
  <c r="I67" i="1" s="1"/>
  <c r="C215" i="2"/>
  <c r="D215" i="2" s="1"/>
  <c r="J213" i="2" s="1"/>
  <c r="F77" i="1" s="1"/>
  <c r="I77" i="1" s="1"/>
  <c r="I70" i="1"/>
  <c r="C265" i="2"/>
  <c r="E265" i="2" s="1"/>
  <c r="C266" i="2"/>
  <c r="E266" i="2" s="1"/>
  <c r="D219" i="2"/>
  <c r="C125" i="2"/>
  <c r="C126" i="2"/>
  <c r="C127" i="2"/>
  <c r="F86" i="2"/>
  <c r="F87" i="2" s="1"/>
  <c r="J74" i="2" s="1"/>
  <c r="J92" i="2"/>
  <c r="F45" i="2"/>
  <c r="J33" i="2" s="1"/>
  <c r="F19" i="1" s="1"/>
  <c r="I19" i="1" s="1"/>
  <c r="I8" i="2"/>
  <c r="J6" i="2" s="1"/>
  <c r="F7" i="1" s="1"/>
  <c r="I7" i="1" s="1"/>
  <c r="J25" i="2"/>
  <c r="I12" i="1"/>
  <c r="I17" i="1"/>
  <c r="I41" i="1"/>
  <c r="I75" i="1"/>
  <c r="I38" i="1"/>
  <c r="I16" i="1"/>
  <c r="I101" i="1"/>
  <c r="I74" i="1"/>
  <c r="I13" i="1"/>
  <c r="I57" i="1"/>
  <c r="I92" i="1"/>
  <c r="I93" i="1"/>
  <c r="I28" i="1"/>
  <c r="I26" i="1"/>
  <c r="I25" i="1"/>
  <c r="I61" i="1"/>
  <c r="I89" i="1"/>
  <c r="I24" i="1"/>
  <c r="I63" i="1"/>
  <c r="I23" i="1"/>
  <c r="I88" i="1"/>
  <c r="I91" i="1"/>
  <c r="I94" i="1"/>
  <c r="I29" i="1"/>
  <c r="I56" i="1"/>
  <c r="I27" i="1"/>
  <c r="I90" i="1"/>
  <c r="I87" i="1"/>
  <c r="I39" i="1"/>
  <c r="I102" i="1"/>
  <c r="I98" i="1"/>
  <c r="I86" i="1"/>
  <c r="I84" i="1"/>
  <c r="I83" i="1"/>
  <c r="I82" i="1"/>
  <c r="I81" i="1"/>
  <c r="I72" i="1"/>
  <c r="I68" i="1"/>
  <c r="I65" i="1"/>
  <c r="I55" i="1"/>
  <c r="I52" i="1"/>
  <c r="I42" i="1"/>
  <c r="I37" i="1"/>
  <c r="I34" i="1"/>
  <c r="I33" i="1"/>
  <c r="I32" i="1"/>
  <c r="I30" i="1"/>
  <c r="I35" i="1"/>
  <c r="I31" i="1"/>
  <c r="I22" i="1"/>
  <c r="I8" i="1"/>
  <c r="I6" i="1" l="1"/>
  <c r="C5" i="5" s="1"/>
  <c r="I95" i="1"/>
  <c r="C20" i="5" s="1"/>
  <c r="J206" i="2"/>
  <c r="J198" i="2" s="1"/>
  <c r="F73" i="1" s="1"/>
  <c r="I73" i="1" s="1"/>
  <c r="I71" i="1" s="1"/>
  <c r="C16" i="5" s="1"/>
  <c r="F62" i="1"/>
  <c r="I62" i="1" s="1"/>
  <c r="C188" i="2"/>
  <c r="C191" i="2" s="1"/>
  <c r="J187" i="2" s="1"/>
  <c r="F69" i="1" s="1"/>
  <c r="I69" i="1" s="1"/>
  <c r="J178" i="2"/>
  <c r="J169" i="2" s="1"/>
  <c r="F66" i="1" s="1"/>
  <c r="I66" i="1" s="1"/>
  <c r="E219" i="2"/>
  <c r="D220" i="2"/>
  <c r="E220" i="2" s="1"/>
  <c r="E268" i="2"/>
  <c r="J263" i="2" s="1"/>
  <c r="C128" i="2"/>
  <c r="J89" i="2"/>
  <c r="F44" i="1"/>
  <c r="I44" i="1" s="1"/>
  <c r="F48" i="1"/>
  <c r="I48" i="1" s="1"/>
  <c r="J93" i="2"/>
  <c r="J47" i="2"/>
  <c r="F20" i="1" s="1"/>
  <c r="I20" i="1" s="1"/>
  <c r="I18" i="1" s="1"/>
  <c r="C8" i="5" s="1"/>
  <c r="F14" i="1"/>
  <c r="I14" i="1" s="1"/>
  <c r="J26" i="2"/>
  <c r="F15" i="1" s="1"/>
  <c r="I15" i="1" s="1"/>
  <c r="I100" i="1"/>
  <c r="C21" i="5" s="1"/>
  <c r="I40" i="1"/>
  <c r="C11" i="5" s="1"/>
  <c r="I21" i="1"/>
  <c r="C9" i="5" s="1"/>
  <c r="I85" i="1"/>
  <c r="C19" i="5" s="1"/>
  <c r="I36" i="1"/>
  <c r="C10" i="5" s="1"/>
  <c r="I80" i="1"/>
  <c r="C18" i="5" s="1"/>
  <c r="D18" i="5" l="1"/>
  <c r="H18" i="5"/>
  <c r="F18" i="5"/>
  <c r="H8" i="5"/>
  <c r="D8" i="5"/>
  <c r="F8" i="5"/>
  <c r="F19" i="5"/>
  <c r="D19" i="5"/>
  <c r="H19" i="5"/>
  <c r="H11" i="5"/>
  <c r="D11" i="5"/>
  <c r="F11" i="5"/>
  <c r="D20" i="5"/>
  <c r="F20" i="5"/>
  <c r="H20" i="5"/>
  <c r="D10" i="5"/>
  <c r="H10" i="5"/>
  <c r="F10" i="5"/>
  <c r="F9" i="5"/>
  <c r="D9" i="5"/>
  <c r="H9" i="5"/>
  <c r="D21" i="5"/>
  <c r="F21" i="5"/>
  <c r="H21" i="5"/>
  <c r="D16" i="5"/>
  <c r="H16" i="5"/>
  <c r="F16" i="5"/>
  <c r="D5" i="5"/>
  <c r="H5" i="5"/>
  <c r="F5" i="5"/>
  <c r="I60" i="1"/>
  <c r="C15" i="5" s="1"/>
  <c r="E221" i="2"/>
  <c r="J217" i="2" s="1"/>
  <c r="J270" i="2"/>
  <c r="F108" i="1" s="1"/>
  <c r="I108" i="1" s="1"/>
  <c r="F107" i="1"/>
  <c r="I107" i="1" s="1"/>
  <c r="C131" i="2"/>
  <c r="C133" i="2" s="1"/>
  <c r="J130" i="2" s="1"/>
  <c r="F59" i="1" s="1"/>
  <c r="I59" i="1" s="1"/>
  <c r="J123" i="2"/>
  <c r="F58" i="1" s="1"/>
  <c r="I58" i="1" s="1"/>
  <c r="J90" i="2"/>
  <c r="F45" i="1"/>
  <c r="I45" i="1" s="1"/>
  <c r="J94" i="2"/>
  <c r="F50" i="1" s="1"/>
  <c r="I50" i="1" s="1"/>
  <c r="F49" i="1"/>
  <c r="I49" i="1" s="1"/>
  <c r="I11" i="1"/>
  <c r="C7" i="5" s="1"/>
  <c r="H7" i="5" l="1"/>
  <c r="D7" i="5"/>
  <c r="F7" i="5"/>
  <c r="H15" i="5"/>
  <c r="D15" i="5"/>
  <c r="F15" i="5"/>
  <c r="J260" i="2"/>
  <c r="F78" i="1"/>
  <c r="I78" i="1" s="1"/>
  <c r="J223" i="2"/>
  <c r="F79" i="1" s="1"/>
  <c r="I79" i="1" s="1"/>
  <c r="I54" i="1"/>
  <c r="C14" i="5" s="1"/>
  <c r="F46" i="1"/>
  <c r="I46" i="1" s="1"/>
  <c r="J91" i="2"/>
  <c r="F47" i="1" s="1"/>
  <c r="I47" i="1" s="1"/>
  <c r="D14" i="5" l="1"/>
  <c r="H14" i="5"/>
  <c r="F14" i="5"/>
  <c r="I76" i="1"/>
  <c r="C17" i="5" s="1"/>
  <c r="J262" i="2"/>
  <c r="F106" i="1" s="1"/>
  <c r="I106" i="1" s="1"/>
  <c r="J261" i="2"/>
  <c r="F105" i="1" s="1"/>
  <c r="I105" i="1" s="1"/>
  <c r="F104" i="1"/>
  <c r="I104" i="1" s="1"/>
  <c r="I43" i="1"/>
  <c r="I10" i="1" l="1"/>
  <c r="C6" i="5" s="1"/>
  <c r="C12" i="5"/>
  <c r="D17" i="5"/>
  <c r="H17" i="5"/>
  <c r="F17" i="5"/>
  <c r="I103" i="1"/>
  <c r="I53" i="1" l="1"/>
  <c r="C22" i="5"/>
  <c r="F12" i="5"/>
  <c r="H12" i="5"/>
  <c r="D12" i="5"/>
  <c r="F22" i="5" l="1"/>
  <c r="F23" i="5" s="1"/>
  <c r="G23" i="5" s="1"/>
  <c r="D22" i="5"/>
  <c r="D23" i="5" s="1"/>
  <c r="H22" i="5"/>
  <c r="H23" i="5" s="1"/>
  <c r="I23" i="5" s="1"/>
  <c r="I109" i="1"/>
  <c r="I3" i="5" s="1"/>
  <c r="C13" i="5"/>
  <c r="D24" i="5" l="1"/>
  <c r="E23" i="5"/>
  <c r="E24" i="5" l="1"/>
  <c r="F24" i="5"/>
  <c r="G24" i="5" l="1"/>
  <c r="H24" i="5"/>
  <c r="I24" i="5" s="1"/>
</calcChain>
</file>

<file path=xl/sharedStrings.xml><?xml version="1.0" encoding="utf-8"?>
<sst xmlns="http://schemas.openxmlformats.org/spreadsheetml/2006/main" count="1235" uniqueCount="411">
  <si>
    <t>ITEM</t>
  </si>
  <si>
    <t>CÓDIGO</t>
  </si>
  <si>
    <t>DESCRIÇÃO</t>
  </si>
  <si>
    <t>FONTE</t>
  </si>
  <si>
    <t>UND</t>
  </si>
  <si>
    <t>QUANTIDADE</t>
  </si>
  <si>
    <t>PREÇO
TOTAL R$</t>
  </si>
  <si>
    <t>1</t>
  </si>
  <si>
    <t>SERVIÇOS PRELIMINARES</t>
  </si>
  <si>
    <t>1.1</t>
  </si>
  <si>
    <t>83.17.31</t>
  </si>
  <si>
    <t>PLACA 3,00 X 2,00M LONA, IMPRESSÃO DIGITAL, ESTRUTURA METALON 20 X 20CM</t>
  </si>
  <si>
    <t>SUDECAP</t>
  </si>
  <si>
    <t>UN</t>
  </si>
  <si>
    <t>1.2</t>
  </si>
  <si>
    <t>98458</t>
  </si>
  <si>
    <t>TAPUME COM COMPENSADO DE MADEIRA. AF_03/2024</t>
  </si>
  <si>
    <t>SINAPI</t>
  </si>
  <si>
    <t>M2</t>
  </si>
  <si>
    <t>2</t>
  </si>
  <si>
    <t>ÁREA INTERNA</t>
  </si>
  <si>
    <t>2.1</t>
  </si>
  <si>
    <t>PISO</t>
  </si>
  <si>
    <t>2.1.1</t>
  </si>
  <si>
    <t>97083</t>
  </si>
  <si>
    <t>COMPACTAÇÃO MECÂNICA DE SOLO PARA EXECUÇÃO DE RADIER, PISO DE CONCRETO OU LAJE SOBRE SOLO, COM COMPACTADOR DE SOLOS A PERCUSSÃO. AF_09/2021</t>
  </si>
  <si>
    <t>2.1.2</t>
  </si>
  <si>
    <t>95241</t>
  </si>
  <si>
    <t>LASTRO DE CONCRETO MAGRO, APLICADO EM PISOS, LAJES SOBRE SOLO OU RADIERS, ESPESSURA DE 5 CM. AF_01/2024</t>
  </si>
  <si>
    <t>2.1.3</t>
  </si>
  <si>
    <t>ED-50566</t>
  </si>
  <si>
    <t>CONTRAPISO DESEMPENADO COM ARGAMASSA, TRAÇO 1:3 (CIMENTO E AREIA), ESP. 20MM, INCLUSIVE ARGAMASSA COM PREPARO MECANIZADO</t>
  </si>
  <si>
    <t>SICOR</t>
  </si>
  <si>
    <t>m2</t>
  </si>
  <si>
    <t>2.1.4</t>
  </si>
  <si>
    <t>87263</t>
  </si>
  <si>
    <t>REVESTIMENTO CERÂMICO PARA PISO COM PLACAS TIPO PORCELANATO DE DIMENSÕES 60X60 CM APLICADA EM AMBIENTES DE ÁREA MAIOR QUE 10 M². AF_02/2023_PE</t>
  </si>
  <si>
    <t>2.1.5</t>
  </si>
  <si>
    <t>ED-50771</t>
  </si>
  <si>
    <t>RODAPÉ COM REVESTIMENTO EM CERÂMICA ESMALTADA COMERCIAL, ALTURA 10CM, PEI IV, ASSENTAMENTO COM ARGAMASSA INDUSTRIALIZADA, INCLUSIVE REJUNTAMENTO</t>
  </si>
  <si>
    <t>m</t>
  </si>
  <si>
    <t>2.1.6</t>
  </si>
  <si>
    <t>ED-51002</t>
  </si>
  <si>
    <t>SOLEIRA DE GRANITO, COR CINZA ANDORINHA, ESP. 2CM, ACABAMENTO POLIDO, ASSENTAMENTO COM ARGAMASSA INDUSTRIALIZADA, INCLUSIVE REJUNTAMENTO</t>
  </si>
  <si>
    <t>2.2</t>
  </si>
  <si>
    <t>REVESTIMENTOS DE PAREDES</t>
  </si>
  <si>
    <t>2.2.1</t>
  </si>
  <si>
    <t>ED-50727</t>
  </si>
  <si>
    <t>CHAPISCO COM ARGAMASSA, TRAÇO 1:3 (CIMENTO E AREIA), ESP. 5MM, APLICADO EM ALVENARIA/ESTRUTURA DE CONCRETO COM COLHER, INCLUSIVE ARGAMASSA COM PREPARO MECANIZADO</t>
  </si>
  <si>
    <t>2.2.2</t>
  </si>
  <si>
    <t>ED-50759</t>
  </si>
  <si>
    <t>REBOCO COM ARGAMASSA, TRAÇO 1:7 (CIMENTO E AREIA), ESP. 20MM, APLICAÇÃO MANUAL, INCLUSIVE ARGAMASSA COM PREPARO MECANIZADO, EXCLUSIVE CHAPISCO</t>
  </si>
  <si>
    <t>2.3</t>
  </si>
  <si>
    <t>INSTALAÇÕES ELÉTRICAS</t>
  </si>
  <si>
    <t>2.3.1</t>
  </si>
  <si>
    <t>ED-48946</t>
  </si>
  <si>
    <t>CABO ISOLADO DE COBRE FLEXÍVEL, CLASSE 5, ISOLAMENTO TIPO LSHF/ATOX, NÃO HALOGENADO E ANTICHAMA, DIÂMETRO DA SEÇÃO DE 1,5MM2, TEMPERATURA DE TRABALHO 70°C, TENSÃO NOMINAL DE OPERAÇÃO 450/750V</t>
  </si>
  <si>
    <t>2.3.2</t>
  </si>
  <si>
    <t>ED-48951</t>
  </si>
  <si>
    <t>CABO ISOLADO DE COBRE FLEXÍVEL, CLASSE 5, ISOLAMENTO TIPO LSHF/ATOX, NÃO HALOGENADO E ANTICHAMA, DIÂMETRO DA SEÇÃO DE 2,5MM2, TEMPERATURA DE TRABALHO 70°C, TENSÃO NOMINAL DE OPERAÇÃO 450/750V</t>
  </si>
  <si>
    <t>2.3.3</t>
  </si>
  <si>
    <t>93653</t>
  </si>
  <si>
    <t>DISJUNTOR MONOPOLAR TIPO DIN, CORRENTE NOMINAL DE 10A - FORNECIMENTO E INSTALAÇÃO. AF_07/2025</t>
  </si>
  <si>
    <t>2.3.4</t>
  </si>
  <si>
    <t>93654</t>
  </si>
  <si>
    <t>DISJUNTOR MONOPOLAR TIPO DIN, CORRENTE NOMINAL DE 16A - FORNECIMENTO E INSTALAÇÃO. AF_07/2025</t>
  </si>
  <si>
    <t>2.3.5</t>
  </si>
  <si>
    <t>ED-34473</t>
  </si>
  <si>
    <t>DISJUNTOR BIPOLAR TIPO DIN, CORRENTE NOMINAL DE 10A, FORNECIMENTO E INSTALAÇÃO, INCLUSIVE TERMINAL ILHÓS</t>
  </si>
  <si>
    <t>un</t>
  </si>
  <si>
    <t>2.3.6</t>
  </si>
  <si>
    <t>11.06.02</t>
  </si>
  <si>
    <t>ELETRODUTO CORRUGADO DE PVC NORMAL, DN 25MM (3/4"), INSTALADO EM FORRO REF 91834</t>
  </si>
  <si>
    <t>M</t>
  </si>
  <si>
    <t>2.3.7</t>
  </si>
  <si>
    <t>ED-49190</t>
  </si>
  <si>
    <t>CAIXA DE LIGAÇÃO/PASSAGEM EM PVC RÍGIDO PARA ELETRODUTO, OCTOGONAL COM FUNDO FIXO REFORÇADO, DIMENSÃO 4"X4", EMBUTIDA EM LAJE, INCLUSIVE FIXAÇÃO</t>
  </si>
  <si>
    <t>2.3.8</t>
  </si>
  <si>
    <t>071649</t>
  </si>
  <si>
    <t>LUMINÁRIA PLAFON LED QUADRADA DE EMBUTIR, 30W, 40X40 CM (MEDIDAS APROXIMADAS) - INCLUSO CORTE NO FORRO</t>
  </si>
  <si>
    <t>GOINFRA CIVIL</t>
  </si>
  <si>
    <t>2.3.9</t>
  </si>
  <si>
    <t>S13672</t>
  </si>
  <si>
    <t>Luminária plafon de embutir em LED 29.5x29.5 cm, 24w 4000K bivolt, Avant ou similar</t>
  </si>
  <si>
    <t>ORSE</t>
  </si>
  <si>
    <t>2.3.10</t>
  </si>
  <si>
    <t>ED-5614</t>
  </si>
  <si>
    <t>SUPORTE PARA PLACA 4"X2" PARA TRÊS (3) MÓDULOS, INCLUSIVE PARAFUSOS PARA FIXAÇÃO, FORNECIMENTO E INSTALAÇÃO, EXCLUSIVE PLACA E MÓDULO</t>
  </si>
  <si>
    <t>2.3.11</t>
  </si>
  <si>
    <t>ED-5620</t>
  </si>
  <si>
    <t>PLACA 4"X2" PARA UM (1) MÓDULO, INCLUSIVE FORNECIMENTO E INSTALAÇÃO, EXCLUSIVE SUPORTE E MÓDULO</t>
  </si>
  <si>
    <t>2.3.12</t>
  </si>
  <si>
    <t>ED-5615</t>
  </si>
  <si>
    <t>MÓDULO INTERRUPTOR SIMPLES, CORRENTE 10A, TENSÃO 250V, (10A-250V), INCLUSIVE FORNECIMENTO E INSTALAÇÃO, EXCLUSIVE PLACA E SUPORTE</t>
  </si>
  <si>
    <t>2.3.13</t>
  </si>
  <si>
    <t>ED-5626</t>
  </si>
  <si>
    <t>MÓDULO TOMADA PADRÃO, TRÊS (3) POLOS, CORRENTE 10A, TENSÃO 250V, (2P+T/10A-250V), INCLUSIVE FORNECIMENTO E INSTALAÇÃO, EXCLUSIVE PLACA E SUPORTE</t>
  </si>
  <si>
    <t>2.3.14</t>
  </si>
  <si>
    <t>11.30.50</t>
  </si>
  <si>
    <t>PLACA TERMOPLÁSTICA 2X4" COM FURO CENTRAL PIAL/EQUIVALENTE</t>
  </si>
  <si>
    <t>2.4</t>
  </si>
  <si>
    <t>ESQUADRIAS</t>
  </si>
  <si>
    <t>2.4.1</t>
  </si>
  <si>
    <t>90842</t>
  </si>
  <si>
    <t>KIT DE PORTA DE MADEIRA PARA PINTURA, SEMI-OCA (LEVE OU MÉDIA), PADRÃO MÉDIO, 70X210CM, ESPESSURA DE 3,5CM, ITENS INCLUSOS: DOBRADIÇAS, MONTAGEM E INSTALAÇÃO DO BATENTE, FECHADURA COM EXECUÇÃO DO FURO - FORNECIMENTO E INSTALAÇÃO. AF_10/2025</t>
  </si>
  <si>
    <t>2.4.2</t>
  </si>
  <si>
    <t>90845</t>
  </si>
  <si>
    <t>KIT DE PORTA DE MADEIRA PARA PINTURA, MACIÇA (PESADA OU SUPERPESADA), PADRÃO MÉDIO, 80X210CM, ESPESSURA DE 3,5CM, ITENS INCLUSOS: DOBRADIÇAS, MONTAGEM E INSTALAÇÃO DO BATENTE, FECHADURA COM EXECUÇÃO DO FURO - FORNECIMENTO E INSTALAÇÃO. AF_10/2025</t>
  </si>
  <si>
    <t>2.4.3</t>
  </si>
  <si>
    <t>ED-23034</t>
  </si>
  <si>
    <t>PORTA METÁLICA, TIPO DE ABRIR, COM UMA (1) FOLHA, EM CHAPA GALVANIZADA LAMBRIL, MODELO QUADRADO, INCLUSIVE PINTURA ANTICORROSIVA A BASE DE ÓXIDO DE FERRO (ZARCÃO), UMA (1) DEMÃO, FORNECIMENTO E ASSENTAMENTO, EXCLUSIVE FECHADURA E DOBRADIÇA</t>
  </si>
  <si>
    <t>2.5</t>
  </si>
  <si>
    <t>FORRO</t>
  </si>
  <si>
    <t>2.5.1</t>
  </si>
  <si>
    <t>ED-49686</t>
  </si>
  <si>
    <t>FORRO EM CHAPA DE GESSO ACARTONADA, ESP. 12,5MM, COM FIXAÇÃO DO TIPO ESTRUTURADA EM PERFIL METÁLICO, EXCLUSIVE PERFIL TABICA, SANCA E MOLDURA, INCLUSIVE ACESSÓRIOS E FIXAÇÃO</t>
  </si>
  <si>
    <t>2.5.2</t>
  </si>
  <si>
    <t>00039428</t>
  </si>
  <si>
    <t>PERFIL TABICA FECHADA, LISA, FORMATO Z, EM ACO GALVANIZADO NATURAL, LARGURA TOTAL NA HORIZONTAL *40* MM, PARA ESTRUTURA FORRO DRYWALL</t>
  </si>
  <si>
    <t>2.6</t>
  </si>
  <si>
    <t>PINTURA</t>
  </si>
  <si>
    <t>2.6.1</t>
  </si>
  <si>
    <t>S02344</t>
  </si>
  <si>
    <t>Preparo de superfície com lixamento de paredes e tetos</t>
  </si>
  <si>
    <t>2.6.2</t>
  </si>
  <si>
    <t>88485</t>
  </si>
  <si>
    <t>FUNDO SELADOR ACRÍLICO, APLICAÇÃO MANUAL EM PAREDE, UMA DEMÃO. AF_04/2023</t>
  </si>
  <si>
    <t>2.6.3</t>
  </si>
  <si>
    <t>ED-50477</t>
  </si>
  <si>
    <t>EMASSAMENTO EM PAREDE COM MASSA CORRIDA (PVA), UMA (1) DEMÃO, INCLUSIVE LIXAMENTO PARA PINTURA</t>
  </si>
  <si>
    <t>2.6.4</t>
  </si>
  <si>
    <t>88489</t>
  </si>
  <si>
    <t>PINTURA LÁTEX ACRÍLICA PREMIUM, APLICAÇÃO MANUAL EM PAREDES, DUAS DEMÃOS. AF_04/2023</t>
  </si>
  <si>
    <t>2.6.5</t>
  </si>
  <si>
    <t>88484</t>
  </si>
  <si>
    <t>FUNDO SELADOR ACRÍLICO, APLICAÇÃO MANUAL EM TETO, UMA DEMÃO. AF_04/2023</t>
  </si>
  <si>
    <t>2.6.6</t>
  </si>
  <si>
    <t>88494</t>
  </si>
  <si>
    <t>EMASSAMENTO COM MASSA LÁTEX, APLICAÇÃO EM TETO, UMA DEMÃO, LIXAMENTO MANUAL. AF_04/2023</t>
  </si>
  <si>
    <t>2.6.7</t>
  </si>
  <si>
    <t>104639</t>
  </si>
  <si>
    <t>PINTURA LÁTEX ACRÍLICA ECONÔMICA, APLICAÇÃO MANUAL EM TETO, DUAS DEMÃOS. AF_04/2023</t>
  </si>
  <si>
    <t>2.6.8</t>
  </si>
  <si>
    <t>102219</t>
  </si>
  <si>
    <t>PINTURA TINTA DE ACABAMENTO (PIGMENTADA) ESMALTE SINTÉTICO ACETINADO EM MADEIRA, 2 DEMÃOS. AF_01/2021</t>
  </si>
  <si>
    <t>2.6.9</t>
  </si>
  <si>
    <t>100757</t>
  </si>
  <si>
    <t>PINTURA COM TINTA ALQUÍDICA DE ACABAMENTO (ESMALTE SINTÉTICO ACETINADO) PULVERIZADA SOBRE SUPERFÍCIES METÁLICAS (EXCETO PERFIL) EXECUTADO EM OBRA (02 DEMÃOS). AF_01/2020_PE</t>
  </si>
  <si>
    <t>3</t>
  </si>
  <si>
    <t>ÁREA EXTERNA</t>
  </si>
  <si>
    <t>3.1</t>
  </si>
  <si>
    <t>DEMOLIÇÕES E REMOÇÕES</t>
  </si>
  <si>
    <t>3.1.1</t>
  </si>
  <si>
    <t>104790</t>
  </si>
  <si>
    <t>DEMOLIÇÃO DE PISO DE CONCRETO SIMPLES, DE FORMA MECANIZADA COM MARTELETE, SEM REAPROVEITAMENTO. AF_09/2023</t>
  </si>
  <si>
    <t>M3</t>
  </si>
  <si>
    <t>3.1.2</t>
  </si>
  <si>
    <t>3.1.3</t>
  </si>
  <si>
    <t>02.13.04</t>
  </si>
  <si>
    <t>DEMOLIÇÃO DE CONCRETO ARMADO - COM EQUIPAMENTO ELÉTRICO</t>
  </si>
  <si>
    <t>3.1.4</t>
  </si>
  <si>
    <t>03.05.03</t>
  </si>
  <si>
    <t>ESCAVAÇÃO E CARGA MECANIZADA COM RETROESCAVADEIRA EM MATERIAL DE 1ª CATEGORIA</t>
  </si>
  <si>
    <t>3.1.5</t>
  </si>
  <si>
    <t>100982</t>
  </si>
  <si>
    <t>CARGA, MANOBRA E DESCARGA DE ENTULHO EM CAMINHÃO BASCULANTE 10 M³ - CARGA COM ESCAVADEIRA HIDRÁULICA (CAÇAMBA DE 0,80 M³ / 111 HP) E DESCARGA LIVRE (UNIDADE: M3). AF_02/2026</t>
  </si>
  <si>
    <t>95875</t>
  </si>
  <si>
    <t>TRANSPORTE COM CAMINHÃO BASCULANTE DE 10 M³, EM VIA URBANA PAVIMENTADA, DMT ATÉ 30 KM (UNIDADE: M3XKM). AF_02/2026</t>
  </si>
  <si>
    <t>M3XKM</t>
  </si>
  <si>
    <t>3.2</t>
  </si>
  <si>
    <t>INFRAESTRUTURA</t>
  </si>
  <si>
    <t>3.2.1</t>
  </si>
  <si>
    <t>01.17.01</t>
  </si>
  <si>
    <t>GABARITO</t>
  </si>
  <si>
    <t>3.2.2</t>
  </si>
  <si>
    <t>ED-51107</t>
  </si>
  <si>
    <t>ESCAVAÇÃO MANUAL DE VALA COM PROFUNDIDADE MENOR OU IGUAL A 1,5M, INCLUSIVE DESCARGA LATERAL</t>
  </si>
  <si>
    <t>m3</t>
  </si>
  <si>
    <t>3.2.3</t>
  </si>
  <si>
    <t>101175</t>
  </si>
  <si>
    <t>ESTACA BROCA DE CONCRETO, DIÂMETRO DE 30CM, ESCAVAÇÃO MANUAL COM TRADO CONCHA, COM ARMADURA DE ARRANQUE. AF_05/2020</t>
  </si>
  <si>
    <t>3.2.4</t>
  </si>
  <si>
    <t>ED-49812</t>
  </si>
  <si>
    <t>LASTRO DE CONCRETO MAGRO, INCLUSIVE TRANSPORTE, LANÇAMENTO E ADENSAMENTO</t>
  </si>
  <si>
    <t>3.2.5</t>
  </si>
  <si>
    <t>ED-49787</t>
  </si>
  <si>
    <t>FORNECIMENTO DE CONCRETO ESTRUTURAL, PREPARADO EM OBRA COM BETONEIRA, COM FCK 25MPA, INCLUSIVE LANÇAMENTO, ADENSAMENTO E ACABAMENTO (FUNDAÇÃO)</t>
  </si>
  <si>
    <t>3.2.6</t>
  </si>
  <si>
    <t>ED-49647</t>
  </si>
  <si>
    <t>FÔRMA E DESFORMA DE COMPENSADO PLASTIFICADO, ESP. 12MM, REAPROVEITAMENTO (5X), EXCLUSIVE ESCORAMENTO</t>
  </si>
  <si>
    <t>3.2.7</t>
  </si>
  <si>
    <t>ED-48298</t>
  </si>
  <si>
    <t>CORTE, DOBRA E MONTAGEM DE AÇO CA-50/60, INCLUSIVE ESPAÇADOR</t>
  </si>
  <si>
    <t>Kg</t>
  </si>
  <si>
    <t>3.2.8</t>
  </si>
  <si>
    <t>ED-48213</t>
  </si>
  <si>
    <t>ALVENARIA DE BLOCO DE CONCRETO CHEIO COM ARMAÇÃO, EM CONCRETO COM FCK 15MPA , ESP. 14CM, PARA REVESTIMENTO, INCLUSIVE ARGAMASSA PARA ASSENTAMENTO (DETALHE D - CADERNO SEDS)</t>
  </si>
  <si>
    <t>3.3</t>
  </si>
  <si>
    <t>SUPRAESTRUTURA</t>
  </si>
  <si>
    <t>3.3.1</t>
  </si>
  <si>
    <t>ED-49619</t>
  </si>
  <si>
    <t>FORNECIMENTO DE CONCRETO ESTRUTURAL, PREPARADO EM OBRA, COM FCK 25MPA, INCLUSIVE LANÇAMENTO, ADENSAMENTO E ACABAMENTO</t>
  </si>
  <si>
    <t>3.3.2</t>
  </si>
  <si>
    <t>3.3.3</t>
  </si>
  <si>
    <t>3.3.4</t>
  </si>
  <si>
    <t>2408149</t>
  </si>
  <si>
    <t>Estrutura em perfil de aço ASTM A36 corte, solda e montagem - fornecimento e instalação</t>
  </si>
  <si>
    <t>SICRO NOVO</t>
  </si>
  <si>
    <t>kg</t>
  </si>
  <si>
    <t>3.4</t>
  </si>
  <si>
    <t>ALVENARIA E REVESTIMENTOS</t>
  </si>
  <si>
    <t>3.4.1</t>
  </si>
  <si>
    <t>ED-48232</t>
  </si>
  <si>
    <t>ALVENARIA DE VEDAÇÃO COM TIJOLO CERÂMICO FURADO, ESP. 14CM, PARA REVESTIMENTO, INCLUSIVE ARGAMASSA PARA ASSENTAMENTO</t>
  </si>
  <si>
    <t>3.4.2</t>
  </si>
  <si>
    <t>3.4.3</t>
  </si>
  <si>
    <t>3.5</t>
  </si>
  <si>
    <t>3.5.1</t>
  </si>
  <si>
    <t>ED-50227</t>
  </si>
  <si>
    <t>PONTO DE EMBUTIR PARA UM (1) INTERRUPTOR SIMPLES (10A-250V), COM PLACA 4"X2" DE UM (1) POSTO, COM ELETRODUTO FLEXÍVEL CORRUGADO, ANTI-CHAMA, DN 25MM (3/4"), EMBUTIDO NA ALVENARIA E CABO DE COBRE FLEXÍVEL, CLASSE 5, ISOLAMENTO TIPO LSHF/ATOX, NÃO HALOGENADO, SEÇÃO 1,5MM2 (70°C-450/750V), COM DISTÂNCIA DE ATÉ DEZ (10) METROS DO PONTO DE DERIVAÇÃO, INCLUSIVE CAIXA DE LIGAÇÃO, SUPORTE E FIXAÇÃO DO ELETRODUTO COM ENCHIMENTO DO RASGO NA ALVENARIA/CONCRETO COM ARGAMASSA</t>
  </si>
  <si>
    <t>3.5.2</t>
  </si>
  <si>
    <t>ED-50228</t>
  </si>
  <si>
    <t>PONTO DE EMBUTIR PARA UMA (1) LUMINÁRIA,COM ELETRODUTO DE PVC RÍGIDO ROSCÁVEL, DN 20MM (3/4"), EMBUTIDO NA LAJE E CABO DE COBRE FLEXÍVEL, CLASSE 5, ISOLAMENTO TIPO LSHF/ATOX, NÃO HALOGENADO, SEÇÃO 1,5MM2 (70°C-450/750V), COM DISTÂNCIA DE ATÉ CINCO (5) METROS DO PONTO DE DERIVAÇÃO, EXCLUSIVE LUMINÁRIA, INCLUSIVE CAIXA DE LIGAÇÃO OCTOGONAL, SUPORTE E FIXAÇÃO DO ELETRODUTO</t>
  </si>
  <si>
    <t>3.5.3</t>
  </si>
  <si>
    <t>ED-32968</t>
  </si>
  <si>
    <t>LUMINÁRIA PLAFONIER REDONDO DE PLÁSTICO, DIÂMETRO 15 CM, PARA UMA (1) LÂMPADA BASE E-27, FORNECIMENTO E INSTALAÇÃO, INCLUSIVE BASE, EXCLUSIVE LÂMPADA</t>
  </si>
  <si>
    <t>3.5.4</t>
  </si>
  <si>
    <t>ED-13344</t>
  </si>
  <si>
    <t>LÂMPADA LED, BASE E27, POTÊNCIA DE 20W, BULBO A70, TEMPERATURA DA COR 6500K, TENSÃO 110-127V, EXCLUSIVE LUMINÁRIA</t>
  </si>
  <si>
    <t>3.6</t>
  </si>
  <si>
    <t>COBERTURA E DRENAGEM</t>
  </si>
  <si>
    <t>3.6.1</t>
  </si>
  <si>
    <t>ED-48428</t>
  </si>
  <si>
    <t>COBERTURA EM TELHA METÁLICA GALVANIZADA TRAPEZOIDAL, TIPO SIMPLES, ESP. 0,50MM, ACABAMENTO NATURAL, INCLUSIVE ACESSÓRIOS PARA FIXAÇÃO, FORNECIMENTO E INSTALAÇÃO</t>
  </si>
  <si>
    <t>3.6.2</t>
  </si>
  <si>
    <t>ED-50649</t>
  </si>
  <si>
    <t>CALHA EM CHAPA GALVANIZADA, ESP. 0,8MM (GSG-22), COM DESENVOLVIMENTO DE 40CM, INCLUSIVE IÇAMENTO MANUAL VERTICAL</t>
  </si>
  <si>
    <t>3.6.3</t>
  </si>
  <si>
    <t>ED-50677</t>
  </si>
  <si>
    <t>RUFO E CONTRARRUFO EM CHAPA GALVANIZADA, ESP. 0,65MM (GSG-24), COM DESENVOLVIMENTO DE 25CM, INCLUSIVE IÇAMENTO MANUAL VERTICAL</t>
  </si>
  <si>
    <t>3.6.4</t>
  </si>
  <si>
    <t>3.6.5</t>
  </si>
  <si>
    <t>ED-50667</t>
  </si>
  <si>
    <t>CHAPIM EM CHAPA GALVANIZADA, COM PINGADEIRA, ESP. 0,65MM (GSG-24), COM DESENVOLVIMENTO DE 35CM, INCLUSIVE IÇAMENTO MANUAL VERTICAL</t>
  </si>
  <si>
    <t>3.6.6</t>
  </si>
  <si>
    <t>89578</t>
  </si>
  <si>
    <t>TUBO PVC, SÉRIE R, ÁGUA PLUVIAL, DN 100 MM, FORNECIDO E INSTALADO EM CONDUTORES VERTICAIS DE ÁGUAS PLUVIAIS. AF_06/2022</t>
  </si>
  <si>
    <t>3.6.7</t>
  </si>
  <si>
    <t>89744</t>
  </si>
  <si>
    <t>JOELHO 90 GRAUS, PVC, SERIE NORMAL, ESGOTO PREDIAL, DN 100 MM, JUNTA ELÁSTICA, FORNECIDO E INSTALADO EM RAMAL DE DESCARGA OU RAMAL DE ESGOTO SANITÁRIO. AF_08/2022</t>
  </si>
  <si>
    <t>3.6.8</t>
  </si>
  <si>
    <t>89810</t>
  </si>
  <si>
    <t>JOELHO 45 GRAUS, PVC, SERIE NORMAL, ESGOTO PREDIAL, DN 100 MM, JUNTA ELÁSTICA, FORNECIDO E INSTALADO EM PRUMADA DE ESGOTO SANITÁRIO OU VENTILAÇÃO. AF_08/2022</t>
  </si>
  <si>
    <t>3.6.9</t>
  </si>
  <si>
    <t>ED-49905</t>
  </si>
  <si>
    <t>CAIXA DE DRENAGEM DE INSPEÇÃO/PASSAGEM EM ALVENARIA (30X30X30CM), REVESTIMENTO EM ARGAMASSA COM ADITIVO IMPERMEABILIZANTE, COM TAMPA EM GRELHA, INCLUSIVE ESCAVAÇÃO, REATERRO E TRANSPORTE COM RETIRADA DO MATERIAL ESCAVADO (EM CAÇAMBA)</t>
  </si>
  <si>
    <t>102989</t>
  </si>
  <si>
    <t>CANALETA MEIA CANA PRÉ-MOLDADA DE CONCRETO (D = 20 CM) - FORNECIMENTO E INSTALAÇÃO. AF_05/2025</t>
  </si>
  <si>
    <t>3.7</t>
  </si>
  <si>
    <t>3.7.1</t>
  </si>
  <si>
    <t>3.7.2</t>
  </si>
  <si>
    <t>94990</t>
  </si>
  <si>
    <t>EXECUÇÃO DE PASSEIO (CALÇADA) OU PISO DE CONCRETO COM CONCRETO MOLDADO IN LOCO, FEITO EM OBRA, ACABAMENTO CONVENCIONAL, NÃO ARMADO. AF_08/2022</t>
  </si>
  <si>
    <t>3.7.3</t>
  </si>
  <si>
    <t>94274</t>
  </si>
  <si>
    <t>ASSENTAMENTO DE GUIA (MEIO-FIO) EM TRECHO CURVO, CONFECCIONADA EM CONCRETO PRÉ-FABRICADO, DIMENSÕES 100X15X13X30 CM (COMPRIMENTO X BASE INFERIOR X BASE SUPERIOR X ALTURA). AF_01/2024</t>
  </si>
  <si>
    <t>3.8</t>
  </si>
  <si>
    <t>3.8.1</t>
  </si>
  <si>
    <t>3.8.2</t>
  </si>
  <si>
    <t>ED-6617</t>
  </si>
  <si>
    <t>PORTÃO EM CHAPA DE AÇO GALVANIZADO, TIPO LAMBRIL, ESP. 1,25MM (GSG-18), COM REQUADRO EM TUBO DE AÇO (50X30)MM, ESP. 1,25MM, INCLUSIVE FERROLHO, PORTA CADEADO E DOBRADIÇAS (FORNECIMENTO/FABRICAÇÃO)</t>
  </si>
  <si>
    <t>3.9</t>
  </si>
  <si>
    <t>3.9.1</t>
  </si>
  <si>
    <t>3.9.2</t>
  </si>
  <si>
    <t>3.9.3</t>
  </si>
  <si>
    <t>104641</t>
  </si>
  <si>
    <t>PINTURA LÁTEX ACRÍLICA ECONÔMICA, APLICAÇÃO MANUAL EM PAREDES, DUAS DEMÃOS. AF_04/2023</t>
  </si>
  <si>
    <t>3.9.4</t>
  </si>
  <si>
    <t>ED-50532</t>
  </si>
  <si>
    <t>PINTURA COM FUNDO ANTICORROSIVO (ZARCÃO) EM ESQUADRIA E SUPERFÍCIE METÁLICA, UMA (1) DEMÃO, INCLUSIVE PREPARAÇÃO DA SUPERFÍCIE COM LIXAMENTO</t>
  </si>
  <si>
    <t>3.9.5</t>
  </si>
  <si>
    <t>VALOR TOTAL:</t>
  </si>
  <si>
    <t>PREÇO UNIT.</t>
  </si>
  <si>
    <t>PREÇO COM BDI</t>
  </si>
  <si>
    <t>LARGURA</t>
  </si>
  <si>
    <t>COMPRIMENTO</t>
  </si>
  <si>
    <t>ÁREA</t>
  </si>
  <si>
    <t>NA OBRA</t>
  </si>
  <si>
    <t>NO ITEM</t>
  </si>
  <si>
    <t>RELAÇÃO</t>
  </si>
  <si>
    <t>FECHAMENTO NA CIRCULAÇÃO ENTRE A ÁREA JÁ FINALIZADA E A ÁREA QUE SERÁ EXECUTADA NESTA ETAPA</t>
  </si>
  <si>
    <t>ALTURA</t>
  </si>
  <si>
    <t>LOCAL</t>
  </si>
  <si>
    <t>GABINETE PRESIDENTE</t>
  </si>
  <si>
    <t>GABINETE 01</t>
  </si>
  <si>
    <t>GABINETE 02</t>
  </si>
  <si>
    <t>GABINETE 03</t>
  </si>
  <si>
    <t>GABINETE 04</t>
  </si>
  <si>
    <t>GABINETE 05</t>
  </si>
  <si>
    <t>GABINETE 06</t>
  </si>
  <si>
    <t>GABINETE 07</t>
  </si>
  <si>
    <t>GABINETE 08</t>
  </si>
  <si>
    <t>CIRCULAÇÃO</t>
  </si>
  <si>
    <t>PERÍMETRO</t>
  </si>
  <si>
    <t>DESCONTO</t>
  </si>
  <si>
    <t>TOTAL</t>
  </si>
  <si>
    <t>FORRO DE GESSO</t>
  </si>
  <si>
    <t>FACES</t>
  </si>
  <si>
    <t>TIPO</t>
  </si>
  <si>
    <t>PORTA 1</t>
  </si>
  <si>
    <t>PORTA 2</t>
  </si>
  <si>
    <t xml:space="preserve">PASSEIO EXTERNO DOS FUNDOS </t>
  </si>
  <si>
    <t>ESPESSURA</t>
  </si>
  <si>
    <t>VOLUME</t>
  </si>
  <si>
    <t>MURO DE ARRIMO</t>
  </si>
  <si>
    <t>COMP.</t>
  </si>
  <si>
    <t>ALTURA MÉDIA</t>
  </si>
  <si>
    <t>ESCAVAÇÃO NOS FUNDOS PARA AUMENTO DA ÁREA DA GARAGEM</t>
  </si>
  <si>
    <t>ÁREA DE ESCAVAÇÃO</t>
  </si>
  <si>
    <t>PROFUNDIDADE MÉDIA</t>
  </si>
  <si>
    <t>PISO DE CONCRETO</t>
  </si>
  <si>
    <t>SOLO</t>
  </si>
  <si>
    <t>VOLUME ENTULHO</t>
  </si>
  <si>
    <t>VOLUME DE ENTULHO</t>
  </si>
  <si>
    <t>DMT</t>
  </si>
  <si>
    <t>TRANSPORTE</t>
  </si>
  <si>
    <t>INTERNO GARAGEM</t>
  </si>
  <si>
    <t>PASSEIO EXTERNO</t>
  </si>
  <si>
    <t>FUNDOS</t>
  </si>
  <si>
    <t>ELEMENTO</t>
  </si>
  <si>
    <t>PORTÃO DE GARAGEM</t>
  </si>
  <si>
    <t>PORTÃO SOCIAL</t>
  </si>
  <si>
    <t>PERFIS METÁLICOS</t>
  </si>
  <si>
    <t>ÁREA TOTAL</t>
  </si>
  <si>
    <t>3.2.9</t>
  </si>
  <si>
    <t>3.2.10</t>
  </si>
  <si>
    <t xml:space="preserve">	ED-51120</t>
  </si>
  <si>
    <t>REATERRO MANUAL DE VALA, INCLUSIVE ESPALHAMENTO E COMPACTAÇÃO MANUAL COM SOQUETE</t>
  </si>
  <si>
    <t xml:space="preserve">	ED-32137</t>
  </si>
  <si>
    <t>IMPERMEABILIZAÇÃO COM PINTURA DE PROTEÇÃO EM EMULSÃO ASFÁLTICA, UMA (1) DEMÃO</t>
  </si>
  <si>
    <t>ÁREA AFERIDA NO AUTOCAD</t>
  </si>
  <si>
    <t>ESTACAS</t>
  </si>
  <si>
    <t>QUANTIDADE CONFORME PROJETO ESTRUTURAL</t>
  </si>
  <si>
    <t>GABARITO NO PERÍMETRO DA ESTRUTURA PARA LOCAÇÃO DAS FUNDAÇÕES</t>
  </si>
  <si>
    <t>BLOCOS</t>
  </si>
  <si>
    <t>PROFUNDIDADE</t>
  </si>
  <si>
    <t>REPETE</t>
  </si>
  <si>
    <t>SAPATAS</t>
  </si>
  <si>
    <t>INDICACAO</t>
  </si>
  <si>
    <t>B1 A B15</t>
  </si>
  <si>
    <t>S16 A S19</t>
  </si>
  <si>
    <t>S20 E S21</t>
  </si>
  <si>
    <t>VIGAS BALDRAME</t>
  </si>
  <si>
    <t>V1</t>
  </si>
  <si>
    <t>V2</t>
  </si>
  <si>
    <t>V3 A V5</t>
  </si>
  <si>
    <t>V6</t>
  </si>
  <si>
    <t>IMPERMEABILIZAÇÃO NA FACE EXTERNA INTEIRA DO ARRIMO E NA FACE DE CIMA DA VIGA INTERMEDIÁRIA ONDE SERÁ ASSENTADO TIJOLO CERÂMICO</t>
  </si>
  <si>
    <t>FACE 1</t>
  </si>
  <si>
    <t>P1 A P15</t>
  </si>
  <si>
    <t>P16 A P19</t>
  </si>
  <si>
    <t>PILAR NVL 80</t>
  </si>
  <si>
    <t>PILAR DE FUNDAÇÃO</t>
  </si>
  <si>
    <t>VIGAS NVL 80</t>
  </si>
  <si>
    <t>V3</t>
  </si>
  <si>
    <t>VOLUME DE ESCAVAÇÃO</t>
  </si>
  <si>
    <t>VOLUME CONCRETO FUNDAÇÕES</t>
  </si>
  <si>
    <t>VOLUME CONCRETO VIGAS BALDRAME</t>
  </si>
  <si>
    <t>VOLUME REATERRO</t>
  </si>
  <si>
    <t>PILARES</t>
  </si>
  <si>
    <t>VIGAS</t>
  </si>
  <si>
    <t>V4</t>
  </si>
  <si>
    <t>TAPUME</t>
  </si>
  <si>
    <t>ED-48435</t>
  </si>
  <si>
    <t>1.3</t>
  </si>
  <si>
    <t>DEMOLIÇÃO MANUAL DE ALVENARIA DE TIJOLO CERÂMICO OU BLOCO DE CONCRETO, INCLUSIVE AFASTAMENTO E EMPILHAMENTO, EXCLUSIVE TRANSPORTE E RETIRADA DO MATERIAL DEMOLIDO</t>
  </si>
  <si>
    <t>DEMOLIÇÃO DE ALVENARIA PARA ABERTURA DE VÃO DE PORTA NO GABINETE DO PRESIDENTE</t>
  </si>
  <si>
    <t>ED-48216</t>
  </si>
  <si>
    <t>ALVENARIA DE BLOCO DE CONCRETO CHEIO SEM ARMAÇÃO, EM CONCRETO COM FCK 15MPA , ESP. 14CM, PARA REVESTIMENTO, INCLUSIVE ARGAMASSA PARA ASSENTAMENTO (DETALHE D - CADERNO SEDS)</t>
  </si>
  <si>
    <t>3.7.4</t>
  </si>
  <si>
    <t>ESCADA DO PORTAL SOCIAL DA GARAGEM FEITA COM BLOCO DE CONCRETO CHEIO</t>
  </si>
  <si>
    <t>COMPOSIÇÃO DO BDI</t>
  </si>
  <si>
    <t>PROPONENTE: PREFEITURA  MUNICIPAL DE JEQUITAÍ- MG</t>
  </si>
  <si>
    <t>OBRA:</t>
  </si>
  <si>
    <t>MUNICÍPIO: JEQUITAÍ</t>
  </si>
  <si>
    <t>RESPONSÁVEL TÉCNICO:</t>
  </si>
  <si>
    <t>RESPONSÁVEL LEGAL:</t>
  </si>
  <si>
    <t xml:space="preserve">_____________________________________
GERALDO DIAS PEREIRA JÚNIOR
ENGENHEIRO CIVIL
CREA-MG 248.562/D             </t>
  </si>
  <si>
    <t xml:space="preserve">_____________________________________
CÂMARA MUNICIPAL DE JEQUITAÍ
CNPJ nº 00.086.457/0001-60           </t>
  </si>
  <si>
    <t>DATA: 12/08/2026</t>
  </si>
  <si>
    <t>8ª ETAPA DA CONSTRUÇÃO DO PRÉDIO LEGISLATIVO DA CÂMARA MUNICIPAL DE JEQUITAÍ</t>
  </si>
  <si>
    <t>LOCAL: PRAÇA JOSÉ BONIFÁCIO DE ANDRADA</t>
  </si>
  <si>
    <t>MEMÓRIA DE CÁLCULO</t>
  </si>
  <si>
    <r>
      <rPr>
        <b/>
        <sz val="5.5"/>
        <rFont val="Arial"/>
        <family val="2"/>
      </rPr>
      <t>FORMA DE EXECUÇÃO:</t>
    </r>
  </si>
  <si>
    <t xml:space="preserve">PRAZO DE EXECUÇÃO: 90 DIAS </t>
  </si>
  <si>
    <t>OBRA: 8ª ETAPA DA CONSTRUÇÃO DO PRÉDIO LEGISLATIVO DA CÂMARA MUNICIPAL DE JEQUITAÍ</t>
  </si>
  <si>
    <t>REGIÃO/MÊS DE REFERÊNCIA: SINAPI 06/2026 - SICOR 04/2026 NORTE - SUDECAP 04/2026 - ORSE 04/2026 - GOINFRA CIVIL 04/2026 - SICRO 04/2026</t>
  </si>
  <si>
    <r>
      <rPr>
        <b/>
        <sz val="8.5"/>
        <rFont val="Arial"/>
        <family val="2"/>
      </rPr>
      <t>PLANILHA ORÇAMENTÁRIA DE CUSTOS</t>
    </r>
    <r>
      <rPr>
        <b/>
        <sz val="8.5"/>
        <rFont val="Arial"/>
        <family val="2"/>
      </rPr>
      <t xml:space="preserve"> - DESONERADA </t>
    </r>
  </si>
  <si>
    <t xml:space="preserve">BDI: </t>
  </si>
  <si>
    <t xml:space="preserve">_____________________________________
CÂMARA MUNICIPAL DE JEQUITAÍ
CNPJ nº 00.086.457/0001-60 </t>
  </si>
  <si>
    <t xml:space="preserve">(     ) ADMINISTRAÇÃO DIRETA </t>
  </si>
  <si>
    <t>(  X   )ADMINISTRAÇÃO INDIRETA</t>
  </si>
  <si>
    <t>CRONOGRAMA FÍSICO-FINANCEIRO</t>
  </si>
  <si>
    <t>VALOR DA OBRA:</t>
  </si>
  <si>
    <t>VALOR</t>
  </si>
  <si>
    <t>MÊS 01</t>
  </si>
  <si>
    <t>MÊS 02</t>
  </si>
  <si>
    <t>MÊS 03</t>
  </si>
  <si>
    <t>DATA:</t>
  </si>
  <si>
    <t>VALOR / PORCENTAGEM MENSAL</t>
  </si>
  <si>
    <t xml:space="preserve">VALOR / PORCENTAGEM ACUMULADA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</si>
</sst>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\R\$\ #,##0.00"/>
    <numFmt numFmtId="165" formatCode="\R\$\ ###,###,##0.00"/>
    <numFmt numFmtId="168" formatCode="_-[$R$-416]\ * #,##0.00_-;\-[$R$-416]\ * #,##0.00_-;_-[$R$-416]\ * &quot;-&quot;??_-;_-@_-"/>
  </numFmts>
  <fonts count="24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000000"/>
      <name val="Arial"/>
      <family val="2"/>
    </font>
    <font>
      <sz val="6"/>
      <name val="Arial"/>
      <family val="2"/>
    </font>
    <font>
      <sz val="11"/>
      <color rgb="FF000000"/>
      <name val="Calibri"/>
      <family val="2"/>
    </font>
    <font>
      <b/>
      <sz val="18"/>
      <color rgb="FF000000"/>
      <name val="Calibri"/>
      <family val="2"/>
    </font>
    <font>
      <b/>
      <sz val="10"/>
      <color rgb="FF000000"/>
      <name val="Calibri"/>
      <family val="2"/>
    </font>
    <font>
      <b/>
      <sz val="12"/>
      <color rgb="FF000000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Calibri"/>
      <family val="2"/>
    </font>
    <font>
      <sz val="10"/>
      <color rgb="FF000000"/>
      <name val="Times New Roman"/>
      <family val="1"/>
    </font>
    <font>
      <b/>
      <sz val="8.5"/>
      <name val="Arial"/>
      <family val="2"/>
    </font>
    <font>
      <b/>
      <sz val="5.5"/>
      <name val="Arial"/>
      <family val="2"/>
    </font>
    <font>
      <b/>
      <sz val="5"/>
      <name val="Arial"/>
      <family val="2"/>
    </font>
    <font>
      <b/>
      <sz val="6"/>
      <name val="Arial"/>
      <family val="2"/>
    </font>
    <font>
      <sz val="6"/>
      <color rgb="FF000000"/>
      <name val="Times New Roman"/>
      <family val="1"/>
    </font>
    <font>
      <b/>
      <sz val="7"/>
      <name val="Arial"/>
      <family val="2"/>
    </font>
    <font>
      <sz val="7"/>
      <color rgb="FF000000"/>
      <name val="Arial"/>
      <family val="2"/>
    </font>
    <font>
      <b/>
      <sz val="7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BFBFBF"/>
      </patternFill>
    </fill>
  </fills>
  <borders count="6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8" fillId="9" borderId="1"/>
    <xf numFmtId="9" fontId="13" fillId="9" borderId="1" applyFont="0" applyFill="0" applyBorder="0" applyAlignment="0" applyProtection="0"/>
  </cellStyleXfs>
  <cellXfs count="233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justify" vertical="center" wrapText="1"/>
    </xf>
    <xf numFmtId="4" fontId="3" fillId="7" borderId="2" xfId="0" applyNumberFormat="1" applyFont="1" applyFill="1" applyBorder="1" applyAlignment="1">
      <alignment horizontal="right" vertical="center" wrapText="1"/>
    </xf>
    <xf numFmtId="164" fontId="3" fillId="8" borderId="2" xfId="0" applyNumberFormat="1" applyFont="1" applyFill="1" applyBorder="1" applyAlignment="1">
      <alignment horizontal="right" vertical="center" wrapText="1"/>
    </xf>
    <xf numFmtId="0" fontId="2" fillId="10" borderId="2" xfId="0" applyFont="1" applyFill="1" applyBorder="1" applyAlignment="1">
      <alignment horizontal="left" vertical="center" wrapText="1"/>
    </xf>
    <xf numFmtId="0" fontId="2" fillId="11" borderId="2" xfId="0" applyFont="1" applyFill="1" applyBorder="1" applyAlignment="1">
      <alignment horizontal="left" vertical="center" wrapText="1"/>
    </xf>
    <xf numFmtId="0" fontId="2" fillId="11" borderId="2" xfId="0" applyFont="1" applyFill="1" applyBorder="1" applyAlignment="1">
      <alignment vertical="center" wrapText="1"/>
    </xf>
    <xf numFmtId="0" fontId="2" fillId="10" borderId="2" xfId="0" applyFont="1" applyFill="1" applyBorder="1" applyAlignment="1">
      <alignment vertical="center" wrapText="1"/>
    </xf>
    <xf numFmtId="0" fontId="3" fillId="4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right" vertical="center" wrapText="1"/>
    </xf>
    <xf numFmtId="0" fontId="3" fillId="4" borderId="11" xfId="0" applyFont="1" applyFill="1" applyBorder="1" applyAlignment="1">
      <alignment horizontal="left" vertical="center" wrapText="1"/>
    </xf>
    <xf numFmtId="0" fontId="3" fillId="5" borderId="11" xfId="0" applyFont="1" applyFill="1" applyBorder="1" applyAlignment="1">
      <alignment horizontal="center" vertical="center" wrapText="1"/>
    </xf>
    <xf numFmtId="4" fontId="3" fillId="7" borderId="11" xfId="0" applyNumberFormat="1" applyFont="1" applyFill="1" applyBorder="1" applyAlignment="1">
      <alignment horizontal="right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left" vertical="center" wrapText="1"/>
    </xf>
    <xf numFmtId="4" fontId="3" fillId="7" borderId="3" xfId="0" applyNumberFormat="1" applyFont="1" applyFill="1" applyBorder="1" applyAlignment="1">
      <alignment horizontal="right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vertical="center" wrapText="1"/>
    </xf>
    <xf numFmtId="43" fontId="3" fillId="4" borderId="3" xfId="1" applyFont="1" applyFill="1" applyBorder="1" applyAlignment="1">
      <alignment horizontal="left" vertical="center" wrapText="1"/>
    </xf>
    <xf numFmtId="43" fontId="3" fillId="5" borderId="3" xfId="1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vertical="center" wrapText="1"/>
    </xf>
    <xf numFmtId="43" fontId="3" fillId="12" borderId="3" xfId="1" applyFont="1" applyFill="1" applyBorder="1" applyAlignment="1">
      <alignment horizontal="center" vertical="center" wrapText="1"/>
    </xf>
    <xf numFmtId="43" fontId="3" fillId="6" borderId="3" xfId="1" applyFont="1" applyFill="1" applyBorder="1" applyAlignment="1">
      <alignment horizontal="left" vertical="center" wrapText="1"/>
    </xf>
    <xf numFmtId="43" fontId="3" fillId="12" borderId="3" xfId="0" applyNumberFormat="1" applyFont="1" applyFill="1" applyBorder="1" applyAlignment="1">
      <alignment horizontal="left" vertical="center" wrapText="1"/>
    </xf>
    <xf numFmtId="0" fontId="3" fillId="13" borderId="3" xfId="0" applyFont="1" applyFill="1" applyBorder="1" applyAlignment="1">
      <alignment horizontal="center" vertical="center" wrapText="1"/>
    </xf>
    <xf numFmtId="43" fontId="3" fillId="13" borderId="3" xfId="1" applyFont="1" applyFill="1" applyBorder="1" applyAlignment="1">
      <alignment horizontal="center" vertical="center" wrapText="1"/>
    </xf>
    <xf numFmtId="164" fontId="3" fillId="8" borderId="7" xfId="0" applyNumberFormat="1" applyFont="1" applyFill="1" applyBorder="1" applyAlignment="1">
      <alignment horizontal="right" vertical="center" wrapText="1"/>
    </xf>
    <xf numFmtId="43" fontId="3" fillId="5" borderId="3" xfId="0" applyNumberFormat="1" applyFont="1" applyFill="1" applyBorder="1" applyAlignment="1">
      <alignment horizontal="center" vertical="center" wrapText="1"/>
    </xf>
    <xf numFmtId="43" fontId="3" fillId="12" borderId="3" xfId="0" applyNumberFormat="1" applyFont="1" applyFill="1" applyBorder="1" applyAlignment="1">
      <alignment horizontal="center" vertical="center" wrapText="1"/>
    </xf>
    <xf numFmtId="43" fontId="3" fillId="12" borderId="3" xfId="1" applyFont="1" applyFill="1" applyBorder="1" applyAlignment="1">
      <alignment horizontal="left" vertical="center" wrapText="1"/>
    </xf>
    <xf numFmtId="0" fontId="3" fillId="12" borderId="3" xfId="0" applyFont="1" applyFill="1" applyBorder="1" applyAlignment="1">
      <alignment horizontal="left" vertical="center" wrapText="1"/>
    </xf>
    <xf numFmtId="43" fontId="3" fillId="13" borderId="3" xfId="1" applyFont="1" applyFill="1" applyBorder="1" applyAlignment="1">
      <alignment horizontal="left" vertical="center" wrapText="1"/>
    </xf>
    <xf numFmtId="43" fontId="3" fillId="7" borderId="3" xfId="1" applyFont="1" applyFill="1" applyBorder="1" applyAlignment="1">
      <alignment horizontal="right" vertical="center" wrapText="1"/>
    </xf>
    <xf numFmtId="4" fontId="3" fillId="12" borderId="3" xfId="0" applyNumberFormat="1" applyFont="1" applyFill="1" applyBorder="1" applyAlignment="1">
      <alignment horizontal="right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justify" vertical="center" wrapText="1"/>
    </xf>
    <xf numFmtId="4" fontId="7" fillId="7" borderId="2" xfId="0" applyNumberFormat="1" applyFont="1" applyFill="1" applyBorder="1" applyAlignment="1">
      <alignment horizontal="right" vertical="center" wrapText="1"/>
    </xf>
    <xf numFmtId="164" fontId="7" fillId="8" borderId="2" xfId="0" applyNumberFormat="1" applyFont="1" applyFill="1" applyBorder="1" applyAlignment="1">
      <alignment horizontal="right" vertical="center" wrapText="1"/>
    </xf>
    <xf numFmtId="0" fontId="6" fillId="12" borderId="3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left" vertical="center" wrapText="1"/>
    </xf>
    <xf numFmtId="0" fontId="2" fillId="11" borderId="5" xfId="0" applyFont="1" applyFill="1" applyBorder="1" applyAlignment="1">
      <alignment horizontal="left" vertical="center" wrapText="1"/>
    </xf>
    <xf numFmtId="0" fontId="2" fillId="11" borderId="6" xfId="0" applyFont="1" applyFill="1" applyBorder="1" applyAlignment="1">
      <alignment horizontal="left" vertical="center" wrapText="1"/>
    </xf>
    <xf numFmtId="0" fontId="3" fillId="6" borderId="4" xfId="0" applyFont="1" applyFill="1" applyBorder="1" applyAlignment="1">
      <alignment horizontal="left" vertical="center" wrapText="1"/>
    </xf>
    <xf numFmtId="0" fontId="3" fillId="6" borderId="5" xfId="0" applyFont="1" applyFill="1" applyBorder="1" applyAlignment="1">
      <alignment horizontal="left" vertical="center" wrapText="1"/>
    </xf>
    <xf numFmtId="0" fontId="3" fillId="6" borderId="6" xfId="0" applyFont="1" applyFill="1" applyBorder="1" applyAlignment="1">
      <alignment horizontal="left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3" fillId="4" borderId="22" xfId="0" applyFont="1" applyFill="1" applyBorder="1" applyAlignment="1">
      <alignment horizontal="left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12" borderId="15" xfId="0" applyFont="1" applyFill="1" applyBorder="1" applyAlignment="1">
      <alignment horizontal="center" vertical="center" wrapText="1"/>
    </xf>
    <xf numFmtId="0" fontId="3" fillId="12" borderId="17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left" vertical="center" wrapText="1"/>
    </xf>
    <xf numFmtId="0" fontId="3" fillId="4" borderId="19" xfId="0" applyFont="1" applyFill="1" applyBorder="1" applyAlignment="1">
      <alignment horizontal="left" vertical="center" wrapText="1"/>
    </xf>
    <xf numFmtId="0" fontId="3" fillId="4" borderId="20" xfId="0" applyFont="1" applyFill="1" applyBorder="1" applyAlignment="1">
      <alignment horizontal="left" vertical="center" wrapText="1"/>
    </xf>
    <xf numFmtId="0" fontId="2" fillId="10" borderId="4" xfId="0" applyFont="1" applyFill="1" applyBorder="1" applyAlignment="1">
      <alignment horizontal="left" vertical="center" wrapText="1"/>
    </xf>
    <xf numFmtId="0" fontId="2" fillId="10" borderId="5" xfId="0" applyFont="1" applyFill="1" applyBorder="1" applyAlignment="1">
      <alignment horizontal="left" vertical="center" wrapText="1"/>
    </xf>
    <xf numFmtId="0" fontId="2" fillId="10" borderId="6" xfId="0" applyFont="1" applyFill="1" applyBorder="1" applyAlignment="1">
      <alignment horizontal="left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left" vertical="center" wrapText="1"/>
    </xf>
    <xf numFmtId="0" fontId="3" fillId="6" borderId="13" xfId="0" applyFont="1" applyFill="1" applyBorder="1" applyAlignment="1">
      <alignment horizontal="left" vertical="center" wrapText="1"/>
    </xf>
    <xf numFmtId="0" fontId="3" fillId="6" borderId="14" xfId="0" applyFont="1" applyFill="1" applyBorder="1" applyAlignment="1">
      <alignment horizontal="left" vertical="center" wrapText="1"/>
    </xf>
    <xf numFmtId="0" fontId="3" fillId="6" borderId="8" xfId="0" applyFont="1" applyFill="1" applyBorder="1" applyAlignment="1">
      <alignment horizontal="left" vertical="center" wrapText="1"/>
    </xf>
    <xf numFmtId="0" fontId="3" fillId="6" borderId="9" xfId="0" applyFont="1" applyFill="1" applyBorder="1" applyAlignment="1">
      <alignment horizontal="left" vertical="center" wrapText="1"/>
    </xf>
    <xf numFmtId="0" fontId="3" fillId="6" borderId="10" xfId="0" applyFont="1" applyFill="1" applyBorder="1" applyAlignment="1">
      <alignment horizontal="left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4" fontId="3" fillId="7" borderId="26" xfId="0" applyNumberFormat="1" applyFont="1" applyFill="1" applyBorder="1" applyAlignment="1">
      <alignment horizontal="center" vertical="center" wrapText="1"/>
    </xf>
    <xf numFmtId="4" fontId="3" fillId="7" borderId="27" xfId="0" applyNumberFormat="1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3" fillId="6" borderId="27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4" fontId="3" fillId="13" borderId="2" xfId="0" applyNumberFormat="1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center" vertical="center" wrapText="1"/>
    </xf>
    <xf numFmtId="43" fontId="3" fillId="0" borderId="3" xfId="1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9" fillId="9" borderId="28" xfId="4" applyFont="1" applyBorder="1" applyAlignment="1">
      <alignment horizontal="center" vertical="center"/>
    </xf>
    <xf numFmtId="0" fontId="9" fillId="9" borderId="29" xfId="4" applyFont="1" applyBorder="1" applyAlignment="1">
      <alignment horizontal="center" vertical="center"/>
    </xf>
    <xf numFmtId="0" fontId="9" fillId="9" borderId="30" xfId="4" applyFont="1" applyBorder="1" applyAlignment="1">
      <alignment horizontal="center" vertical="center"/>
    </xf>
    <xf numFmtId="0" fontId="9" fillId="9" borderId="31" xfId="4" applyFont="1" applyBorder="1" applyAlignment="1">
      <alignment horizontal="center" vertical="center"/>
    </xf>
    <xf numFmtId="0" fontId="9" fillId="9" borderId="3" xfId="4" applyFont="1" applyBorder="1" applyAlignment="1">
      <alignment horizontal="center" vertical="center"/>
    </xf>
    <xf numFmtId="0" fontId="9" fillId="9" borderId="32" xfId="4" applyFont="1" applyBorder="1" applyAlignment="1">
      <alignment horizontal="center" vertical="center"/>
    </xf>
    <xf numFmtId="0" fontId="10" fillId="9" borderId="31" xfId="4" applyFont="1" applyBorder="1" applyAlignment="1">
      <alignment horizontal="left" vertical="center"/>
    </xf>
    <xf numFmtId="0" fontId="10" fillId="9" borderId="3" xfId="4" applyFont="1" applyBorder="1" applyAlignment="1">
      <alignment horizontal="left" vertical="center"/>
    </xf>
    <xf numFmtId="0" fontId="10" fillId="9" borderId="32" xfId="4" applyFont="1" applyBorder="1" applyAlignment="1">
      <alignment horizontal="left" vertical="center"/>
    </xf>
    <xf numFmtId="0" fontId="10" fillId="9" borderId="31" xfId="4" applyFont="1" applyBorder="1" applyAlignment="1">
      <alignment horizontal="left" vertical="center"/>
    </xf>
    <xf numFmtId="0" fontId="10" fillId="9" borderId="3" xfId="4" applyFont="1" applyBorder="1" applyAlignment="1">
      <alignment horizontal="left" vertical="center" wrapText="1"/>
    </xf>
    <xf numFmtId="0" fontId="10" fillId="9" borderId="3" xfId="4" applyFont="1" applyBorder="1" applyAlignment="1">
      <alignment horizontal="center" vertical="center"/>
    </xf>
    <xf numFmtId="0" fontId="10" fillId="9" borderId="32" xfId="4" applyFont="1" applyBorder="1" applyAlignment="1">
      <alignment horizontal="center" vertical="center"/>
    </xf>
    <xf numFmtId="0" fontId="10" fillId="9" borderId="33" xfId="4" applyFont="1" applyBorder="1" applyAlignment="1">
      <alignment horizontal="left" vertical="top"/>
    </xf>
    <xf numFmtId="0" fontId="10" fillId="9" borderId="16" xfId="4" applyFont="1" applyBorder="1" applyAlignment="1">
      <alignment horizontal="left" vertical="top"/>
    </xf>
    <xf numFmtId="0" fontId="10" fillId="9" borderId="17" xfId="4" applyFont="1" applyBorder="1" applyAlignment="1">
      <alignment horizontal="left" vertical="top"/>
    </xf>
    <xf numFmtId="0" fontId="10" fillId="9" borderId="15" xfId="4" applyFont="1" applyBorder="1" applyAlignment="1">
      <alignment horizontal="left" vertical="center" wrapText="1"/>
    </xf>
    <xf numFmtId="0" fontId="10" fillId="9" borderId="34" xfId="4" applyFont="1" applyBorder="1" applyAlignment="1">
      <alignment horizontal="left" vertical="center" wrapText="1"/>
    </xf>
    <xf numFmtId="0" fontId="11" fillId="9" borderId="35" xfId="4" applyFont="1" applyBorder="1" applyAlignment="1">
      <alignment horizontal="center" vertical="top"/>
    </xf>
    <xf numFmtId="0" fontId="11" fillId="9" borderId="36" xfId="4" applyFont="1" applyBorder="1" applyAlignment="1">
      <alignment horizontal="center" vertical="top"/>
    </xf>
    <xf numFmtId="0" fontId="11" fillId="9" borderId="37" xfId="4" applyFont="1" applyBorder="1" applyAlignment="1">
      <alignment horizontal="center" vertical="top"/>
    </xf>
    <xf numFmtId="0" fontId="11" fillId="9" borderId="38" xfId="4" applyFont="1" applyBorder="1" applyAlignment="1">
      <alignment horizontal="center" vertical="top"/>
    </xf>
    <xf numFmtId="0" fontId="11" fillId="9" borderId="1" xfId="4" applyFont="1" applyAlignment="1">
      <alignment horizontal="center" vertical="top"/>
    </xf>
    <xf numFmtId="0" fontId="11" fillId="9" borderId="39" xfId="4" applyFont="1" applyBorder="1" applyAlignment="1">
      <alignment horizontal="center" vertical="top"/>
    </xf>
    <xf numFmtId="0" fontId="11" fillId="9" borderId="40" xfId="4" applyFont="1" applyBorder="1" applyAlignment="1">
      <alignment horizontal="center" vertical="top"/>
    </xf>
    <xf numFmtId="0" fontId="11" fillId="9" borderId="41" xfId="4" applyFont="1" applyBorder="1" applyAlignment="1">
      <alignment horizontal="center" vertical="top"/>
    </xf>
    <xf numFmtId="0" fontId="11" fillId="9" borderId="42" xfId="4" applyFont="1" applyBorder="1" applyAlignment="1">
      <alignment horizontal="center" vertical="top"/>
    </xf>
    <xf numFmtId="0" fontId="12" fillId="13" borderId="43" xfId="0" applyFont="1" applyFill="1" applyBorder="1" applyAlignment="1">
      <alignment horizontal="center" wrapText="1"/>
    </xf>
    <xf numFmtId="0" fontId="12" fillId="13" borderId="44" xfId="0" applyFont="1" applyFill="1" applyBorder="1" applyAlignment="1">
      <alignment horizontal="center" wrapText="1"/>
    </xf>
    <xf numFmtId="0" fontId="12" fillId="13" borderId="45" xfId="0" applyFont="1" applyFill="1" applyBorder="1" applyAlignment="1">
      <alignment horizontal="center" wrapText="1"/>
    </xf>
    <xf numFmtId="10" fontId="14" fillId="13" borderId="43" xfId="5" applyNumberFormat="1" applyFont="1" applyFill="1" applyBorder="1" applyAlignment="1">
      <alignment horizontal="center" wrapText="1"/>
    </xf>
    <xf numFmtId="10" fontId="14" fillId="13" borderId="44" xfId="5" applyNumberFormat="1" applyFont="1" applyFill="1" applyBorder="1" applyAlignment="1">
      <alignment horizontal="center" wrapText="1"/>
    </xf>
    <xf numFmtId="10" fontId="14" fillId="13" borderId="45" xfId="5" applyNumberFormat="1" applyFont="1" applyFill="1" applyBorder="1" applyAlignment="1">
      <alignment horizontal="center" wrapText="1"/>
    </xf>
    <xf numFmtId="0" fontId="0" fillId="13" borderId="46" xfId="0" applyFill="1" applyBorder="1" applyAlignment="1">
      <alignment horizontal="center" wrapText="1"/>
    </xf>
    <xf numFmtId="0" fontId="0" fillId="13" borderId="47" xfId="0" applyFill="1" applyBorder="1" applyAlignment="1">
      <alignment horizontal="center" wrapText="1"/>
    </xf>
    <xf numFmtId="0" fontId="0" fillId="13" borderId="48" xfId="0" applyFill="1" applyBorder="1" applyAlignment="1">
      <alignment horizontal="center" wrapText="1"/>
    </xf>
    <xf numFmtId="0" fontId="15" fillId="13" borderId="0" xfId="0" applyFont="1" applyFill="1" applyAlignment="1">
      <alignment horizontal="center" wrapText="1"/>
    </xf>
    <xf numFmtId="0" fontId="0" fillId="13" borderId="0" xfId="0" applyFill="1" applyAlignment="1">
      <alignment horizontal="center" wrapText="1"/>
    </xf>
    <xf numFmtId="0" fontId="0" fillId="13" borderId="39" xfId="0" applyFill="1" applyBorder="1" applyAlignment="1">
      <alignment horizontal="center" wrapText="1"/>
    </xf>
    <xf numFmtId="0" fontId="0" fillId="13" borderId="40" xfId="0" applyFill="1" applyBorder="1" applyAlignment="1">
      <alignment horizontal="center"/>
    </xf>
    <xf numFmtId="0" fontId="0" fillId="13" borderId="41" xfId="0" applyFill="1" applyBorder="1" applyAlignment="1">
      <alignment horizontal="center"/>
    </xf>
    <xf numFmtId="0" fontId="0" fillId="13" borderId="42" xfId="0" applyFill="1" applyBorder="1" applyAlignment="1">
      <alignment horizontal="center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9" fillId="13" borderId="3" xfId="0" applyFont="1" applyFill="1" applyBorder="1" applyAlignment="1">
      <alignment horizontal="left" wrapText="1"/>
    </xf>
    <xf numFmtId="10" fontId="19" fillId="13" borderId="3" xfId="5" applyNumberFormat="1" applyFont="1" applyFill="1" applyBorder="1" applyAlignment="1">
      <alignment horizontal="left" wrapText="1"/>
    </xf>
    <xf numFmtId="0" fontId="3" fillId="13" borderId="3" xfId="0" applyFont="1" applyFill="1" applyBorder="1" applyAlignment="1">
      <alignment horizontal="center" wrapText="1"/>
    </xf>
    <xf numFmtId="0" fontId="17" fillId="0" borderId="3" xfId="0" applyFont="1" applyBorder="1" applyAlignment="1">
      <alignment horizontal="left" vertical="center" wrapText="1"/>
    </xf>
    <xf numFmtId="0" fontId="17" fillId="14" borderId="3" xfId="0" applyFont="1" applyFill="1" applyBorder="1" applyAlignment="1">
      <alignment horizontal="left" vertical="center" wrapText="1" indent="8"/>
    </xf>
    <xf numFmtId="0" fontId="18" fillId="0" borderId="3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14" borderId="27" xfId="0" applyFont="1" applyFill="1" applyBorder="1" applyAlignment="1">
      <alignment horizontal="left" vertical="center" wrapText="1" indent="8"/>
    </xf>
    <xf numFmtId="0" fontId="17" fillId="13" borderId="15" xfId="0" applyFont="1" applyFill="1" applyBorder="1" applyAlignment="1">
      <alignment horizontal="right" vertical="center" wrapText="1"/>
    </xf>
    <xf numFmtId="10" fontId="17" fillId="13" borderId="17" xfId="2" applyNumberFormat="1" applyFont="1" applyFill="1" applyBorder="1" applyAlignment="1">
      <alignment horizontal="left" vertical="center" wrapText="1"/>
    </xf>
    <xf numFmtId="0" fontId="17" fillId="0" borderId="4" xfId="0" applyFont="1" applyBorder="1" applyAlignment="1">
      <alignment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4" xfId="0" applyFont="1" applyBorder="1" applyAlignment="1">
      <alignment horizontal="left" vertical="center" wrapText="1"/>
    </xf>
    <xf numFmtId="0" fontId="17" fillId="0" borderId="50" xfId="0" applyFont="1" applyBorder="1" applyAlignment="1">
      <alignment horizontal="left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left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51" xfId="0" applyFont="1" applyBorder="1" applyAlignment="1">
      <alignment horizontal="left" vertical="center" wrapText="1"/>
    </xf>
    <xf numFmtId="0" fontId="17" fillId="14" borderId="32" xfId="0" applyFont="1" applyFill="1" applyBorder="1" applyAlignment="1">
      <alignment horizontal="left" vertical="center" wrapText="1" indent="8"/>
    </xf>
    <xf numFmtId="0" fontId="18" fillId="0" borderId="32" xfId="0" applyFont="1" applyBorder="1" applyAlignment="1">
      <alignment horizontal="center" vertical="center" wrapText="1"/>
    </xf>
    <xf numFmtId="0" fontId="2" fillId="3" borderId="52" xfId="0" applyFont="1" applyFill="1" applyBorder="1" applyAlignment="1">
      <alignment horizontal="center" vertical="center" wrapText="1"/>
    </xf>
    <xf numFmtId="0" fontId="2" fillId="3" borderId="53" xfId="0" applyFont="1" applyFill="1" applyBorder="1" applyAlignment="1">
      <alignment horizontal="center" vertical="center" wrapText="1"/>
    </xf>
    <xf numFmtId="0" fontId="2" fillId="10" borderId="52" xfId="0" applyFont="1" applyFill="1" applyBorder="1" applyAlignment="1">
      <alignment horizontal="left" vertical="center" wrapText="1"/>
    </xf>
    <xf numFmtId="164" fontId="2" fillId="10" borderId="53" xfId="0" applyNumberFormat="1" applyFont="1" applyFill="1" applyBorder="1" applyAlignment="1">
      <alignment horizontal="right" vertical="center" wrapText="1"/>
    </xf>
    <xf numFmtId="0" fontId="3" fillId="4" borderId="52" xfId="0" applyFont="1" applyFill="1" applyBorder="1" applyAlignment="1">
      <alignment horizontal="left" vertical="center" wrapText="1"/>
    </xf>
    <xf numFmtId="165" fontId="3" fillId="9" borderId="53" xfId="0" applyNumberFormat="1" applyFont="1" applyFill="1" applyBorder="1" applyAlignment="1">
      <alignment horizontal="right" vertical="center" wrapText="1"/>
    </xf>
    <xf numFmtId="0" fontId="2" fillId="11" borderId="52" xfId="0" applyFont="1" applyFill="1" applyBorder="1" applyAlignment="1">
      <alignment horizontal="left" vertical="center" wrapText="1"/>
    </xf>
    <xf numFmtId="164" fontId="2" fillId="11" borderId="53" xfId="0" applyNumberFormat="1" applyFont="1" applyFill="1" applyBorder="1" applyAlignment="1">
      <alignment horizontal="right" vertical="center" wrapText="1"/>
    </xf>
    <xf numFmtId="0" fontId="7" fillId="4" borderId="52" xfId="0" applyFont="1" applyFill="1" applyBorder="1" applyAlignment="1">
      <alignment horizontal="left" vertical="center" wrapText="1"/>
    </xf>
    <xf numFmtId="165" fontId="7" fillId="9" borderId="53" xfId="0" applyNumberFormat="1" applyFont="1" applyFill="1" applyBorder="1" applyAlignment="1">
      <alignment horizontal="right" vertical="center" wrapText="1"/>
    </xf>
    <xf numFmtId="0" fontId="0" fillId="2" borderId="3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164" fontId="6" fillId="12" borderId="54" xfId="0" applyNumberFormat="1" applyFont="1" applyFill="1" applyBorder="1" applyAlignment="1">
      <alignment horizontal="right" vertical="center" wrapText="1"/>
    </xf>
    <xf numFmtId="0" fontId="19" fillId="13" borderId="31" xfId="0" applyFont="1" applyFill="1" applyBorder="1" applyAlignment="1">
      <alignment horizontal="left" wrapText="1"/>
    </xf>
    <xf numFmtId="10" fontId="19" fillId="13" borderId="32" xfId="5" applyNumberFormat="1" applyFont="1" applyFill="1" applyBorder="1" applyAlignment="1">
      <alignment horizontal="left" wrapText="1"/>
    </xf>
    <xf numFmtId="0" fontId="20" fillId="13" borderId="55" xfId="0" applyFont="1" applyFill="1" applyBorder="1" applyAlignment="1">
      <alignment horizontal="center" wrapText="1"/>
    </xf>
    <xf numFmtId="0" fontId="20" fillId="13" borderId="56" xfId="0" applyFont="1" applyFill="1" applyBorder="1" applyAlignment="1">
      <alignment horizontal="center" wrapText="1"/>
    </xf>
    <xf numFmtId="0" fontId="20" fillId="13" borderId="57" xfId="0" applyFont="1" applyFill="1" applyBorder="1" applyAlignment="1">
      <alignment horizontal="center" wrapText="1"/>
    </xf>
    <xf numFmtId="0" fontId="21" fillId="0" borderId="31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21" fillId="15" borderId="58" xfId="0" applyFont="1" applyFill="1" applyBorder="1" applyAlignment="1">
      <alignment horizontal="center" vertical="center" wrapText="1"/>
    </xf>
    <xf numFmtId="0" fontId="21" fillId="15" borderId="59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44" fontId="1" fillId="0" borderId="3" xfId="3" applyFont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21" fillId="15" borderId="61" xfId="0" applyFont="1" applyFill="1" applyBorder="1" applyAlignment="1">
      <alignment horizontal="center" vertical="center" wrapText="1"/>
    </xf>
    <xf numFmtId="0" fontId="21" fillId="15" borderId="62" xfId="0" applyFont="1" applyFill="1" applyBorder="1" applyAlignment="1">
      <alignment horizontal="center" vertical="center" wrapText="1"/>
    </xf>
    <xf numFmtId="0" fontId="21" fillId="15" borderId="34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right" vertical="center" wrapText="1"/>
    </xf>
    <xf numFmtId="0" fontId="21" fillId="13" borderId="35" xfId="0" applyFont="1" applyFill="1" applyBorder="1" applyAlignment="1">
      <alignment horizontal="left" wrapText="1"/>
    </xf>
    <xf numFmtId="0" fontId="21" fillId="13" borderId="36" xfId="0" applyFont="1" applyFill="1" applyBorder="1" applyAlignment="1">
      <alignment horizontal="left" wrapText="1"/>
    </xf>
    <xf numFmtId="0" fontId="21" fillId="13" borderId="49" xfId="0" applyFont="1" applyFill="1" applyBorder="1" applyAlignment="1">
      <alignment horizontal="left" wrapText="1"/>
    </xf>
    <xf numFmtId="10" fontId="21" fillId="13" borderId="60" xfId="5" applyNumberFormat="1" applyFont="1" applyFill="1" applyBorder="1" applyAlignment="1">
      <alignment horizontal="left" wrapText="1"/>
    </xf>
    <xf numFmtId="10" fontId="21" fillId="13" borderId="36" xfId="5" applyNumberFormat="1" applyFont="1" applyFill="1" applyBorder="1" applyAlignment="1">
      <alignment horizontal="left" wrapText="1"/>
    </xf>
    <xf numFmtId="14" fontId="21" fillId="0" borderId="32" xfId="0" applyNumberFormat="1" applyFont="1" applyBorder="1" applyAlignment="1">
      <alignment horizontal="center" vertical="center" wrapText="1"/>
    </xf>
    <xf numFmtId="44" fontId="21" fillId="0" borderId="32" xfId="3" applyFont="1" applyBorder="1" applyAlignment="1">
      <alignment horizontal="center" vertical="center" wrapText="1"/>
    </xf>
    <xf numFmtId="10" fontId="21" fillId="13" borderId="37" xfId="5" applyNumberFormat="1" applyFont="1" applyFill="1" applyBorder="1" applyAlignment="1">
      <alignment horizontal="left" wrapText="1"/>
    </xf>
    <xf numFmtId="168" fontId="22" fillId="13" borderId="3" xfId="2" applyNumberFormat="1" applyFont="1" applyFill="1" applyBorder="1" applyAlignment="1">
      <alignment horizontal="center" vertical="top"/>
    </xf>
    <xf numFmtId="9" fontId="22" fillId="13" borderId="3" xfId="2" applyFont="1" applyFill="1" applyBorder="1" applyAlignment="1">
      <alignment horizontal="center" vertical="top"/>
    </xf>
    <xf numFmtId="9" fontId="22" fillId="13" borderId="32" xfId="2" applyFont="1" applyFill="1" applyBorder="1" applyAlignment="1">
      <alignment horizontal="center" vertical="top"/>
    </xf>
    <xf numFmtId="0" fontId="1" fillId="10" borderId="31" xfId="0" applyFont="1" applyFill="1" applyBorder="1" applyAlignment="1">
      <alignment horizontal="center" vertical="center"/>
    </xf>
    <xf numFmtId="44" fontId="1" fillId="10" borderId="3" xfId="3" applyFont="1" applyFill="1" applyBorder="1" applyAlignment="1">
      <alignment horizontal="center" vertical="center"/>
    </xf>
    <xf numFmtId="9" fontId="22" fillId="10" borderId="3" xfId="2" applyFont="1" applyFill="1" applyBorder="1" applyAlignment="1">
      <alignment horizontal="center" vertical="top"/>
    </xf>
    <xf numFmtId="0" fontId="22" fillId="10" borderId="3" xfId="0" applyFont="1" applyFill="1" applyBorder="1" applyAlignment="1">
      <alignment horizontal="center" vertical="top"/>
    </xf>
    <xf numFmtId="0" fontId="22" fillId="10" borderId="15" xfId="0" applyFont="1" applyFill="1" applyBorder="1" applyAlignment="1">
      <alignment horizontal="center" vertical="top"/>
    </xf>
    <xf numFmtId="0" fontId="22" fillId="10" borderId="32" xfId="0" applyFont="1" applyFill="1" applyBorder="1" applyAlignment="1">
      <alignment horizontal="center" vertical="top"/>
    </xf>
    <xf numFmtId="0" fontId="23" fillId="10" borderId="31" xfId="0" applyFont="1" applyFill="1" applyBorder="1" applyAlignment="1">
      <alignment horizontal="center" vertical="center"/>
    </xf>
    <xf numFmtId="9" fontId="22" fillId="10" borderId="15" xfId="2" applyFont="1" applyFill="1" applyBorder="1" applyAlignment="1">
      <alignment horizontal="center" vertical="top"/>
    </xf>
    <xf numFmtId="9" fontId="22" fillId="10" borderId="32" xfId="2" applyFont="1" applyFill="1" applyBorder="1" applyAlignment="1">
      <alignment horizontal="center" vertical="top"/>
    </xf>
    <xf numFmtId="9" fontId="0" fillId="0" borderId="0" xfId="0" applyNumberFormat="1"/>
    <xf numFmtId="0" fontId="1" fillId="11" borderId="31" xfId="0" applyFont="1" applyFill="1" applyBorder="1" applyAlignment="1">
      <alignment horizontal="right" vertical="center"/>
    </xf>
    <xf numFmtId="0" fontId="1" fillId="11" borderId="3" xfId="0" applyFont="1" applyFill="1" applyBorder="1" applyAlignment="1">
      <alignment horizontal="right" vertical="center"/>
    </xf>
    <xf numFmtId="0" fontId="1" fillId="0" borderId="3" xfId="0" applyFont="1" applyBorder="1" applyAlignment="1">
      <alignment horizontal="left" vertical="center"/>
    </xf>
    <xf numFmtId="0" fontId="1" fillId="10" borderId="3" xfId="0" applyFont="1" applyFill="1" applyBorder="1" applyAlignment="1">
      <alignment horizontal="left" vertical="center"/>
    </xf>
    <xf numFmtId="0" fontId="23" fillId="10" borderId="3" xfId="0" applyFont="1" applyFill="1" applyBorder="1" applyAlignment="1">
      <alignment horizontal="left" vertical="center"/>
    </xf>
    <xf numFmtId="0" fontId="23" fillId="0" borderId="3" xfId="0" applyFont="1" applyBorder="1" applyAlignment="1">
      <alignment horizontal="left" vertical="center"/>
    </xf>
    <xf numFmtId="168" fontId="1" fillId="11" borderId="3" xfId="2" applyNumberFormat="1" applyFont="1" applyFill="1" applyBorder="1" applyAlignment="1">
      <alignment horizontal="center" vertical="top"/>
    </xf>
    <xf numFmtId="10" fontId="1" fillId="11" borderId="3" xfId="2" applyNumberFormat="1" applyFont="1" applyFill="1" applyBorder="1" applyAlignment="1">
      <alignment horizontal="center" vertical="top"/>
    </xf>
    <xf numFmtId="10" fontId="1" fillId="11" borderId="32" xfId="2" applyNumberFormat="1" applyFont="1" applyFill="1" applyBorder="1" applyAlignment="1">
      <alignment horizontal="center" vertical="top"/>
    </xf>
    <xf numFmtId="0" fontId="22" fillId="13" borderId="40" xfId="0" applyFont="1" applyFill="1" applyBorder="1" applyAlignment="1">
      <alignment horizontal="center" wrapText="1"/>
    </xf>
    <xf numFmtId="0" fontId="22" fillId="13" borderId="41" xfId="0" applyFont="1" applyFill="1" applyBorder="1" applyAlignment="1">
      <alignment horizontal="center" wrapText="1"/>
    </xf>
    <xf numFmtId="0" fontId="22" fillId="13" borderId="64" xfId="0" applyFont="1" applyFill="1" applyBorder="1" applyAlignment="1">
      <alignment horizontal="center" wrapText="1"/>
    </xf>
    <xf numFmtId="0" fontId="22" fillId="13" borderId="63" xfId="0" applyFont="1" applyFill="1" applyBorder="1" applyAlignment="1">
      <alignment horizontal="center" wrapText="1"/>
    </xf>
    <xf numFmtId="0" fontId="22" fillId="13" borderId="42" xfId="0" applyFont="1" applyFill="1" applyBorder="1" applyAlignment="1">
      <alignment horizontal="center" wrapText="1"/>
    </xf>
  </cellXfs>
  <cellStyles count="6">
    <cellStyle name="Moeda" xfId="3" builtinId="4"/>
    <cellStyle name="Normal" xfId="0" builtinId="0"/>
    <cellStyle name="Normal_Mod_Orcamento_Ate_20.000_hab" xfId="4" xr:uid="{27996456-D697-41BC-A440-9E8361E5F66A}"/>
    <cellStyle name="Porcentagem" xfId="2" builtinId="5"/>
    <cellStyle name="Porcentagem 2" xfId="5" xr:uid="{4FAD97BF-4F51-4815-BD53-156C3D0D224D}"/>
    <cellStyle name="Vírgula" xfId="1" builtinId="3"/>
  </cellStyles>
  <dxfs count="2">
    <dxf>
      <fill>
        <patternFill patternType="none">
          <bgColor auto="1"/>
        </patternFill>
      </fill>
    </dxf>
    <dxf>
      <font>
        <b/>
        <i val="0"/>
      </font>
      <fill>
        <patternFill>
          <bgColor rgb="FFC0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</dxfs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36194</xdr:colOff>
      <xdr:row>7</xdr:row>
      <xdr:rowOff>93862</xdr:rowOff>
    </xdr:from>
    <xdr:to>
      <xdr:col>8</xdr:col>
      <xdr:colOff>1046452</xdr:colOff>
      <xdr:row>22</xdr:row>
      <xdr:rowOff>115336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9C6AB90A-6858-C8DB-5491-9A1FFB99DA9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0250"/>
        <a:stretch>
          <a:fillRect/>
        </a:stretch>
      </xdr:blipFill>
      <xdr:spPr>
        <a:xfrm>
          <a:off x="642330" y="1323453"/>
          <a:ext cx="8647577" cy="7520247"/>
        </a:xfrm>
        <a:prstGeom prst="rect">
          <a:avLst/>
        </a:prstGeom>
      </xdr:spPr>
    </xdr:pic>
    <xdr:clientData/>
  </xdr:twoCellAnchor>
  <xdr:twoCellAnchor>
    <xdr:from>
      <xdr:col>4</xdr:col>
      <xdr:colOff>585107</xdr:colOff>
      <xdr:row>12</xdr:row>
      <xdr:rowOff>81643</xdr:rowOff>
    </xdr:from>
    <xdr:to>
      <xdr:col>5</xdr:col>
      <xdr:colOff>81643</xdr:colOff>
      <xdr:row>22</xdr:row>
      <xdr:rowOff>54429</xdr:rowOff>
    </xdr:to>
    <xdr:sp macro="" textlink="">
      <xdr:nvSpPr>
        <xdr:cNvPr id="7" name="Retângulo 6">
          <a:extLst>
            <a:ext uri="{FF2B5EF4-FFF2-40B4-BE49-F238E27FC236}">
              <a16:creationId xmlns:a16="http://schemas.microsoft.com/office/drawing/2014/main" id="{C5708BBC-1AA9-A909-02FE-4B547A99C801}"/>
            </a:ext>
          </a:extLst>
        </xdr:cNvPr>
        <xdr:cNvSpPr/>
      </xdr:nvSpPr>
      <xdr:spPr>
        <a:xfrm>
          <a:off x="4463143" y="2217964"/>
          <a:ext cx="585107" cy="6640286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157457</xdr:colOff>
      <xdr:row>0</xdr:row>
      <xdr:rowOff>24477</xdr:rowOff>
    </xdr:from>
    <xdr:ext cx="427854" cy="334948"/>
    <xdr:pic>
      <xdr:nvPicPr>
        <xdr:cNvPr id="2" name="image1.jpeg">
          <a:extLst>
            <a:ext uri="{FF2B5EF4-FFF2-40B4-BE49-F238E27FC236}">
              <a16:creationId xmlns:a16="http://schemas.microsoft.com/office/drawing/2014/main" id="{66A04709-64BF-4487-9555-4404A08880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457" y="24477"/>
          <a:ext cx="427854" cy="334948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69936</xdr:colOff>
      <xdr:row>0</xdr:row>
      <xdr:rowOff>18854</xdr:rowOff>
    </xdr:from>
    <xdr:ext cx="455581" cy="356655"/>
    <xdr:pic>
      <xdr:nvPicPr>
        <xdr:cNvPr id="2" name="image1.jpeg">
          <a:extLst>
            <a:ext uri="{FF2B5EF4-FFF2-40B4-BE49-F238E27FC236}">
              <a16:creationId xmlns:a16="http://schemas.microsoft.com/office/drawing/2014/main" id="{D29C8643-8CA2-4C8C-A65D-FA4319DF88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936" y="18854"/>
          <a:ext cx="455581" cy="356655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82209</xdr:colOff>
      <xdr:row>0</xdr:row>
      <xdr:rowOff>18762</xdr:rowOff>
    </xdr:from>
    <xdr:ext cx="465478" cy="364403"/>
    <xdr:pic>
      <xdr:nvPicPr>
        <xdr:cNvPr id="2" name="image1.jpeg">
          <a:extLst>
            <a:ext uri="{FF2B5EF4-FFF2-40B4-BE49-F238E27FC236}">
              <a16:creationId xmlns:a16="http://schemas.microsoft.com/office/drawing/2014/main" id="{BC3555A8-FEBE-408D-A750-821AC10996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09" y="18762"/>
          <a:ext cx="465478" cy="36440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9F5C0-0993-404E-8980-F05CC7DF2F68}">
  <sheetPr>
    <pageSetUpPr fitToPage="1"/>
  </sheetPr>
  <dimension ref="A1:J30"/>
  <sheetViews>
    <sheetView workbookViewId="0"/>
  </sheetViews>
  <sheetFormatPr defaultRowHeight="14.4" x14ac:dyDescent="0.3"/>
  <cols>
    <col min="2" max="9" width="15.77734375" customWidth="1"/>
  </cols>
  <sheetData>
    <row r="1" spans="1:10" ht="15" thickBot="1" x14ac:dyDescent="0.35">
      <c r="A1" s="93"/>
      <c r="J1" s="93"/>
    </row>
    <row r="2" spans="1:10" x14ac:dyDescent="0.3">
      <c r="B2" s="94" t="s">
        <v>381</v>
      </c>
      <c r="C2" s="95"/>
      <c r="D2" s="95"/>
      <c r="E2" s="95"/>
      <c r="F2" s="95"/>
      <c r="G2" s="95"/>
      <c r="H2" s="95"/>
      <c r="I2" s="96"/>
    </row>
    <row r="3" spans="1:10" x14ac:dyDescent="0.3">
      <c r="B3" s="97"/>
      <c r="C3" s="98"/>
      <c r="D3" s="98"/>
      <c r="E3" s="98"/>
      <c r="F3" s="98"/>
      <c r="G3" s="98"/>
      <c r="H3" s="98"/>
      <c r="I3" s="99"/>
    </row>
    <row r="4" spans="1:10" x14ac:dyDescent="0.3">
      <c r="B4" s="100" t="s">
        <v>382</v>
      </c>
      <c r="C4" s="101"/>
      <c r="D4" s="101"/>
      <c r="E4" s="101"/>
      <c r="F4" s="101"/>
      <c r="G4" s="101"/>
      <c r="H4" s="101"/>
      <c r="I4" s="102"/>
    </row>
    <row r="5" spans="1:10" x14ac:dyDescent="0.3">
      <c r="B5" s="103" t="s">
        <v>383</v>
      </c>
      <c r="C5" s="104" t="s">
        <v>390</v>
      </c>
      <c r="D5" s="104"/>
      <c r="E5" s="104"/>
      <c r="F5" s="104"/>
      <c r="G5" s="104"/>
      <c r="H5" s="105" t="s">
        <v>389</v>
      </c>
      <c r="I5" s="106"/>
    </row>
    <row r="6" spans="1:10" x14ac:dyDescent="0.3">
      <c r="B6" s="107" t="s">
        <v>391</v>
      </c>
      <c r="C6" s="108"/>
      <c r="D6" s="108"/>
      <c r="E6" s="108"/>
      <c r="F6" s="108"/>
      <c r="G6" s="109"/>
      <c r="H6" s="110" t="s">
        <v>384</v>
      </c>
      <c r="I6" s="111"/>
    </row>
    <row r="7" spans="1:10" x14ac:dyDescent="0.3">
      <c r="B7" s="112"/>
      <c r="C7" s="113"/>
      <c r="D7" s="113"/>
      <c r="E7" s="113"/>
      <c r="F7" s="113"/>
      <c r="G7" s="113"/>
      <c r="H7" s="113"/>
      <c r="I7" s="114"/>
    </row>
    <row r="8" spans="1:10" x14ac:dyDescent="0.3">
      <c r="B8" s="115"/>
      <c r="C8" s="116"/>
      <c r="D8" s="116"/>
      <c r="E8" s="116"/>
      <c r="F8" s="116"/>
      <c r="G8" s="116"/>
      <c r="H8" s="116"/>
      <c r="I8" s="117"/>
    </row>
    <row r="9" spans="1:10" x14ac:dyDescent="0.3">
      <c r="B9" s="115"/>
      <c r="C9" s="116"/>
      <c r="D9" s="116"/>
      <c r="E9" s="116"/>
      <c r="F9" s="116"/>
      <c r="G9" s="116"/>
      <c r="H9" s="116"/>
      <c r="I9" s="117"/>
    </row>
    <row r="10" spans="1:10" x14ac:dyDescent="0.3">
      <c r="B10" s="115"/>
      <c r="C10" s="116"/>
      <c r="D10" s="116"/>
      <c r="E10" s="116"/>
      <c r="F10" s="116"/>
      <c r="G10" s="116"/>
      <c r="H10" s="116"/>
      <c r="I10" s="117"/>
    </row>
    <row r="11" spans="1:10" x14ac:dyDescent="0.3">
      <c r="B11" s="115"/>
      <c r="C11" s="116"/>
      <c r="D11" s="116"/>
      <c r="E11" s="116"/>
      <c r="F11" s="116"/>
      <c r="G11" s="116"/>
      <c r="H11" s="116"/>
      <c r="I11" s="117"/>
    </row>
    <row r="12" spans="1:10" x14ac:dyDescent="0.3">
      <c r="B12" s="115"/>
      <c r="C12" s="116"/>
      <c r="D12" s="116"/>
      <c r="E12" s="116"/>
      <c r="F12" s="116"/>
      <c r="G12" s="116"/>
      <c r="H12" s="116"/>
      <c r="I12" s="117"/>
    </row>
    <row r="13" spans="1:10" x14ac:dyDescent="0.3">
      <c r="B13" s="115"/>
      <c r="C13" s="116"/>
      <c r="D13" s="116"/>
      <c r="E13" s="116"/>
      <c r="F13" s="116"/>
      <c r="G13" s="116"/>
      <c r="H13" s="116"/>
      <c r="I13" s="117"/>
    </row>
    <row r="14" spans="1:10" x14ac:dyDescent="0.3">
      <c r="B14" s="115"/>
      <c r="C14" s="116"/>
      <c r="D14" s="116"/>
      <c r="E14" s="116"/>
      <c r="F14" s="116"/>
      <c r="G14" s="116"/>
      <c r="H14" s="116"/>
      <c r="I14" s="117"/>
    </row>
    <row r="15" spans="1:10" x14ac:dyDescent="0.3">
      <c r="B15" s="115"/>
      <c r="C15" s="116"/>
      <c r="D15" s="116"/>
      <c r="E15" s="116"/>
      <c r="F15" s="116"/>
      <c r="G15" s="116"/>
      <c r="H15" s="116"/>
      <c r="I15" s="117"/>
    </row>
    <row r="16" spans="1:10" x14ac:dyDescent="0.3">
      <c r="B16" s="115"/>
      <c r="C16" s="116"/>
      <c r="D16" s="116"/>
      <c r="E16" s="116"/>
      <c r="F16" s="116"/>
      <c r="G16" s="116"/>
      <c r="H16" s="116"/>
      <c r="I16" s="117"/>
    </row>
    <row r="17" spans="1:10" x14ac:dyDescent="0.3">
      <c r="B17" s="115"/>
      <c r="C17" s="116"/>
      <c r="D17" s="116"/>
      <c r="E17" s="116"/>
      <c r="F17" s="116"/>
      <c r="G17" s="116"/>
      <c r="H17" s="116"/>
      <c r="I17" s="117"/>
    </row>
    <row r="18" spans="1:10" x14ac:dyDescent="0.3">
      <c r="B18" s="115"/>
      <c r="C18" s="116"/>
      <c r="D18" s="116"/>
      <c r="E18" s="116"/>
      <c r="F18" s="116"/>
      <c r="G18" s="116"/>
      <c r="H18" s="116"/>
      <c r="I18" s="117"/>
    </row>
    <row r="19" spans="1:10" x14ac:dyDescent="0.3">
      <c r="B19" s="115"/>
      <c r="C19" s="116"/>
      <c r="D19" s="116"/>
      <c r="E19" s="116"/>
      <c r="F19" s="116"/>
      <c r="G19" s="116"/>
      <c r="H19" s="116"/>
      <c r="I19" s="117"/>
    </row>
    <row r="20" spans="1:10" x14ac:dyDescent="0.3">
      <c r="B20" s="115"/>
      <c r="C20" s="116"/>
      <c r="D20" s="116"/>
      <c r="E20" s="116"/>
      <c r="F20" s="116"/>
      <c r="G20" s="116"/>
      <c r="H20" s="116"/>
      <c r="I20" s="117"/>
    </row>
    <row r="21" spans="1:10" x14ac:dyDescent="0.3">
      <c r="B21" s="115"/>
      <c r="C21" s="116"/>
      <c r="D21" s="116"/>
      <c r="E21" s="116"/>
      <c r="F21" s="116"/>
      <c r="G21" s="116"/>
      <c r="H21" s="116"/>
      <c r="I21" s="117"/>
    </row>
    <row r="22" spans="1:10" ht="399.6" customHeight="1" x14ac:dyDescent="0.3">
      <c r="B22" s="115"/>
      <c r="C22" s="116"/>
      <c r="D22" s="116"/>
      <c r="E22" s="116"/>
      <c r="F22" s="116"/>
      <c r="G22" s="116"/>
      <c r="H22" s="116"/>
      <c r="I22" s="117"/>
    </row>
    <row r="23" spans="1:10" x14ac:dyDescent="0.3">
      <c r="B23" s="115"/>
      <c r="C23" s="116"/>
      <c r="D23" s="116"/>
      <c r="E23" s="116"/>
      <c r="F23" s="116"/>
      <c r="G23" s="116"/>
      <c r="H23" s="116"/>
      <c r="I23" s="117"/>
    </row>
    <row r="24" spans="1:10" x14ac:dyDescent="0.3">
      <c r="B24" s="115"/>
      <c r="C24" s="116"/>
      <c r="D24" s="116"/>
      <c r="E24" s="116"/>
      <c r="F24" s="116"/>
      <c r="G24" s="116"/>
      <c r="H24" s="116"/>
      <c r="I24" s="117"/>
    </row>
    <row r="25" spans="1:10" ht="15" thickBot="1" x14ac:dyDescent="0.35">
      <c r="B25" s="118"/>
      <c r="C25" s="119"/>
      <c r="D25" s="119"/>
      <c r="E25" s="119"/>
      <c r="F25" s="119"/>
      <c r="G25" s="119"/>
      <c r="H25" s="119"/>
      <c r="I25" s="120"/>
    </row>
    <row r="26" spans="1:10" ht="16.2" thickBot="1" x14ac:dyDescent="0.35">
      <c r="B26" s="121" t="s">
        <v>385</v>
      </c>
      <c r="C26" s="122"/>
      <c r="D26" s="122"/>
      <c r="E26" s="123"/>
      <c r="F26" s="124" t="s">
        <v>386</v>
      </c>
      <c r="G26" s="125"/>
      <c r="H26" s="125"/>
      <c r="I26" s="126"/>
    </row>
    <row r="27" spans="1:10" ht="82.8" customHeight="1" x14ac:dyDescent="0.3">
      <c r="B27" s="127" t="s">
        <v>387</v>
      </c>
      <c r="C27" s="128"/>
      <c r="D27" s="128"/>
      <c r="E27" s="129"/>
      <c r="F27" s="130" t="s">
        <v>388</v>
      </c>
      <c r="G27" s="131"/>
      <c r="H27" s="131"/>
      <c r="I27" s="132"/>
    </row>
    <row r="28" spans="1:10" ht="15" thickBot="1" x14ac:dyDescent="0.35">
      <c r="B28" s="133"/>
      <c r="C28" s="134"/>
      <c r="D28" s="134"/>
      <c r="E28" s="135"/>
      <c r="F28" s="134"/>
      <c r="G28" s="134"/>
      <c r="H28" s="134"/>
      <c r="I28" s="135"/>
    </row>
    <row r="29" spans="1:10" x14ac:dyDescent="0.3">
      <c r="A29" s="93"/>
      <c r="J29" s="93"/>
    </row>
    <row r="30" spans="1:10" x14ac:dyDescent="0.3">
      <c r="A30" s="93"/>
      <c r="J30" s="93"/>
    </row>
  </sheetData>
  <mergeCells count="13">
    <mergeCell ref="B7:I25"/>
    <mergeCell ref="B26:E26"/>
    <mergeCell ref="F26:I26"/>
    <mergeCell ref="B27:E27"/>
    <mergeCell ref="F27:I27"/>
    <mergeCell ref="B28:E28"/>
    <mergeCell ref="F28:I28"/>
    <mergeCell ref="B2:I3"/>
    <mergeCell ref="B4:I4"/>
    <mergeCell ref="C5:G5"/>
    <mergeCell ref="H5:I5"/>
    <mergeCell ref="B6:G6"/>
    <mergeCell ref="H6:I6"/>
  </mergeCells>
  <pageMargins left="0.25" right="0.25" top="0.75" bottom="0.75" header="0.3" footer="0.3"/>
  <pageSetup scale="8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2A5FE-264D-49CE-8CD9-2535366222E4}">
  <sheetPr>
    <outlinePr summaryBelow="0"/>
    <pageSetUpPr fitToPage="1"/>
  </sheetPr>
  <dimension ref="A1:J272"/>
  <sheetViews>
    <sheetView workbookViewId="0">
      <selection sqref="A1:J1"/>
    </sheetView>
  </sheetViews>
  <sheetFormatPr defaultRowHeight="14.4" x14ac:dyDescent="0.3"/>
  <cols>
    <col min="1" max="10" width="9.77734375" customWidth="1"/>
  </cols>
  <sheetData>
    <row r="1" spans="1:10" ht="30.6" customHeight="1" x14ac:dyDescent="0.3">
      <c r="A1" s="136" t="s">
        <v>392</v>
      </c>
      <c r="B1" s="137"/>
      <c r="C1" s="137"/>
      <c r="D1" s="137"/>
      <c r="E1" s="137"/>
      <c r="F1" s="137"/>
      <c r="G1" s="137"/>
      <c r="H1" s="137"/>
      <c r="I1" s="137"/>
      <c r="J1" s="138"/>
    </row>
    <row r="2" spans="1:10" ht="12" customHeight="1" x14ac:dyDescent="0.3">
      <c r="A2" s="139" t="s">
        <v>395</v>
      </c>
      <c r="B2" s="140"/>
      <c r="C2" s="140"/>
      <c r="D2" s="140"/>
      <c r="E2" s="140"/>
      <c r="F2" s="141"/>
      <c r="G2" s="139" t="s">
        <v>391</v>
      </c>
      <c r="H2" s="140"/>
      <c r="I2" s="141"/>
      <c r="J2" s="153" t="s">
        <v>389</v>
      </c>
    </row>
    <row r="3" spans="1:10" ht="15.6" customHeight="1" x14ac:dyDescent="0.3">
      <c r="A3" s="156" t="s">
        <v>396</v>
      </c>
      <c r="B3" s="157"/>
      <c r="C3" s="157"/>
      <c r="D3" s="157"/>
      <c r="E3" s="157"/>
      <c r="F3" s="157"/>
      <c r="G3" s="157"/>
      <c r="H3" s="158"/>
      <c r="I3" s="154" t="s">
        <v>394</v>
      </c>
      <c r="J3" s="155"/>
    </row>
    <row r="4" spans="1:10" ht="19.95" customHeight="1" x14ac:dyDescent="0.3">
      <c r="A4" s="1" t="s">
        <v>0</v>
      </c>
      <c r="B4" s="1" t="s">
        <v>3</v>
      </c>
      <c r="C4" s="1" t="s">
        <v>1</v>
      </c>
      <c r="D4" s="78" t="s">
        <v>2</v>
      </c>
      <c r="E4" s="79"/>
      <c r="F4" s="79"/>
      <c r="G4" s="79"/>
      <c r="H4" s="80"/>
      <c r="I4" s="1" t="s">
        <v>4</v>
      </c>
      <c r="J4" s="1" t="s">
        <v>5</v>
      </c>
    </row>
    <row r="5" spans="1:10" ht="19.95" customHeight="1" x14ac:dyDescent="0.3">
      <c r="A5" s="7" t="s">
        <v>7</v>
      </c>
      <c r="B5" s="10"/>
      <c r="C5" s="10"/>
      <c r="D5" s="64" t="s">
        <v>8</v>
      </c>
      <c r="E5" s="65"/>
      <c r="F5" s="65"/>
      <c r="G5" s="65"/>
      <c r="H5" s="66"/>
      <c r="I5" s="10"/>
      <c r="J5" s="10"/>
    </row>
    <row r="6" spans="1:10" ht="19.95" customHeight="1" x14ac:dyDescent="0.3">
      <c r="A6" s="11" t="s">
        <v>9</v>
      </c>
      <c r="B6" s="12" t="s">
        <v>12</v>
      </c>
      <c r="C6" s="12" t="s">
        <v>10</v>
      </c>
      <c r="D6" s="71" t="s">
        <v>11</v>
      </c>
      <c r="E6" s="72"/>
      <c r="F6" s="72"/>
      <c r="G6" s="72"/>
      <c r="H6" s="73"/>
      <c r="I6" s="12" t="s">
        <v>13</v>
      </c>
      <c r="J6" s="13">
        <f>I8</f>
        <v>0.25</v>
      </c>
    </row>
    <row r="7" spans="1:10" ht="19.95" customHeight="1" x14ac:dyDescent="0.3">
      <c r="A7" s="52" t="s">
        <v>287</v>
      </c>
      <c r="B7" s="67"/>
      <c r="C7" s="53"/>
      <c r="D7" s="19"/>
      <c r="E7" s="52" t="s">
        <v>288</v>
      </c>
      <c r="F7" s="67"/>
      <c r="G7" s="53"/>
      <c r="H7" s="19"/>
      <c r="I7" s="26" t="s">
        <v>289</v>
      </c>
      <c r="J7" s="20"/>
    </row>
    <row r="8" spans="1:10" ht="19.95" customHeight="1" x14ac:dyDescent="0.3">
      <c r="A8" s="21" t="s">
        <v>284</v>
      </c>
      <c r="B8" s="21" t="s">
        <v>285</v>
      </c>
      <c r="C8" s="21" t="s">
        <v>286</v>
      </c>
      <c r="D8" s="23"/>
      <c r="E8" s="21" t="s">
        <v>284</v>
      </c>
      <c r="F8" s="21" t="s">
        <v>285</v>
      </c>
      <c r="G8" s="21" t="s">
        <v>286</v>
      </c>
      <c r="H8" s="23"/>
      <c r="I8" s="27">
        <f>C9/G9</f>
        <v>0.25</v>
      </c>
      <c r="J8" s="23"/>
    </row>
    <row r="9" spans="1:10" ht="19.95" customHeight="1" x14ac:dyDescent="0.3">
      <c r="A9" s="24">
        <v>1</v>
      </c>
      <c r="B9" s="25">
        <v>1.5</v>
      </c>
      <c r="C9" s="25">
        <f>ROUND(A9*B9,2)</f>
        <v>1.5</v>
      </c>
      <c r="D9" s="19"/>
      <c r="E9" s="24">
        <v>2</v>
      </c>
      <c r="F9" s="25">
        <v>3</v>
      </c>
      <c r="G9" s="25">
        <f>ROUND(E9*F9,2)</f>
        <v>6</v>
      </c>
      <c r="H9" s="19"/>
      <c r="I9" s="18"/>
      <c r="J9" s="20"/>
    </row>
    <row r="10" spans="1:10" ht="19.95" customHeight="1" x14ac:dyDescent="0.3">
      <c r="A10" s="17"/>
      <c r="B10" s="18"/>
      <c r="C10" s="18"/>
      <c r="D10" s="19"/>
      <c r="E10" s="19"/>
      <c r="F10" s="19"/>
      <c r="G10" s="19"/>
      <c r="H10" s="19"/>
      <c r="I10" s="18"/>
      <c r="J10" s="20"/>
    </row>
    <row r="11" spans="1:10" ht="19.95" customHeight="1" x14ac:dyDescent="0.3">
      <c r="A11" s="14" t="s">
        <v>14</v>
      </c>
      <c r="B11" s="15" t="s">
        <v>17</v>
      </c>
      <c r="C11" s="15" t="s">
        <v>15</v>
      </c>
      <c r="D11" s="68" t="s">
        <v>16</v>
      </c>
      <c r="E11" s="69"/>
      <c r="F11" s="69"/>
      <c r="G11" s="69"/>
      <c r="H11" s="70"/>
      <c r="I11" s="15" t="s">
        <v>18</v>
      </c>
      <c r="J11" s="16">
        <f>C14</f>
        <v>7.48</v>
      </c>
    </row>
    <row r="12" spans="1:10" ht="19.8" customHeight="1" x14ac:dyDescent="0.3">
      <c r="A12" s="61" t="s">
        <v>290</v>
      </c>
      <c r="B12" s="62"/>
      <c r="C12" s="62"/>
      <c r="D12" s="62"/>
      <c r="E12" s="62"/>
      <c r="F12" s="62"/>
      <c r="G12" s="62"/>
      <c r="H12" s="62"/>
      <c r="I12" s="62"/>
      <c r="J12" s="63"/>
    </row>
    <row r="13" spans="1:10" ht="19.95" customHeight="1" x14ac:dyDescent="0.3">
      <c r="A13" s="21" t="s">
        <v>284</v>
      </c>
      <c r="B13" s="21" t="s">
        <v>291</v>
      </c>
      <c r="C13" s="26" t="s">
        <v>286</v>
      </c>
      <c r="D13" s="19"/>
      <c r="E13" s="19"/>
      <c r="F13" s="19"/>
      <c r="G13" s="19"/>
      <c r="H13" s="19"/>
      <c r="I13" s="18"/>
      <c r="J13" s="20"/>
    </row>
    <row r="14" spans="1:10" ht="19.95" customHeight="1" x14ac:dyDescent="0.3">
      <c r="A14" s="24">
        <v>2.2000000000000002</v>
      </c>
      <c r="B14" s="25">
        <v>3.4</v>
      </c>
      <c r="C14" s="28">
        <f>ROUND(A14*B14,2)</f>
        <v>7.48</v>
      </c>
      <c r="D14" s="19"/>
      <c r="E14" s="19"/>
      <c r="F14" s="19"/>
      <c r="G14" s="19"/>
      <c r="H14" s="19"/>
      <c r="I14" s="18"/>
      <c r="J14" s="20"/>
    </row>
    <row r="15" spans="1:10" ht="19.95" customHeight="1" x14ac:dyDescent="0.3">
      <c r="A15" s="17"/>
      <c r="B15" s="18"/>
      <c r="C15" s="18"/>
      <c r="D15" s="19"/>
      <c r="E15" s="19"/>
      <c r="F15" s="19"/>
      <c r="G15" s="19"/>
      <c r="H15" s="19"/>
      <c r="I15" s="18"/>
      <c r="J15" s="20"/>
    </row>
    <row r="16" spans="1:10" ht="28.8" customHeight="1" x14ac:dyDescent="0.3">
      <c r="A16" s="14" t="s">
        <v>374</v>
      </c>
      <c r="B16" s="15" t="s">
        <v>32</v>
      </c>
      <c r="C16" s="15" t="s">
        <v>373</v>
      </c>
      <c r="D16" s="68" t="s">
        <v>375</v>
      </c>
      <c r="E16" s="69"/>
      <c r="F16" s="69"/>
      <c r="G16" s="69"/>
      <c r="H16" s="70"/>
      <c r="I16" s="15" t="s">
        <v>155</v>
      </c>
      <c r="J16" s="16">
        <f>E19</f>
        <v>0.25</v>
      </c>
    </row>
    <row r="17" spans="1:10" ht="19.8" customHeight="1" x14ac:dyDescent="0.3">
      <c r="A17" s="61" t="s">
        <v>376</v>
      </c>
      <c r="B17" s="62"/>
      <c r="C17" s="62"/>
      <c r="D17" s="62"/>
      <c r="E17" s="62"/>
      <c r="F17" s="62"/>
      <c r="G17" s="62"/>
      <c r="H17" s="62"/>
      <c r="I17" s="62"/>
      <c r="J17" s="63"/>
    </row>
    <row r="18" spans="1:10" ht="19.95" customHeight="1" x14ac:dyDescent="0.3">
      <c r="A18" s="21" t="s">
        <v>284</v>
      </c>
      <c r="B18" s="21" t="s">
        <v>291</v>
      </c>
      <c r="C18" s="91" t="s">
        <v>286</v>
      </c>
      <c r="D18" s="22" t="s">
        <v>312</v>
      </c>
      <c r="E18" s="26" t="s">
        <v>313</v>
      </c>
      <c r="F18" s="19"/>
      <c r="G18" s="19"/>
      <c r="H18" s="19"/>
      <c r="I18" s="18"/>
      <c r="J18" s="20"/>
    </row>
    <row r="19" spans="1:10" ht="19.95" customHeight="1" x14ac:dyDescent="0.3">
      <c r="A19" s="24">
        <v>0.8</v>
      </c>
      <c r="B19" s="25">
        <v>2.1</v>
      </c>
      <c r="C19" s="92">
        <f>ROUND(A19*B19,2)</f>
        <v>1.68</v>
      </c>
      <c r="D19" s="29">
        <v>0.15</v>
      </c>
      <c r="E19" s="36">
        <f>ROUND(C19*D19,2)</f>
        <v>0.25</v>
      </c>
      <c r="F19" s="19"/>
      <c r="G19" s="19"/>
      <c r="H19" s="19"/>
      <c r="I19" s="18"/>
      <c r="J19" s="20"/>
    </row>
    <row r="20" spans="1:10" ht="19.95" customHeight="1" x14ac:dyDescent="0.3">
      <c r="A20" s="17"/>
      <c r="B20" s="18"/>
      <c r="C20" s="18"/>
      <c r="D20" s="19"/>
      <c r="E20" s="19"/>
      <c r="F20" s="19"/>
      <c r="G20" s="19"/>
      <c r="H20" s="19"/>
      <c r="I20" s="18"/>
      <c r="J20" s="20"/>
    </row>
    <row r="21" spans="1:10" ht="19.95" customHeight="1" x14ac:dyDescent="0.3">
      <c r="A21" s="7" t="s">
        <v>19</v>
      </c>
      <c r="B21" s="10"/>
      <c r="C21" s="10"/>
      <c r="D21" s="64" t="s">
        <v>20</v>
      </c>
      <c r="E21" s="65"/>
      <c r="F21" s="65"/>
      <c r="G21" s="65"/>
      <c r="H21" s="66"/>
      <c r="I21" s="10"/>
      <c r="J21" s="10"/>
    </row>
    <row r="22" spans="1:10" ht="19.95" customHeight="1" x14ac:dyDescent="0.3">
      <c r="A22" s="8" t="s">
        <v>21</v>
      </c>
      <c r="B22" s="9"/>
      <c r="C22" s="9"/>
      <c r="D22" s="46" t="s">
        <v>22</v>
      </c>
      <c r="E22" s="47"/>
      <c r="F22" s="47"/>
      <c r="G22" s="47"/>
      <c r="H22" s="48"/>
      <c r="I22" s="9"/>
      <c r="J22" s="9"/>
    </row>
    <row r="23" spans="1:10" ht="28.2" customHeight="1" x14ac:dyDescent="0.3">
      <c r="A23" s="2" t="s">
        <v>23</v>
      </c>
      <c r="B23" s="3" t="s">
        <v>17</v>
      </c>
      <c r="C23" s="3" t="s">
        <v>24</v>
      </c>
      <c r="D23" s="49" t="s">
        <v>25</v>
      </c>
      <c r="E23" s="50"/>
      <c r="F23" s="50"/>
      <c r="G23" s="50"/>
      <c r="H23" s="51"/>
      <c r="I23" s="3" t="s">
        <v>18</v>
      </c>
      <c r="J23" s="5">
        <v>104.43</v>
      </c>
    </row>
    <row r="24" spans="1:10" ht="19.95" customHeight="1" x14ac:dyDescent="0.3">
      <c r="A24" s="2" t="s">
        <v>26</v>
      </c>
      <c r="B24" s="3" t="s">
        <v>17</v>
      </c>
      <c r="C24" s="3" t="s">
        <v>27</v>
      </c>
      <c r="D24" s="49" t="s">
        <v>28</v>
      </c>
      <c r="E24" s="50"/>
      <c r="F24" s="50"/>
      <c r="G24" s="50"/>
      <c r="H24" s="51"/>
      <c r="I24" s="3" t="s">
        <v>18</v>
      </c>
      <c r="J24" s="5">
        <f>J23</f>
        <v>104.43</v>
      </c>
    </row>
    <row r="25" spans="1:10" ht="19.95" customHeight="1" x14ac:dyDescent="0.3">
      <c r="A25" s="2" t="s">
        <v>29</v>
      </c>
      <c r="B25" s="3" t="s">
        <v>32</v>
      </c>
      <c r="C25" s="3" t="s">
        <v>30</v>
      </c>
      <c r="D25" s="49" t="s">
        <v>31</v>
      </c>
      <c r="E25" s="50"/>
      <c r="F25" s="50"/>
      <c r="G25" s="50"/>
      <c r="H25" s="51"/>
      <c r="I25" s="3" t="s">
        <v>33</v>
      </c>
      <c r="J25" s="5">
        <f t="shared" ref="J25:J26" si="0">J24</f>
        <v>104.43</v>
      </c>
    </row>
    <row r="26" spans="1:10" ht="32.4" customHeight="1" x14ac:dyDescent="0.3">
      <c r="A26" s="2" t="s">
        <v>34</v>
      </c>
      <c r="B26" s="3" t="s">
        <v>17</v>
      </c>
      <c r="C26" s="3" t="s">
        <v>35</v>
      </c>
      <c r="D26" s="49" t="s">
        <v>36</v>
      </c>
      <c r="E26" s="50"/>
      <c r="F26" s="50"/>
      <c r="G26" s="50"/>
      <c r="H26" s="51"/>
      <c r="I26" s="3" t="s">
        <v>18</v>
      </c>
      <c r="J26" s="5">
        <f t="shared" si="0"/>
        <v>104.43</v>
      </c>
    </row>
    <row r="27" spans="1:10" ht="28.8" customHeight="1" x14ac:dyDescent="0.3">
      <c r="A27" s="2" t="s">
        <v>37</v>
      </c>
      <c r="B27" s="3" t="s">
        <v>32</v>
      </c>
      <c r="C27" s="3" t="s">
        <v>38</v>
      </c>
      <c r="D27" s="49" t="s">
        <v>39</v>
      </c>
      <c r="E27" s="50"/>
      <c r="F27" s="50"/>
      <c r="G27" s="50"/>
      <c r="H27" s="51"/>
      <c r="I27" s="3" t="s">
        <v>40</v>
      </c>
      <c r="J27" s="5">
        <v>126.41</v>
      </c>
    </row>
    <row r="28" spans="1:10" ht="24.6" customHeight="1" x14ac:dyDescent="0.3">
      <c r="A28" s="2" t="s">
        <v>41</v>
      </c>
      <c r="B28" s="3" t="s">
        <v>32</v>
      </c>
      <c r="C28" s="3" t="s">
        <v>42</v>
      </c>
      <c r="D28" s="49" t="s">
        <v>43</v>
      </c>
      <c r="E28" s="50"/>
      <c r="F28" s="50"/>
      <c r="G28" s="50"/>
      <c r="H28" s="51"/>
      <c r="I28" s="3" t="s">
        <v>33</v>
      </c>
      <c r="J28" s="5">
        <f>E30</f>
        <v>0.16</v>
      </c>
    </row>
    <row r="29" spans="1:10" ht="19.8" customHeight="1" x14ac:dyDescent="0.3">
      <c r="A29" s="57" t="s">
        <v>292</v>
      </c>
      <c r="B29" s="58"/>
      <c r="C29" s="18" t="s">
        <v>285</v>
      </c>
      <c r="D29" s="22" t="s">
        <v>284</v>
      </c>
      <c r="E29" s="26" t="s">
        <v>286</v>
      </c>
      <c r="F29" s="19"/>
      <c r="G29" s="19"/>
      <c r="H29" s="19"/>
      <c r="I29" s="18"/>
      <c r="J29" s="20"/>
    </row>
    <row r="30" spans="1:10" ht="19.95" customHeight="1" x14ac:dyDescent="0.3">
      <c r="A30" s="52" t="s">
        <v>293</v>
      </c>
      <c r="B30" s="53"/>
      <c r="C30" s="25">
        <v>0.82</v>
      </c>
      <c r="D30" s="29">
        <v>0.2</v>
      </c>
      <c r="E30" s="28">
        <f>ROUND(C30*D30,2)</f>
        <v>0.16</v>
      </c>
      <c r="F30" s="19"/>
      <c r="G30" s="19"/>
      <c r="H30" s="19"/>
      <c r="I30" s="18"/>
      <c r="J30" s="20"/>
    </row>
    <row r="31" spans="1:10" ht="19.95" customHeight="1" x14ac:dyDescent="0.3">
      <c r="A31" s="17"/>
      <c r="B31" s="18"/>
      <c r="C31" s="18"/>
      <c r="D31" s="19"/>
      <c r="E31" s="19"/>
      <c r="F31" s="19"/>
      <c r="G31" s="19"/>
      <c r="H31" s="19"/>
      <c r="I31" s="18"/>
      <c r="J31" s="20"/>
    </row>
    <row r="32" spans="1:10" ht="19.95" customHeight="1" x14ac:dyDescent="0.3">
      <c r="A32" s="8" t="s">
        <v>44</v>
      </c>
      <c r="B32" s="9"/>
      <c r="C32" s="9"/>
      <c r="D32" s="46" t="s">
        <v>45</v>
      </c>
      <c r="E32" s="47"/>
      <c r="F32" s="47"/>
      <c r="G32" s="47"/>
      <c r="H32" s="48"/>
      <c r="I32" s="9"/>
      <c r="J32" s="9"/>
    </row>
    <row r="33" spans="1:10" ht="28.2" customHeight="1" x14ac:dyDescent="0.3">
      <c r="A33" s="2" t="s">
        <v>46</v>
      </c>
      <c r="B33" s="3" t="s">
        <v>32</v>
      </c>
      <c r="C33" s="3" t="s">
        <v>47</v>
      </c>
      <c r="D33" s="49" t="s">
        <v>48</v>
      </c>
      <c r="E33" s="50"/>
      <c r="F33" s="50"/>
      <c r="G33" s="50"/>
      <c r="H33" s="51"/>
      <c r="I33" s="3" t="s">
        <v>33</v>
      </c>
      <c r="J33" s="5">
        <f>F45</f>
        <v>344.18999999999994</v>
      </c>
    </row>
    <row r="34" spans="1:10" ht="19.8" customHeight="1" x14ac:dyDescent="0.3">
      <c r="A34" s="57" t="s">
        <v>292</v>
      </c>
      <c r="B34" s="58"/>
      <c r="C34" s="18" t="s">
        <v>303</v>
      </c>
      <c r="D34" s="22" t="s">
        <v>291</v>
      </c>
      <c r="E34" s="22" t="s">
        <v>304</v>
      </c>
      <c r="F34" s="22" t="s">
        <v>286</v>
      </c>
      <c r="G34" s="19"/>
      <c r="H34" s="19"/>
      <c r="I34" s="18"/>
      <c r="J34" s="20"/>
    </row>
    <row r="35" spans="1:10" ht="19.95" customHeight="1" x14ac:dyDescent="0.3">
      <c r="A35" s="52" t="s">
        <v>293</v>
      </c>
      <c r="B35" s="53"/>
      <c r="C35" s="25">
        <v>15.57</v>
      </c>
      <c r="D35" s="29">
        <v>3.4</v>
      </c>
      <c r="E35" s="29">
        <f>ROUND(0.8*2.1,2)</f>
        <v>1.68</v>
      </c>
      <c r="F35" s="29">
        <f>ROUND((C35*D35)-E35,2)</f>
        <v>51.26</v>
      </c>
      <c r="G35" s="19"/>
      <c r="H35" s="19"/>
      <c r="I35" s="18"/>
      <c r="J35" s="20"/>
    </row>
    <row r="36" spans="1:10" ht="19.95" customHeight="1" x14ac:dyDescent="0.3">
      <c r="A36" s="52" t="s">
        <v>294</v>
      </c>
      <c r="B36" s="53"/>
      <c r="C36" s="25">
        <v>8.42</v>
      </c>
      <c r="D36" s="29">
        <v>3.4</v>
      </c>
      <c r="E36" s="29">
        <f>ROUND(0.8*2.1,2)</f>
        <v>1.68</v>
      </c>
      <c r="F36" s="29">
        <f t="shared" ref="F36:F44" si="1">ROUND((C36*D36)-E36,2)</f>
        <v>26.95</v>
      </c>
      <c r="G36" s="19"/>
      <c r="H36" s="19"/>
      <c r="I36" s="18"/>
      <c r="J36" s="20"/>
    </row>
    <row r="37" spans="1:10" ht="19.95" customHeight="1" x14ac:dyDescent="0.3">
      <c r="A37" s="52" t="s">
        <v>295</v>
      </c>
      <c r="B37" s="53"/>
      <c r="C37" s="25">
        <v>8.4700000000000006</v>
      </c>
      <c r="D37" s="29">
        <v>3.4</v>
      </c>
      <c r="E37" s="29">
        <f>ROUND(0.7*2.1,2)</f>
        <v>1.47</v>
      </c>
      <c r="F37" s="29">
        <f t="shared" si="1"/>
        <v>27.33</v>
      </c>
      <c r="G37" s="19"/>
      <c r="H37" s="19"/>
      <c r="I37" s="18"/>
      <c r="J37" s="20"/>
    </row>
    <row r="38" spans="1:10" ht="19.8" customHeight="1" x14ac:dyDescent="0.3">
      <c r="A38" s="52" t="s">
        <v>296</v>
      </c>
      <c r="B38" s="53"/>
      <c r="C38" s="25">
        <v>8.4600000000000009</v>
      </c>
      <c r="D38" s="29">
        <v>3.4</v>
      </c>
      <c r="E38" s="29">
        <f>ROUND(0.8*2.1,2)</f>
        <v>1.68</v>
      </c>
      <c r="F38" s="29">
        <f t="shared" si="1"/>
        <v>27.08</v>
      </c>
      <c r="G38" s="19"/>
      <c r="H38" s="19"/>
      <c r="I38" s="18"/>
      <c r="J38" s="20"/>
    </row>
    <row r="39" spans="1:10" ht="19.95" customHeight="1" x14ac:dyDescent="0.3">
      <c r="A39" s="52" t="s">
        <v>297</v>
      </c>
      <c r="B39" s="53"/>
      <c r="C39" s="25">
        <v>8.34</v>
      </c>
      <c r="D39" s="29">
        <v>3.4</v>
      </c>
      <c r="E39" s="29">
        <f t="shared" ref="E39:E43" si="2">ROUND(0.8*2.1,2)</f>
        <v>1.68</v>
      </c>
      <c r="F39" s="29">
        <f t="shared" si="1"/>
        <v>26.68</v>
      </c>
      <c r="G39" s="19"/>
      <c r="H39" s="19"/>
      <c r="I39" s="18"/>
      <c r="J39" s="20"/>
    </row>
    <row r="40" spans="1:10" ht="19.95" customHeight="1" x14ac:dyDescent="0.3">
      <c r="A40" s="52" t="s">
        <v>298</v>
      </c>
      <c r="B40" s="53"/>
      <c r="C40" s="25">
        <v>8.4600000000000009</v>
      </c>
      <c r="D40" s="29">
        <v>3.4</v>
      </c>
      <c r="E40" s="29">
        <f t="shared" si="2"/>
        <v>1.68</v>
      </c>
      <c r="F40" s="29">
        <f t="shared" si="1"/>
        <v>27.08</v>
      </c>
      <c r="G40" s="19"/>
      <c r="H40" s="19"/>
      <c r="I40" s="18"/>
      <c r="J40" s="20"/>
    </row>
    <row r="41" spans="1:10" ht="19.95" customHeight="1" x14ac:dyDescent="0.3">
      <c r="A41" s="52" t="s">
        <v>299</v>
      </c>
      <c r="B41" s="53"/>
      <c r="C41" s="25">
        <v>8.4700000000000006</v>
      </c>
      <c r="D41" s="29">
        <v>3.4</v>
      </c>
      <c r="E41" s="29">
        <f t="shared" si="2"/>
        <v>1.68</v>
      </c>
      <c r="F41" s="29">
        <f t="shared" si="1"/>
        <v>27.12</v>
      </c>
      <c r="G41" s="19"/>
      <c r="H41" s="19"/>
      <c r="I41" s="18"/>
      <c r="J41" s="20"/>
    </row>
    <row r="42" spans="1:10" ht="19.8" customHeight="1" x14ac:dyDescent="0.3">
      <c r="A42" s="52" t="s">
        <v>300</v>
      </c>
      <c r="B42" s="53"/>
      <c r="C42" s="25">
        <v>8.6199999999999992</v>
      </c>
      <c r="D42" s="29">
        <v>3.4</v>
      </c>
      <c r="E42" s="29">
        <f t="shared" si="2"/>
        <v>1.68</v>
      </c>
      <c r="F42" s="29">
        <f t="shared" si="1"/>
        <v>27.63</v>
      </c>
      <c r="G42" s="19"/>
      <c r="H42" s="19"/>
      <c r="I42" s="18"/>
      <c r="J42" s="20"/>
    </row>
    <row r="43" spans="1:10" ht="19.95" customHeight="1" x14ac:dyDescent="0.3">
      <c r="A43" s="52" t="s">
        <v>301</v>
      </c>
      <c r="B43" s="53"/>
      <c r="C43" s="25">
        <v>9.27</v>
      </c>
      <c r="D43" s="29">
        <v>3.4</v>
      </c>
      <c r="E43" s="29">
        <f t="shared" si="2"/>
        <v>1.68</v>
      </c>
      <c r="F43" s="29">
        <f t="shared" si="1"/>
        <v>29.84</v>
      </c>
      <c r="G43" s="19"/>
      <c r="H43" s="19"/>
      <c r="I43" s="18"/>
      <c r="J43" s="20"/>
    </row>
    <row r="44" spans="1:10" ht="19.95" customHeight="1" x14ac:dyDescent="0.3">
      <c r="A44" s="52" t="s">
        <v>302</v>
      </c>
      <c r="B44" s="53"/>
      <c r="C44" s="25">
        <v>25.92</v>
      </c>
      <c r="D44" s="29">
        <v>3.4</v>
      </c>
      <c r="E44" s="29">
        <f>ROUND(8*0.8*2.1+0.7*2.1,2)</f>
        <v>14.91</v>
      </c>
      <c r="F44" s="29">
        <f t="shared" si="1"/>
        <v>73.22</v>
      </c>
      <c r="G44" s="19"/>
      <c r="H44" s="19"/>
      <c r="I44" s="18"/>
      <c r="J44" s="20"/>
    </row>
    <row r="45" spans="1:10" ht="19.95" customHeight="1" x14ac:dyDescent="0.3">
      <c r="A45" s="17"/>
      <c r="B45" s="18"/>
      <c r="C45" s="18"/>
      <c r="D45" s="19"/>
      <c r="E45" s="26" t="s">
        <v>305</v>
      </c>
      <c r="F45" s="30">
        <f>SUM(F35:F44)</f>
        <v>344.18999999999994</v>
      </c>
      <c r="G45" s="19"/>
      <c r="H45" s="19"/>
      <c r="I45" s="18"/>
      <c r="J45" s="20"/>
    </row>
    <row r="46" spans="1:10" ht="19.8" customHeight="1" x14ac:dyDescent="0.3">
      <c r="A46" s="17"/>
      <c r="B46" s="18"/>
      <c r="C46" s="18"/>
      <c r="D46" s="19"/>
      <c r="E46" s="19"/>
      <c r="F46" s="19"/>
      <c r="G46" s="19"/>
      <c r="H46" s="19"/>
      <c r="I46" s="18"/>
      <c r="J46" s="20"/>
    </row>
    <row r="47" spans="1:10" ht="30.6" customHeight="1" x14ac:dyDescent="0.3">
      <c r="A47" s="2" t="s">
        <v>49</v>
      </c>
      <c r="B47" s="3" t="s">
        <v>32</v>
      </c>
      <c r="C47" s="3" t="s">
        <v>50</v>
      </c>
      <c r="D47" s="49" t="s">
        <v>51</v>
      </c>
      <c r="E47" s="50"/>
      <c r="F47" s="50"/>
      <c r="G47" s="50"/>
      <c r="H47" s="51"/>
      <c r="I47" s="3" t="s">
        <v>33</v>
      </c>
      <c r="J47" s="5">
        <f>J33</f>
        <v>344.18999999999994</v>
      </c>
    </row>
    <row r="48" spans="1:10" ht="19.95" customHeight="1" x14ac:dyDescent="0.3">
      <c r="A48" s="8" t="s">
        <v>52</v>
      </c>
      <c r="B48" s="9"/>
      <c r="C48" s="9"/>
      <c r="D48" s="46" t="s">
        <v>53</v>
      </c>
      <c r="E48" s="47"/>
      <c r="F48" s="47"/>
      <c r="G48" s="47"/>
      <c r="H48" s="48"/>
      <c r="I48" s="9"/>
      <c r="J48" s="9"/>
    </row>
    <row r="49" spans="1:10" ht="28.2" customHeight="1" x14ac:dyDescent="0.3">
      <c r="A49" s="2" t="s">
        <v>54</v>
      </c>
      <c r="B49" s="3" t="s">
        <v>32</v>
      </c>
      <c r="C49" s="3" t="s">
        <v>55</v>
      </c>
      <c r="D49" s="49" t="s">
        <v>56</v>
      </c>
      <c r="E49" s="50"/>
      <c r="F49" s="50"/>
      <c r="G49" s="50"/>
      <c r="H49" s="51"/>
      <c r="I49" s="3" t="s">
        <v>40</v>
      </c>
      <c r="J49" s="5">
        <v>182.57</v>
      </c>
    </row>
    <row r="50" spans="1:10" ht="27.6" customHeight="1" x14ac:dyDescent="0.3">
      <c r="A50" s="2" t="s">
        <v>57</v>
      </c>
      <c r="B50" s="3" t="s">
        <v>32</v>
      </c>
      <c r="C50" s="3" t="s">
        <v>58</v>
      </c>
      <c r="D50" s="49" t="s">
        <v>59</v>
      </c>
      <c r="E50" s="50"/>
      <c r="F50" s="50"/>
      <c r="G50" s="50"/>
      <c r="H50" s="51"/>
      <c r="I50" s="3" t="s">
        <v>40</v>
      </c>
      <c r="J50" s="5">
        <v>838.31</v>
      </c>
    </row>
    <row r="51" spans="1:10" ht="19.95" customHeight="1" x14ac:dyDescent="0.3">
      <c r="A51" s="2" t="s">
        <v>60</v>
      </c>
      <c r="B51" s="3" t="s">
        <v>17</v>
      </c>
      <c r="C51" s="3" t="s">
        <v>61</v>
      </c>
      <c r="D51" s="49" t="s">
        <v>62</v>
      </c>
      <c r="E51" s="50"/>
      <c r="F51" s="50"/>
      <c r="G51" s="50"/>
      <c r="H51" s="51"/>
      <c r="I51" s="3" t="s">
        <v>13</v>
      </c>
      <c r="J51" s="5">
        <v>3</v>
      </c>
    </row>
    <row r="52" spans="1:10" ht="19.95" customHeight="1" x14ac:dyDescent="0.3">
      <c r="A52" s="2" t="s">
        <v>63</v>
      </c>
      <c r="B52" s="3" t="s">
        <v>17</v>
      </c>
      <c r="C52" s="3" t="s">
        <v>64</v>
      </c>
      <c r="D52" s="49" t="s">
        <v>65</v>
      </c>
      <c r="E52" s="50"/>
      <c r="F52" s="50"/>
      <c r="G52" s="50"/>
      <c r="H52" s="51"/>
      <c r="I52" s="3" t="s">
        <v>13</v>
      </c>
      <c r="J52" s="5">
        <v>2</v>
      </c>
    </row>
    <row r="53" spans="1:10" ht="19.95" customHeight="1" x14ac:dyDescent="0.3">
      <c r="A53" s="2" t="s">
        <v>66</v>
      </c>
      <c r="B53" s="3" t="s">
        <v>32</v>
      </c>
      <c r="C53" s="3" t="s">
        <v>67</v>
      </c>
      <c r="D53" s="49" t="s">
        <v>68</v>
      </c>
      <c r="E53" s="50"/>
      <c r="F53" s="50"/>
      <c r="G53" s="50"/>
      <c r="H53" s="51"/>
      <c r="I53" s="3" t="s">
        <v>69</v>
      </c>
      <c r="J53" s="5">
        <v>9</v>
      </c>
    </row>
    <row r="54" spans="1:10" ht="19.95" customHeight="1" x14ac:dyDescent="0.3">
      <c r="A54" s="2" t="s">
        <v>70</v>
      </c>
      <c r="B54" s="3" t="s">
        <v>12</v>
      </c>
      <c r="C54" s="3" t="s">
        <v>71</v>
      </c>
      <c r="D54" s="49" t="s">
        <v>72</v>
      </c>
      <c r="E54" s="50"/>
      <c r="F54" s="50"/>
      <c r="G54" s="50"/>
      <c r="H54" s="51"/>
      <c r="I54" s="3" t="s">
        <v>73</v>
      </c>
      <c r="J54" s="5">
        <v>242.43</v>
      </c>
    </row>
    <row r="55" spans="1:10" ht="31.8" customHeight="1" x14ac:dyDescent="0.3">
      <c r="A55" s="2" t="s">
        <v>74</v>
      </c>
      <c r="B55" s="3" t="s">
        <v>32</v>
      </c>
      <c r="C55" s="3" t="s">
        <v>75</v>
      </c>
      <c r="D55" s="49" t="s">
        <v>76</v>
      </c>
      <c r="E55" s="50"/>
      <c r="F55" s="50"/>
      <c r="G55" s="50"/>
      <c r="H55" s="51"/>
      <c r="I55" s="3" t="s">
        <v>69</v>
      </c>
      <c r="J55" s="5">
        <v>17</v>
      </c>
    </row>
    <row r="56" spans="1:10" ht="19.95" customHeight="1" x14ac:dyDescent="0.3">
      <c r="A56" s="2" t="s">
        <v>77</v>
      </c>
      <c r="B56" s="3" t="s">
        <v>80</v>
      </c>
      <c r="C56" s="3" t="s">
        <v>78</v>
      </c>
      <c r="D56" s="49" t="s">
        <v>79</v>
      </c>
      <c r="E56" s="50"/>
      <c r="F56" s="50"/>
      <c r="G56" s="50"/>
      <c r="H56" s="51"/>
      <c r="I56" s="3" t="s">
        <v>69</v>
      </c>
      <c r="J56" s="5">
        <v>10</v>
      </c>
    </row>
    <row r="57" spans="1:10" ht="19.95" customHeight="1" x14ac:dyDescent="0.3">
      <c r="A57" s="2" t="s">
        <v>81</v>
      </c>
      <c r="B57" s="3" t="s">
        <v>84</v>
      </c>
      <c r="C57" s="3" t="s">
        <v>82</v>
      </c>
      <c r="D57" s="49" t="s">
        <v>83</v>
      </c>
      <c r="E57" s="50"/>
      <c r="F57" s="50"/>
      <c r="G57" s="50"/>
      <c r="H57" s="51"/>
      <c r="I57" s="3" t="s">
        <v>69</v>
      </c>
      <c r="J57" s="5">
        <v>7</v>
      </c>
    </row>
    <row r="58" spans="1:10" ht="19.95" customHeight="1" x14ac:dyDescent="0.3">
      <c r="A58" s="2" t="s">
        <v>85</v>
      </c>
      <c r="B58" s="3" t="s">
        <v>32</v>
      </c>
      <c r="C58" s="3" t="s">
        <v>86</v>
      </c>
      <c r="D58" s="49" t="s">
        <v>87</v>
      </c>
      <c r="E58" s="50"/>
      <c r="F58" s="50"/>
      <c r="G58" s="50"/>
      <c r="H58" s="51"/>
      <c r="I58" s="3" t="s">
        <v>69</v>
      </c>
      <c r="J58" s="5">
        <v>61</v>
      </c>
    </row>
    <row r="59" spans="1:10" ht="19.95" customHeight="1" x14ac:dyDescent="0.3">
      <c r="A59" s="2" t="s">
        <v>88</v>
      </c>
      <c r="B59" s="3" t="s">
        <v>32</v>
      </c>
      <c r="C59" s="3" t="s">
        <v>89</v>
      </c>
      <c r="D59" s="49" t="s">
        <v>90</v>
      </c>
      <c r="E59" s="50"/>
      <c r="F59" s="50"/>
      <c r="G59" s="50"/>
      <c r="H59" s="51"/>
      <c r="I59" s="3" t="s">
        <v>69</v>
      </c>
      <c r="J59" s="5">
        <v>52</v>
      </c>
    </row>
    <row r="60" spans="1:10" ht="19.95" customHeight="1" x14ac:dyDescent="0.3">
      <c r="A60" s="2" t="s">
        <v>91</v>
      </c>
      <c r="B60" s="3" t="s">
        <v>32</v>
      </c>
      <c r="C60" s="3" t="s">
        <v>92</v>
      </c>
      <c r="D60" s="49" t="s">
        <v>93</v>
      </c>
      <c r="E60" s="50"/>
      <c r="F60" s="50"/>
      <c r="G60" s="50"/>
      <c r="H60" s="51"/>
      <c r="I60" s="3" t="s">
        <v>69</v>
      </c>
      <c r="J60" s="5">
        <v>10</v>
      </c>
    </row>
    <row r="61" spans="1:10" ht="19.95" customHeight="1" x14ac:dyDescent="0.3">
      <c r="A61" s="2" t="s">
        <v>94</v>
      </c>
      <c r="B61" s="3" t="s">
        <v>32</v>
      </c>
      <c r="C61" s="3" t="s">
        <v>95</v>
      </c>
      <c r="D61" s="49" t="s">
        <v>96</v>
      </c>
      <c r="E61" s="50"/>
      <c r="F61" s="50"/>
      <c r="G61" s="50"/>
      <c r="H61" s="51"/>
      <c r="I61" s="3" t="s">
        <v>69</v>
      </c>
      <c r="J61" s="5">
        <v>42</v>
      </c>
    </row>
    <row r="62" spans="1:10" ht="19.95" customHeight="1" x14ac:dyDescent="0.3">
      <c r="A62" s="2" t="s">
        <v>97</v>
      </c>
      <c r="B62" s="3" t="s">
        <v>12</v>
      </c>
      <c r="C62" s="3" t="s">
        <v>98</v>
      </c>
      <c r="D62" s="49" t="s">
        <v>99</v>
      </c>
      <c r="E62" s="50"/>
      <c r="F62" s="50"/>
      <c r="G62" s="50"/>
      <c r="H62" s="51"/>
      <c r="I62" s="3" t="s">
        <v>13</v>
      </c>
      <c r="J62" s="5">
        <v>9</v>
      </c>
    </row>
    <row r="63" spans="1:10" ht="19.95" customHeight="1" x14ac:dyDescent="0.3">
      <c r="A63" s="8" t="s">
        <v>100</v>
      </c>
      <c r="B63" s="9"/>
      <c r="C63" s="9"/>
      <c r="D63" s="46" t="s">
        <v>101</v>
      </c>
      <c r="E63" s="47"/>
      <c r="F63" s="47"/>
      <c r="G63" s="47"/>
      <c r="H63" s="48"/>
      <c r="I63" s="9"/>
      <c r="J63" s="9"/>
    </row>
    <row r="64" spans="1:10" ht="42.6" customHeight="1" x14ac:dyDescent="0.3">
      <c r="A64" s="2" t="s">
        <v>102</v>
      </c>
      <c r="B64" s="3" t="s">
        <v>17</v>
      </c>
      <c r="C64" s="3" t="s">
        <v>103</v>
      </c>
      <c r="D64" s="49" t="s">
        <v>104</v>
      </c>
      <c r="E64" s="50"/>
      <c r="F64" s="50"/>
      <c r="G64" s="50"/>
      <c r="H64" s="51"/>
      <c r="I64" s="3" t="s">
        <v>13</v>
      </c>
      <c r="J64" s="5">
        <v>1</v>
      </c>
    </row>
    <row r="65" spans="1:10" ht="43.2" customHeight="1" x14ac:dyDescent="0.3">
      <c r="A65" s="2" t="s">
        <v>105</v>
      </c>
      <c r="B65" s="3" t="s">
        <v>17</v>
      </c>
      <c r="C65" s="3" t="s">
        <v>106</v>
      </c>
      <c r="D65" s="49" t="s">
        <v>107</v>
      </c>
      <c r="E65" s="50"/>
      <c r="F65" s="50"/>
      <c r="G65" s="50"/>
      <c r="H65" s="51"/>
      <c r="I65" s="3" t="s">
        <v>13</v>
      </c>
      <c r="J65" s="5">
        <v>8</v>
      </c>
    </row>
    <row r="66" spans="1:10" ht="44.4" customHeight="1" x14ac:dyDescent="0.3">
      <c r="A66" s="2" t="s">
        <v>108</v>
      </c>
      <c r="B66" s="3" t="s">
        <v>32</v>
      </c>
      <c r="C66" s="3" t="s">
        <v>109</v>
      </c>
      <c r="D66" s="49" t="s">
        <v>110</v>
      </c>
      <c r="E66" s="50"/>
      <c r="F66" s="50"/>
      <c r="G66" s="50"/>
      <c r="H66" s="51"/>
      <c r="I66" s="3" t="s">
        <v>33</v>
      </c>
      <c r="J66" s="5">
        <f>E68</f>
        <v>1.68</v>
      </c>
    </row>
    <row r="67" spans="1:10" ht="19.8" customHeight="1" x14ac:dyDescent="0.3">
      <c r="A67" s="57" t="s">
        <v>292</v>
      </c>
      <c r="B67" s="58"/>
      <c r="C67" s="22" t="s">
        <v>284</v>
      </c>
      <c r="D67" s="22" t="s">
        <v>291</v>
      </c>
      <c r="E67" s="26" t="s">
        <v>286</v>
      </c>
      <c r="F67" s="19"/>
      <c r="G67" s="19"/>
      <c r="H67" s="19"/>
      <c r="I67" s="18"/>
      <c r="J67" s="20"/>
    </row>
    <row r="68" spans="1:10" ht="19.95" customHeight="1" x14ac:dyDescent="0.3">
      <c r="A68" s="52" t="s">
        <v>293</v>
      </c>
      <c r="B68" s="53"/>
      <c r="C68" s="25">
        <v>0.8</v>
      </c>
      <c r="D68" s="29">
        <v>2.1</v>
      </c>
      <c r="E68" s="28">
        <f>ROUND(C68*D68,2)</f>
        <v>1.68</v>
      </c>
      <c r="F68" s="19"/>
      <c r="G68" s="19"/>
      <c r="H68" s="19"/>
      <c r="I68" s="18"/>
      <c r="J68" s="20"/>
    </row>
    <row r="69" spans="1:10" ht="19.95" customHeight="1" x14ac:dyDescent="0.3">
      <c r="A69" s="17"/>
      <c r="B69" s="18"/>
      <c r="C69" s="18"/>
      <c r="D69" s="19"/>
      <c r="E69" s="19"/>
      <c r="F69" s="19"/>
      <c r="G69" s="19"/>
      <c r="H69" s="19"/>
      <c r="I69" s="18"/>
      <c r="J69" s="20"/>
    </row>
    <row r="70" spans="1:10" ht="19.95" customHeight="1" x14ac:dyDescent="0.3">
      <c r="A70" s="8" t="s">
        <v>111</v>
      </c>
      <c r="B70" s="9"/>
      <c r="C70" s="9"/>
      <c r="D70" s="46" t="s">
        <v>112</v>
      </c>
      <c r="E70" s="47"/>
      <c r="F70" s="47"/>
      <c r="G70" s="47"/>
      <c r="H70" s="48"/>
      <c r="I70" s="9"/>
      <c r="J70" s="9"/>
    </row>
    <row r="71" spans="1:10" ht="38.4" customHeight="1" x14ac:dyDescent="0.3">
      <c r="A71" s="2" t="s">
        <v>113</v>
      </c>
      <c r="B71" s="3" t="s">
        <v>32</v>
      </c>
      <c r="C71" s="3" t="s">
        <v>114</v>
      </c>
      <c r="D71" s="49" t="s">
        <v>115</v>
      </c>
      <c r="E71" s="50"/>
      <c r="F71" s="50"/>
      <c r="G71" s="50"/>
      <c r="H71" s="51"/>
      <c r="I71" s="3" t="s">
        <v>33</v>
      </c>
      <c r="J71" s="5">
        <f>J23</f>
        <v>104.43</v>
      </c>
    </row>
    <row r="72" spans="1:10" ht="31.2" customHeight="1" x14ac:dyDescent="0.3">
      <c r="A72" s="2" t="s">
        <v>116</v>
      </c>
      <c r="B72" s="3" t="s">
        <v>17</v>
      </c>
      <c r="C72" s="3" t="s">
        <v>117</v>
      </c>
      <c r="D72" s="49" t="s">
        <v>118</v>
      </c>
      <c r="E72" s="50"/>
      <c r="F72" s="50"/>
      <c r="G72" s="50"/>
      <c r="H72" s="51"/>
      <c r="I72" s="3" t="s">
        <v>73</v>
      </c>
      <c r="J72" s="5">
        <v>141.24</v>
      </c>
    </row>
    <row r="73" spans="1:10" ht="19.95" customHeight="1" x14ac:dyDescent="0.3">
      <c r="A73" s="8" t="s">
        <v>119</v>
      </c>
      <c r="B73" s="9"/>
      <c r="C73" s="9"/>
      <c r="D73" s="46" t="s">
        <v>120</v>
      </c>
      <c r="E73" s="47"/>
      <c r="F73" s="47"/>
      <c r="G73" s="47"/>
      <c r="H73" s="48"/>
      <c r="I73" s="9"/>
      <c r="J73" s="9"/>
    </row>
    <row r="74" spans="1:10" ht="19.95" customHeight="1" x14ac:dyDescent="0.3">
      <c r="A74" s="2" t="s">
        <v>121</v>
      </c>
      <c r="B74" s="3" t="s">
        <v>84</v>
      </c>
      <c r="C74" s="3" t="s">
        <v>122</v>
      </c>
      <c r="D74" s="49" t="s">
        <v>123</v>
      </c>
      <c r="E74" s="50"/>
      <c r="F74" s="50"/>
      <c r="G74" s="50"/>
      <c r="H74" s="51"/>
      <c r="I74" s="3" t="s">
        <v>33</v>
      </c>
      <c r="J74" s="5">
        <f>F87</f>
        <v>472.64000000000004</v>
      </c>
    </row>
    <row r="75" spans="1:10" ht="19.8" customHeight="1" x14ac:dyDescent="0.3">
      <c r="A75" s="57" t="s">
        <v>292</v>
      </c>
      <c r="B75" s="58"/>
      <c r="C75" s="18" t="s">
        <v>303</v>
      </c>
      <c r="D75" s="22" t="s">
        <v>291</v>
      </c>
      <c r="E75" s="22" t="s">
        <v>304</v>
      </c>
      <c r="F75" s="22" t="s">
        <v>286</v>
      </c>
      <c r="G75" s="19"/>
      <c r="H75" s="19"/>
      <c r="I75" s="18"/>
      <c r="J75" s="20"/>
    </row>
    <row r="76" spans="1:10" ht="19.95" customHeight="1" x14ac:dyDescent="0.3">
      <c r="A76" s="52" t="s">
        <v>293</v>
      </c>
      <c r="B76" s="53"/>
      <c r="C76" s="25">
        <v>22.57</v>
      </c>
      <c r="D76" s="29">
        <v>3.2</v>
      </c>
      <c r="E76" s="29">
        <f>ROUND(0.8*2.1+1.5*1.1,2)</f>
        <v>3.33</v>
      </c>
      <c r="F76" s="29">
        <f>ROUND((C76*D76)-E76,2)</f>
        <v>68.89</v>
      </c>
      <c r="G76" s="19"/>
      <c r="H76" s="19"/>
      <c r="I76" s="18"/>
      <c r="J76" s="20"/>
    </row>
    <row r="77" spans="1:10" ht="19.95" customHeight="1" x14ac:dyDescent="0.3">
      <c r="A77" s="52" t="s">
        <v>294</v>
      </c>
      <c r="B77" s="53"/>
      <c r="C77" s="25">
        <v>11.93</v>
      </c>
      <c r="D77" s="29">
        <v>3.2</v>
      </c>
      <c r="E77" s="29">
        <f>ROUND(0.8*2.1+1.5*1.1,2)</f>
        <v>3.33</v>
      </c>
      <c r="F77" s="29">
        <f t="shared" ref="F77:F85" si="3">ROUND((C77*D77)-E77,2)</f>
        <v>34.85</v>
      </c>
      <c r="G77" s="19"/>
      <c r="H77" s="19"/>
      <c r="I77" s="18"/>
      <c r="J77" s="20"/>
    </row>
    <row r="78" spans="1:10" ht="19.95" customHeight="1" x14ac:dyDescent="0.3">
      <c r="A78" s="52" t="s">
        <v>295</v>
      </c>
      <c r="B78" s="53"/>
      <c r="C78" s="25">
        <v>10.92</v>
      </c>
      <c r="D78" s="29">
        <v>3.2</v>
      </c>
      <c r="E78" s="29">
        <f>ROUND(0.7*2.1+1.5*1.1,2)</f>
        <v>3.12</v>
      </c>
      <c r="F78" s="29">
        <f t="shared" si="3"/>
        <v>31.82</v>
      </c>
      <c r="G78" s="19"/>
      <c r="H78" s="19"/>
      <c r="I78" s="18"/>
      <c r="J78" s="20"/>
    </row>
    <row r="79" spans="1:10" ht="19.8" customHeight="1" x14ac:dyDescent="0.3">
      <c r="A79" s="52" t="s">
        <v>296</v>
      </c>
      <c r="B79" s="53"/>
      <c r="C79" s="25">
        <v>10.91</v>
      </c>
      <c r="D79" s="29">
        <v>3.2</v>
      </c>
      <c r="E79" s="29">
        <f>ROUND(0.8*2.1+1.5*1.1,2)</f>
        <v>3.33</v>
      </c>
      <c r="F79" s="29">
        <f t="shared" si="3"/>
        <v>31.58</v>
      </c>
      <c r="G79" s="19"/>
      <c r="H79" s="19"/>
      <c r="I79" s="18"/>
      <c r="J79" s="20"/>
    </row>
    <row r="80" spans="1:10" ht="19.95" customHeight="1" x14ac:dyDescent="0.3">
      <c r="A80" s="52" t="s">
        <v>297</v>
      </c>
      <c r="B80" s="53"/>
      <c r="C80" s="25">
        <v>10.67</v>
      </c>
      <c r="D80" s="29">
        <v>3.2</v>
      </c>
      <c r="E80" s="29">
        <f t="shared" ref="E80:E84" si="4">ROUND(0.8*2.1+1.5*1.1,2)</f>
        <v>3.33</v>
      </c>
      <c r="F80" s="29">
        <f t="shared" si="3"/>
        <v>30.81</v>
      </c>
      <c r="G80" s="19"/>
      <c r="H80" s="19"/>
      <c r="I80" s="18"/>
      <c r="J80" s="20"/>
    </row>
    <row r="81" spans="1:10" ht="19.95" customHeight="1" x14ac:dyDescent="0.3">
      <c r="A81" s="52" t="s">
        <v>298</v>
      </c>
      <c r="B81" s="53"/>
      <c r="C81" s="25">
        <v>10.9</v>
      </c>
      <c r="D81" s="29">
        <v>3.2</v>
      </c>
      <c r="E81" s="29">
        <f t="shared" si="4"/>
        <v>3.33</v>
      </c>
      <c r="F81" s="29">
        <f t="shared" si="3"/>
        <v>31.55</v>
      </c>
      <c r="G81" s="19"/>
      <c r="H81" s="19"/>
      <c r="I81" s="18"/>
      <c r="J81" s="20"/>
    </row>
    <row r="82" spans="1:10" ht="19.95" customHeight="1" x14ac:dyDescent="0.3">
      <c r="A82" s="52" t="s">
        <v>299</v>
      </c>
      <c r="B82" s="53"/>
      <c r="C82" s="25">
        <v>10.92</v>
      </c>
      <c r="D82" s="29">
        <v>3.2</v>
      </c>
      <c r="E82" s="29">
        <f t="shared" si="4"/>
        <v>3.33</v>
      </c>
      <c r="F82" s="29">
        <f t="shared" si="3"/>
        <v>31.61</v>
      </c>
      <c r="G82" s="19"/>
      <c r="H82" s="19"/>
      <c r="I82" s="18"/>
      <c r="J82" s="20"/>
    </row>
    <row r="83" spans="1:10" ht="19.8" customHeight="1" x14ac:dyDescent="0.3">
      <c r="A83" s="52" t="s">
        <v>300</v>
      </c>
      <c r="B83" s="53"/>
      <c r="C83" s="25">
        <v>11.93</v>
      </c>
      <c r="D83" s="29">
        <v>3.2</v>
      </c>
      <c r="E83" s="29">
        <f t="shared" si="4"/>
        <v>3.33</v>
      </c>
      <c r="F83" s="29">
        <f t="shared" si="3"/>
        <v>34.85</v>
      </c>
      <c r="G83" s="19"/>
      <c r="H83" s="19"/>
      <c r="I83" s="18"/>
      <c r="J83" s="20"/>
    </row>
    <row r="84" spans="1:10" ht="19.95" customHeight="1" x14ac:dyDescent="0.3">
      <c r="A84" s="52" t="s">
        <v>301</v>
      </c>
      <c r="B84" s="53"/>
      <c r="C84" s="25">
        <v>12.36</v>
      </c>
      <c r="D84" s="29">
        <v>3.2</v>
      </c>
      <c r="E84" s="29">
        <f t="shared" si="4"/>
        <v>3.33</v>
      </c>
      <c r="F84" s="29">
        <f t="shared" si="3"/>
        <v>36.22</v>
      </c>
      <c r="G84" s="19"/>
      <c r="H84" s="19"/>
      <c r="I84" s="18"/>
      <c r="J84" s="20"/>
    </row>
    <row r="85" spans="1:10" ht="19.95" customHeight="1" x14ac:dyDescent="0.3">
      <c r="A85" s="52" t="s">
        <v>302</v>
      </c>
      <c r="B85" s="53"/>
      <c r="C85" s="25">
        <v>18.12</v>
      </c>
      <c r="D85" s="29">
        <v>3.2</v>
      </c>
      <c r="E85" s="29">
        <f>ROUND(8*0.8*2.1+0.7*2.1+2.2*3.2,2)</f>
        <v>21.95</v>
      </c>
      <c r="F85" s="29">
        <f t="shared" si="3"/>
        <v>36.03</v>
      </c>
      <c r="G85" s="19"/>
      <c r="H85" s="19"/>
      <c r="I85" s="18"/>
      <c r="J85" s="20"/>
    </row>
    <row r="86" spans="1:10" ht="19.95" customHeight="1" x14ac:dyDescent="0.3">
      <c r="A86" s="52" t="s">
        <v>306</v>
      </c>
      <c r="B86" s="53"/>
      <c r="C86" s="25"/>
      <c r="D86" s="29"/>
      <c r="E86" s="29"/>
      <c r="F86" s="29">
        <f>J71</f>
        <v>104.43</v>
      </c>
      <c r="G86" s="19"/>
      <c r="H86" s="19"/>
      <c r="I86" s="18"/>
      <c r="J86" s="20"/>
    </row>
    <row r="87" spans="1:10" ht="19.95" customHeight="1" x14ac:dyDescent="0.3">
      <c r="A87" s="17"/>
      <c r="B87" s="18"/>
      <c r="C87" s="18"/>
      <c r="D87" s="19"/>
      <c r="E87" s="26" t="s">
        <v>305</v>
      </c>
      <c r="F87" s="30">
        <f>SUM(F76:F86)</f>
        <v>472.64000000000004</v>
      </c>
      <c r="G87" s="19"/>
      <c r="H87" s="19"/>
      <c r="I87" s="18"/>
      <c r="J87" s="20"/>
    </row>
    <row r="88" spans="1:10" ht="19.8" customHeight="1" x14ac:dyDescent="0.3">
      <c r="A88" s="17"/>
      <c r="B88" s="18"/>
      <c r="C88" s="18"/>
      <c r="D88" s="19"/>
      <c r="E88" s="19"/>
      <c r="F88" s="19"/>
      <c r="G88" s="19"/>
      <c r="H88" s="19"/>
      <c r="I88" s="18"/>
      <c r="J88" s="20"/>
    </row>
    <row r="89" spans="1:10" ht="19.95" customHeight="1" x14ac:dyDescent="0.3">
      <c r="A89" s="2" t="s">
        <v>124</v>
      </c>
      <c r="B89" s="3" t="s">
        <v>17</v>
      </c>
      <c r="C89" s="3" t="s">
        <v>125</v>
      </c>
      <c r="D89" s="49" t="s">
        <v>126</v>
      </c>
      <c r="E89" s="50"/>
      <c r="F89" s="50"/>
      <c r="G89" s="50"/>
      <c r="H89" s="51"/>
      <c r="I89" s="3" t="s">
        <v>18</v>
      </c>
      <c r="J89" s="5">
        <f>J74-J92</f>
        <v>368.21000000000004</v>
      </c>
    </row>
    <row r="90" spans="1:10" ht="19.95" customHeight="1" x14ac:dyDescent="0.3">
      <c r="A90" s="2" t="s">
        <v>127</v>
      </c>
      <c r="B90" s="3" t="s">
        <v>32</v>
      </c>
      <c r="C90" s="3" t="s">
        <v>128</v>
      </c>
      <c r="D90" s="49" t="s">
        <v>129</v>
      </c>
      <c r="E90" s="50"/>
      <c r="F90" s="50"/>
      <c r="G90" s="50"/>
      <c r="H90" s="51"/>
      <c r="I90" s="3" t="s">
        <v>33</v>
      </c>
      <c r="J90" s="5">
        <f>J89</f>
        <v>368.21000000000004</v>
      </c>
    </row>
    <row r="91" spans="1:10" ht="19.95" customHeight="1" x14ac:dyDescent="0.3">
      <c r="A91" s="2" t="s">
        <v>130</v>
      </c>
      <c r="B91" s="3" t="s">
        <v>17</v>
      </c>
      <c r="C91" s="3" t="s">
        <v>131</v>
      </c>
      <c r="D91" s="49" t="s">
        <v>132</v>
      </c>
      <c r="E91" s="50"/>
      <c r="F91" s="50"/>
      <c r="G91" s="50"/>
      <c r="H91" s="51"/>
      <c r="I91" s="3" t="s">
        <v>18</v>
      </c>
      <c r="J91" s="5">
        <f>J90</f>
        <v>368.21000000000004</v>
      </c>
    </row>
    <row r="92" spans="1:10" ht="19.95" customHeight="1" x14ac:dyDescent="0.3">
      <c r="A92" s="2" t="s">
        <v>133</v>
      </c>
      <c r="B92" s="3" t="s">
        <v>17</v>
      </c>
      <c r="C92" s="3" t="s">
        <v>134</v>
      </c>
      <c r="D92" s="49" t="s">
        <v>135</v>
      </c>
      <c r="E92" s="50"/>
      <c r="F92" s="50"/>
      <c r="G92" s="50"/>
      <c r="H92" s="51"/>
      <c r="I92" s="3" t="s">
        <v>18</v>
      </c>
      <c r="J92" s="5">
        <f>J71</f>
        <v>104.43</v>
      </c>
    </row>
    <row r="93" spans="1:10" ht="19.95" customHeight="1" x14ac:dyDescent="0.3">
      <c r="A93" s="2" t="s">
        <v>136</v>
      </c>
      <c r="B93" s="3" t="s">
        <v>17</v>
      </c>
      <c r="C93" s="3" t="s">
        <v>137</v>
      </c>
      <c r="D93" s="49" t="s">
        <v>138</v>
      </c>
      <c r="E93" s="50"/>
      <c r="F93" s="50"/>
      <c r="G93" s="50"/>
      <c r="H93" s="51"/>
      <c r="I93" s="3" t="s">
        <v>18</v>
      </c>
      <c r="J93" s="5">
        <f>J92</f>
        <v>104.43</v>
      </c>
    </row>
    <row r="94" spans="1:10" ht="19.95" customHeight="1" x14ac:dyDescent="0.3">
      <c r="A94" s="2" t="s">
        <v>139</v>
      </c>
      <c r="B94" s="3" t="s">
        <v>17</v>
      </c>
      <c r="C94" s="3" t="s">
        <v>140</v>
      </c>
      <c r="D94" s="49" t="s">
        <v>141</v>
      </c>
      <c r="E94" s="50"/>
      <c r="F94" s="50"/>
      <c r="G94" s="50"/>
      <c r="H94" s="51"/>
      <c r="I94" s="3" t="s">
        <v>18</v>
      </c>
      <c r="J94" s="5">
        <f>J93</f>
        <v>104.43</v>
      </c>
    </row>
    <row r="95" spans="1:10" ht="19.95" customHeight="1" x14ac:dyDescent="0.3">
      <c r="A95" s="2" t="s">
        <v>142</v>
      </c>
      <c r="B95" s="3" t="s">
        <v>17</v>
      </c>
      <c r="C95" s="3" t="s">
        <v>143</v>
      </c>
      <c r="D95" s="49" t="s">
        <v>144</v>
      </c>
      <c r="E95" s="50"/>
      <c r="F95" s="50"/>
      <c r="G95" s="50"/>
      <c r="H95" s="51"/>
      <c r="I95" s="3" t="s">
        <v>18</v>
      </c>
      <c r="J95" s="5">
        <f>G100</f>
        <v>37.299999999999997</v>
      </c>
    </row>
    <row r="96" spans="1:10" ht="19.8" customHeight="1" x14ac:dyDescent="0.3">
      <c r="A96" s="57" t="s">
        <v>308</v>
      </c>
      <c r="B96" s="58"/>
      <c r="C96" s="22" t="s">
        <v>284</v>
      </c>
      <c r="D96" s="22" t="s">
        <v>291</v>
      </c>
      <c r="E96" s="22" t="s">
        <v>307</v>
      </c>
      <c r="F96" s="22" t="s">
        <v>5</v>
      </c>
      <c r="G96" s="31" t="s">
        <v>286</v>
      </c>
      <c r="H96" s="19"/>
      <c r="I96" s="18"/>
      <c r="J96" s="20"/>
    </row>
    <row r="97" spans="1:10" ht="19.95" customHeight="1" x14ac:dyDescent="0.3">
      <c r="A97" s="52" t="s">
        <v>309</v>
      </c>
      <c r="B97" s="53"/>
      <c r="C97" s="25">
        <v>0.8</v>
      </c>
      <c r="D97" s="29">
        <v>2.1</v>
      </c>
      <c r="E97" s="29">
        <v>2</v>
      </c>
      <c r="F97" s="29">
        <f>J65</f>
        <v>8</v>
      </c>
      <c r="G97" s="32">
        <f>ROUND(C97*D97*E97*F97,2)</f>
        <v>26.88</v>
      </c>
      <c r="H97" s="19"/>
      <c r="I97" s="18"/>
      <c r="J97" s="20"/>
    </row>
    <row r="98" spans="1:10" ht="19.95" customHeight="1" x14ac:dyDescent="0.3">
      <c r="A98" s="52" t="s">
        <v>310</v>
      </c>
      <c r="B98" s="53"/>
      <c r="C98" s="25">
        <v>0.7</v>
      </c>
      <c r="D98" s="29">
        <v>2.1</v>
      </c>
      <c r="E98" s="29">
        <v>2</v>
      </c>
      <c r="F98" s="29">
        <f>J64</f>
        <v>1</v>
      </c>
      <c r="G98" s="32">
        <f>ROUND(C98*D98*E98*F98,2)</f>
        <v>2.94</v>
      </c>
      <c r="H98" s="19"/>
      <c r="I98" s="18"/>
      <c r="J98" s="20"/>
    </row>
    <row r="99" spans="1:10" ht="19.95" customHeight="1" x14ac:dyDescent="0.3">
      <c r="A99" s="52" t="s">
        <v>372</v>
      </c>
      <c r="B99" s="53"/>
      <c r="C99" s="25">
        <v>2.2000000000000002</v>
      </c>
      <c r="D99" s="29">
        <v>3.4</v>
      </c>
      <c r="E99" s="29">
        <v>1</v>
      </c>
      <c r="F99" s="29">
        <v>1</v>
      </c>
      <c r="G99" s="32">
        <f>ROUND(C99*D99*E99*F99,2)</f>
        <v>7.48</v>
      </c>
      <c r="H99" s="19"/>
      <c r="I99" s="18"/>
      <c r="J99" s="20"/>
    </row>
    <row r="100" spans="1:10" ht="19.95" customHeight="1" x14ac:dyDescent="0.3">
      <c r="A100" s="17"/>
      <c r="B100" s="18"/>
      <c r="C100" s="18"/>
      <c r="D100" s="19"/>
      <c r="E100" s="19"/>
      <c r="F100" s="26" t="s">
        <v>305</v>
      </c>
      <c r="G100" s="30">
        <f>SUM(G97:G99)</f>
        <v>37.299999999999997</v>
      </c>
      <c r="H100" s="19"/>
      <c r="I100" s="18"/>
      <c r="J100" s="20"/>
    </row>
    <row r="101" spans="1:10" ht="19.95" customHeight="1" x14ac:dyDescent="0.3">
      <c r="A101" s="17"/>
      <c r="B101" s="18"/>
      <c r="C101" s="18"/>
      <c r="D101" s="19"/>
      <c r="E101" s="19"/>
      <c r="F101" s="19"/>
      <c r="G101" s="19"/>
      <c r="H101" s="19"/>
      <c r="I101" s="18"/>
      <c r="J101" s="20"/>
    </row>
    <row r="102" spans="1:10" ht="31.2" customHeight="1" x14ac:dyDescent="0.3">
      <c r="A102" s="2" t="s">
        <v>145</v>
      </c>
      <c r="B102" s="3" t="s">
        <v>17</v>
      </c>
      <c r="C102" s="3" t="s">
        <v>146</v>
      </c>
      <c r="D102" s="49" t="s">
        <v>147</v>
      </c>
      <c r="E102" s="50"/>
      <c r="F102" s="50"/>
      <c r="G102" s="50"/>
      <c r="H102" s="51"/>
      <c r="I102" s="3" t="s">
        <v>18</v>
      </c>
      <c r="J102" s="5">
        <f>F104</f>
        <v>3.36</v>
      </c>
    </row>
    <row r="103" spans="1:10" ht="19.8" customHeight="1" x14ac:dyDescent="0.3">
      <c r="A103" s="57" t="s">
        <v>292</v>
      </c>
      <c r="B103" s="58"/>
      <c r="C103" s="22" t="s">
        <v>284</v>
      </c>
      <c r="D103" s="22" t="s">
        <v>291</v>
      </c>
      <c r="E103" s="22" t="s">
        <v>307</v>
      </c>
      <c r="F103" s="26" t="s">
        <v>286</v>
      </c>
      <c r="G103" s="19"/>
      <c r="H103" s="19"/>
      <c r="I103" s="18"/>
      <c r="J103" s="20"/>
    </row>
    <row r="104" spans="1:10" ht="19.95" customHeight="1" x14ac:dyDescent="0.3">
      <c r="A104" s="52" t="s">
        <v>293</v>
      </c>
      <c r="B104" s="53"/>
      <c r="C104" s="25">
        <v>0.8</v>
      </c>
      <c r="D104" s="29">
        <v>2.1</v>
      </c>
      <c r="E104" s="29">
        <v>2</v>
      </c>
      <c r="F104" s="28">
        <f>ROUND(C104*D104*E104,2)</f>
        <v>3.36</v>
      </c>
      <c r="G104" s="19"/>
      <c r="H104" s="19"/>
      <c r="I104" s="18"/>
      <c r="J104" s="20"/>
    </row>
    <row r="105" spans="1:10" ht="19.95" customHeight="1" x14ac:dyDescent="0.3">
      <c r="A105" s="17"/>
      <c r="B105" s="18"/>
      <c r="C105" s="18"/>
      <c r="D105" s="19"/>
      <c r="E105" s="19"/>
      <c r="F105" s="19"/>
      <c r="G105" s="19"/>
      <c r="H105" s="19"/>
      <c r="I105" s="18"/>
      <c r="J105" s="20"/>
    </row>
    <row r="106" spans="1:10" ht="19.95" customHeight="1" x14ac:dyDescent="0.3">
      <c r="A106" s="7" t="s">
        <v>148</v>
      </c>
      <c r="B106" s="10"/>
      <c r="C106" s="10"/>
      <c r="D106" s="64" t="s">
        <v>149</v>
      </c>
      <c r="E106" s="65"/>
      <c r="F106" s="65"/>
      <c r="G106" s="65"/>
      <c r="H106" s="66"/>
      <c r="I106" s="10"/>
      <c r="J106" s="10"/>
    </row>
    <row r="107" spans="1:10" ht="19.95" customHeight="1" x14ac:dyDescent="0.3">
      <c r="A107" s="8" t="s">
        <v>150</v>
      </c>
      <c r="B107" s="9"/>
      <c r="C107" s="9"/>
      <c r="D107" s="46" t="s">
        <v>151</v>
      </c>
      <c r="E107" s="47"/>
      <c r="F107" s="47"/>
      <c r="G107" s="47"/>
      <c r="H107" s="48"/>
      <c r="I107" s="9"/>
      <c r="J107" s="9"/>
    </row>
    <row r="108" spans="1:10" ht="19.95" customHeight="1" x14ac:dyDescent="0.3">
      <c r="A108" s="2" t="s">
        <v>152</v>
      </c>
      <c r="B108" s="3" t="s">
        <v>17</v>
      </c>
      <c r="C108" s="3" t="s">
        <v>153</v>
      </c>
      <c r="D108" s="49" t="s">
        <v>154</v>
      </c>
      <c r="E108" s="50"/>
      <c r="F108" s="50"/>
      <c r="G108" s="50"/>
      <c r="H108" s="51"/>
      <c r="I108" s="3" t="s">
        <v>155</v>
      </c>
      <c r="J108" s="5">
        <f>C111</f>
        <v>1.95</v>
      </c>
    </row>
    <row r="109" spans="1:10" ht="19.8" customHeight="1" x14ac:dyDescent="0.3">
      <c r="A109" s="61" t="s">
        <v>311</v>
      </c>
      <c r="B109" s="62"/>
      <c r="C109" s="62"/>
      <c r="D109" s="62"/>
      <c r="E109" s="62"/>
      <c r="F109" s="62"/>
      <c r="G109" s="62"/>
      <c r="H109" s="62"/>
      <c r="I109" s="62"/>
      <c r="J109" s="63"/>
    </row>
    <row r="110" spans="1:10" ht="19.95" customHeight="1" x14ac:dyDescent="0.3">
      <c r="A110" s="21" t="s">
        <v>286</v>
      </c>
      <c r="B110" s="21" t="s">
        <v>312</v>
      </c>
      <c r="C110" s="26" t="s">
        <v>313</v>
      </c>
      <c r="D110" s="19"/>
      <c r="E110" s="19"/>
      <c r="F110" s="19"/>
      <c r="G110" s="19"/>
      <c r="H110" s="19"/>
      <c r="I110" s="18"/>
      <c r="J110" s="20"/>
    </row>
    <row r="111" spans="1:10" ht="19.95" customHeight="1" x14ac:dyDescent="0.3">
      <c r="A111" s="24">
        <v>38.950000000000003</v>
      </c>
      <c r="B111" s="25">
        <v>0.05</v>
      </c>
      <c r="C111" s="28">
        <f>ROUND(A111*B111,2)</f>
        <v>1.95</v>
      </c>
      <c r="D111" s="19"/>
      <c r="E111" s="19"/>
      <c r="F111" s="19"/>
      <c r="G111" s="19"/>
      <c r="H111" s="19"/>
      <c r="I111" s="18"/>
      <c r="J111" s="20"/>
    </row>
    <row r="112" spans="1:10" ht="19.95" customHeight="1" x14ac:dyDescent="0.3">
      <c r="A112" s="17"/>
      <c r="B112" s="18"/>
      <c r="C112" s="18"/>
      <c r="D112" s="19"/>
      <c r="E112" s="19"/>
      <c r="F112" s="19"/>
      <c r="G112" s="19"/>
      <c r="H112" s="19"/>
      <c r="I112" s="18"/>
      <c r="J112" s="20"/>
    </row>
    <row r="113" spans="1:10" ht="19.95" customHeight="1" x14ac:dyDescent="0.3">
      <c r="A113" s="2" t="s">
        <v>156</v>
      </c>
      <c r="B113" s="3" t="s">
        <v>12</v>
      </c>
      <c r="C113" s="3" t="s">
        <v>158</v>
      </c>
      <c r="D113" s="49" t="s">
        <v>159</v>
      </c>
      <c r="E113" s="50"/>
      <c r="F113" s="50"/>
      <c r="G113" s="50"/>
      <c r="H113" s="51"/>
      <c r="I113" s="3" t="s">
        <v>155</v>
      </c>
      <c r="J113" s="5">
        <f>D116</f>
        <v>4.6100000000000003</v>
      </c>
    </row>
    <row r="114" spans="1:10" ht="19.8" customHeight="1" x14ac:dyDescent="0.3">
      <c r="A114" s="61" t="s">
        <v>314</v>
      </c>
      <c r="B114" s="62"/>
      <c r="C114" s="62"/>
      <c r="D114" s="62"/>
      <c r="E114" s="62"/>
      <c r="F114" s="62"/>
      <c r="G114" s="62"/>
      <c r="H114" s="62"/>
      <c r="I114" s="62"/>
      <c r="J114" s="63"/>
    </row>
    <row r="115" spans="1:10" ht="19.95" customHeight="1" x14ac:dyDescent="0.3">
      <c r="A115" s="21" t="s">
        <v>315</v>
      </c>
      <c r="B115" s="21" t="s">
        <v>316</v>
      </c>
      <c r="C115" s="21" t="s">
        <v>312</v>
      </c>
      <c r="D115" s="26" t="s">
        <v>313</v>
      </c>
      <c r="E115" s="19"/>
      <c r="F115" s="19"/>
      <c r="G115" s="19"/>
      <c r="H115" s="19"/>
      <c r="I115" s="18"/>
      <c r="J115" s="20"/>
    </row>
    <row r="116" spans="1:10" ht="19.95" customHeight="1" x14ac:dyDescent="0.3">
      <c r="A116" s="24">
        <v>34.65</v>
      </c>
      <c r="B116" s="25">
        <v>0.95</v>
      </c>
      <c r="C116" s="25">
        <v>0.14000000000000001</v>
      </c>
      <c r="D116" s="28">
        <f>ROUND(B116*C116*A116,2)</f>
        <v>4.6100000000000003</v>
      </c>
      <c r="E116" s="19"/>
      <c r="F116" s="19"/>
      <c r="G116" s="19"/>
      <c r="H116" s="19"/>
      <c r="I116" s="18"/>
      <c r="J116" s="20"/>
    </row>
    <row r="117" spans="1:10" ht="19.95" customHeight="1" x14ac:dyDescent="0.3">
      <c r="A117" s="17"/>
      <c r="B117" s="18"/>
      <c r="C117" s="18"/>
      <c r="D117" s="19"/>
      <c r="E117" s="19"/>
      <c r="F117" s="19"/>
      <c r="G117" s="19"/>
      <c r="H117" s="19"/>
      <c r="I117" s="18"/>
      <c r="J117" s="20"/>
    </row>
    <row r="118" spans="1:10" ht="19.95" customHeight="1" x14ac:dyDescent="0.3">
      <c r="A118" s="2" t="s">
        <v>157</v>
      </c>
      <c r="B118" s="3" t="s">
        <v>12</v>
      </c>
      <c r="C118" s="3" t="s">
        <v>161</v>
      </c>
      <c r="D118" s="49" t="s">
        <v>162</v>
      </c>
      <c r="E118" s="50"/>
      <c r="F118" s="50"/>
      <c r="G118" s="50"/>
      <c r="H118" s="51"/>
      <c r="I118" s="3" t="s">
        <v>155</v>
      </c>
      <c r="J118" s="5">
        <f>C121</f>
        <v>21</v>
      </c>
    </row>
    <row r="119" spans="1:10" ht="19.8" customHeight="1" x14ac:dyDescent="0.3">
      <c r="A119" s="61" t="s">
        <v>317</v>
      </c>
      <c r="B119" s="62"/>
      <c r="C119" s="62"/>
      <c r="D119" s="62"/>
      <c r="E119" s="62"/>
      <c r="F119" s="62"/>
      <c r="G119" s="62"/>
      <c r="H119" s="62"/>
      <c r="I119" s="62"/>
      <c r="J119" s="63"/>
    </row>
    <row r="120" spans="1:10" ht="19.95" customHeight="1" x14ac:dyDescent="0.3">
      <c r="A120" s="21" t="s">
        <v>318</v>
      </c>
      <c r="B120" s="21" t="s">
        <v>319</v>
      </c>
      <c r="C120" s="26" t="s">
        <v>313</v>
      </c>
      <c r="D120" s="19"/>
      <c r="E120" s="19"/>
      <c r="F120" s="19"/>
      <c r="G120" s="19"/>
      <c r="H120" s="19"/>
      <c r="I120" s="18"/>
      <c r="J120" s="20"/>
    </row>
    <row r="121" spans="1:10" ht="19.95" customHeight="1" x14ac:dyDescent="0.3">
      <c r="A121" s="24">
        <v>38.19</v>
      </c>
      <c r="B121" s="25">
        <v>0.55000000000000004</v>
      </c>
      <c r="C121" s="28">
        <f>ROUND(A121*B121,2)</f>
        <v>21</v>
      </c>
      <c r="D121" s="19"/>
      <c r="E121" s="19"/>
      <c r="F121" s="19"/>
      <c r="G121" s="19"/>
      <c r="H121" s="19"/>
      <c r="I121" s="18"/>
      <c r="J121" s="20"/>
    </row>
    <row r="122" spans="1:10" ht="19.95" customHeight="1" x14ac:dyDescent="0.3">
      <c r="A122" s="17"/>
      <c r="B122" s="18"/>
      <c r="C122" s="18"/>
      <c r="D122" s="19"/>
      <c r="E122" s="19"/>
      <c r="F122" s="19"/>
      <c r="G122" s="19"/>
      <c r="H122" s="19"/>
      <c r="I122" s="18"/>
      <c r="J122" s="20"/>
    </row>
    <row r="123" spans="1:10" ht="31.8" customHeight="1" x14ac:dyDescent="0.3">
      <c r="A123" s="2" t="s">
        <v>160</v>
      </c>
      <c r="B123" s="3" t="s">
        <v>17</v>
      </c>
      <c r="C123" s="3" t="s">
        <v>164</v>
      </c>
      <c r="D123" s="49" t="s">
        <v>165</v>
      </c>
      <c r="E123" s="50"/>
      <c r="F123" s="50"/>
      <c r="G123" s="50"/>
      <c r="H123" s="51"/>
      <c r="I123" s="3" t="s">
        <v>155</v>
      </c>
      <c r="J123" s="5">
        <f>C128</f>
        <v>27.560000000000002</v>
      </c>
    </row>
    <row r="124" spans="1:10" ht="19.95" customHeight="1" x14ac:dyDescent="0.3">
      <c r="A124" s="74" t="s">
        <v>292</v>
      </c>
      <c r="B124" s="75"/>
      <c r="C124" s="18" t="s">
        <v>322</v>
      </c>
      <c r="D124" s="19"/>
      <c r="E124" s="19"/>
      <c r="F124" s="19"/>
      <c r="G124" s="19"/>
      <c r="H124" s="19"/>
      <c r="I124" s="18"/>
      <c r="J124" s="20"/>
    </row>
    <row r="125" spans="1:10" ht="19.8" customHeight="1" x14ac:dyDescent="0.3">
      <c r="A125" s="57" t="s">
        <v>320</v>
      </c>
      <c r="B125" s="58"/>
      <c r="C125" s="34">
        <f>C111</f>
        <v>1.95</v>
      </c>
      <c r="D125" s="19"/>
      <c r="E125" s="19"/>
      <c r="F125" s="19"/>
      <c r="G125" s="19"/>
      <c r="H125" s="19"/>
      <c r="I125" s="18"/>
      <c r="J125" s="20"/>
    </row>
    <row r="126" spans="1:10" ht="19.95" customHeight="1" x14ac:dyDescent="0.3">
      <c r="A126" s="52" t="s">
        <v>314</v>
      </c>
      <c r="B126" s="53"/>
      <c r="C126" s="34">
        <f>D116</f>
        <v>4.6100000000000003</v>
      </c>
      <c r="D126" s="19"/>
      <c r="E126" s="19"/>
      <c r="F126" s="19"/>
      <c r="G126" s="19"/>
      <c r="H126" s="19"/>
      <c r="I126" s="18"/>
      <c r="J126" s="20"/>
    </row>
    <row r="127" spans="1:10" ht="19.95" customHeight="1" x14ac:dyDescent="0.3">
      <c r="A127" s="52" t="s">
        <v>321</v>
      </c>
      <c r="B127" s="53"/>
      <c r="C127" s="34">
        <f>C121</f>
        <v>21</v>
      </c>
      <c r="D127" s="19"/>
      <c r="E127" s="19"/>
      <c r="F127" s="19"/>
      <c r="G127" s="19"/>
      <c r="H127" s="19"/>
      <c r="I127" s="18"/>
      <c r="J127" s="20"/>
    </row>
    <row r="128" spans="1:10" ht="19.95" customHeight="1" x14ac:dyDescent="0.3">
      <c r="A128" s="59" t="s">
        <v>305</v>
      </c>
      <c r="B128" s="60"/>
      <c r="C128" s="35">
        <f>SUM(C125:C127)</f>
        <v>27.560000000000002</v>
      </c>
      <c r="D128" s="19"/>
      <c r="E128" s="19"/>
      <c r="F128" s="19"/>
      <c r="G128" s="19"/>
      <c r="H128" s="19"/>
      <c r="I128" s="18"/>
      <c r="J128" s="20"/>
    </row>
    <row r="129" spans="1:10" ht="19.95" customHeight="1" x14ac:dyDescent="0.3">
      <c r="A129" s="17"/>
      <c r="B129" s="18"/>
      <c r="C129" s="18"/>
      <c r="D129" s="19"/>
      <c r="E129" s="19"/>
      <c r="F129" s="19"/>
      <c r="G129" s="19"/>
      <c r="H129" s="19"/>
      <c r="I129" s="18"/>
      <c r="J129" s="20"/>
    </row>
    <row r="130" spans="1:10" ht="19.95" customHeight="1" x14ac:dyDescent="0.3">
      <c r="A130" s="2" t="s">
        <v>163</v>
      </c>
      <c r="B130" s="3" t="s">
        <v>17</v>
      </c>
      <c r="C130" s="3" t="s">
        <v>166</v>
      </c>
      <c r="D130" s="49" t="s">
        <v>167</v>
      </c>
      <c r="E130" s="50"/>
      <c r="F130" s="50"/>
      <c r="G130" s="50"/>
      <c r="H130" s="51"/>
      <c r="I130" s="3" t="s">
        <v>168</v>
      </c>
      <c r="J130" s="5">
        <f>C133</f>
        <v>82.68</v>
      </c>
    </row>
    <row r="131" spans="1:10" ht="19.8" customHeight="1" x14ac:dyDescent="0.3">
      <c r="A131" s="57" t="s">
        <v>323</v>
      </c>
      <c r="B131" s="58"/>
      <c r="C131" s="25">
        <f>C128</f>
        <v>27.560000000000002</v>
      </c>
      <c r="D131" s="19"/>
      <c r="E131" s="19"/>
      <c r="F131" s="19"/>
      <c r="G131" s="19"/>
      <c r="H131" s="19"/>
      <c r="I131" s="18"/>
      <c r="J131" s="20"/>
    </row>
    <row r="132" spans="1:10" ht="19.95" customHeight="1" x14ac:dyDescent="0.3">
      <c r="A132" s="52" t="s">
        <v>324</v>
      </c>
      <c r="B132" s="53"/>
      <c r="C132" s="25">
        <v>3</v>
      </c>
      <c r="D132" s="19"/>
      <c r="E132" s="19"/>
      <c r="F132" s="19"/>
      <c r="G132" s="19"/>
      <c r="H132" s="19"/>
      <c r="I132" s="18"/>
      <c r="J132" s="20"/>
    </row>
    <row r="133" spans="1:10" ht="19.95" customHeight="1" x14ac:dyDescent="0.3">
      <c r="A133" s="59" t="s">
        <v>325</v>
      </c>
      <c r="B133" s="60"/>
      <c r="C133" s="28">
        <f>ROUND(C131*C132,2)</f>
        <v>82.68</v>
      </c>
      <c r="D133" s="19"/>
      <c r="E133" s="19"/>
      <c r="F133" s="19"/>
      <c r="G133" s="19"/>
      <c r="H133" s="19"/>
      <c r="I133" s="18"/>
      <c r="J133" s="20"/>
    </row>
    <row r="134" spans="1:10" ht="19.95" customHeight="1" x14ac:dyDescent="0.3">
      <c r="A134" s="17"/>
      <c r="B134" s="18"/>
      <c r="C134" s="18"/>
      <c r="D134" s="19"/>
      <c r="E134" s="19"/>
      <c r="F134" s="19"/>
      <c r="G134" s="19"/>
      <c r="H134" s="19"/>
      <c r="I134" s="18"/>
      <c r="J134" s="20"/>
    </row>
    <row r="135" spans="1:10" ht="19.95" customHeight="1" x14ac:dyDescent="0.3">
      <c r="A135" s="8" t="s">
        <v>169</v>
      </c>
      <c r="B135" s="9"/>
      <c r="C135" s="9"/>
      <c r="D135" s="46" t="s">
        <v>170</v>
      </c>
      <c r="E135" s="47"/>
      <c r="F135" s="47"/>
      <c r="G135" s="47"/>
      <c r="H135" s="48"/>
      <c r="I135" s="9"/>
      <c r="J135" s="9"/>
    </row>
    <row r="136" spans="1:10" ht="19.95" customHeight="1" x14ac:dyDescent="0.3">
      <c r="A136" s="2" t="s">
        <v>171</v>
      </c>
      <c r="B136" s="3" t="s">
        <v>12</v>
      </c>
      <c r="C136" s="3" t="s">
        <v>172</v>
      </c>
      <c r="D136" s="49" t="s">
        <v>173</v>
      </c>
      <c r="E136" s="50"/>
      <c r="F136" s="50"/>
      <c r="G136" s="50"/>
      <c r="H136" s="51"/>
      <c r="I136" s="3" t="s">
        <v>73</v>
      </c>
      <c r="J136" s="5">
        <v>43.63</v>
      </c>
    </row>
    <row r="137" spans="1:10" ht="19.8" customHeight="1" x14ac:dyDescent="0.3">
      <c r="A137" s="61" t="s">
        <v>343</v>
      </c>
      <c r="B137" s="62"/>
      <c r="C137" s="62"/>
      <c r="D137" s="62"/>
      <c r="E137" s="62"/>
      <c r="F137" s="62"/>
      <c r="G137" s="62"/>
      <c r="H137" s="62"/>
      <c r="I137" s="62"/>
      <c r="J137" s="63"/>
    </row>
    <row r="138" spans="1:10" ht="19.95" customHeight="1" x14ac:dyDescent="0.3">
      <c r="A138" s="2" t="s">
        <v>174</v>
      </c>
      <c r="B138" s="12" t="s">
        <v>32</v>
      </c>
      <c r="C138" s="3" t="s">
        <v>175</v>
      </c>
      <c r="D138" s="49" t="s">
        <v>176</v>
      </c>
      <c r="E138" s="50"/>
      <c r="F138" s="50"/>
      <c r="G138" s="50"/>
      <c r="H138" s="51"/>
      <c r="I138" s="3" t="s">
        <v>177</v>
      </c>
      <c r="J138" s="5">
        <f>G147</f>
        <v>11.079999999999998</v>
      </c>
    </row>
    <row r="139" spans="1:10" ht="19.8" customHeight="1" x14ac:dyDescent="0.3">
      <c r="A139" s="17" t="s">
        <v>329</v>
      </c>
      <c r="B139" s="17" t="s">
        <v>348</v>
      </c>
      <c r="C139" s="18" t="s">
        <v>285</v>
      </c>
      <c r="D139" s="18" t="s">
        <v>284</v>
      </c>
      <c r="E139" s="22" t="s">
        <v>345</v>
      </c>
      <c r="F139" s="22" t="s">
        <v>346</v>
      </c>
      <c r="G139" s="22" t="s">
        <v>313</v>
      </c>
      <c r="H139" s="19"/>
      <c r="I139" s="18"/>
      <c r="J139" s="20"/>
    </row>
    <row r="140" spans="1:10" ht="19.95" customHeight="1" x14ac:dyDescent="0.3">
      <c r="A140" s="21" t="s">
        <v>344</v>
      </c>
      <c r="B140" s="21" t="s">
        <v>349</v>
      </c>
      <c r="C140" s="25">
        <v>0.6</v>
      </c>
      <c r="D140" s="25">
        <v>0.6</v>
      </c>
      <c r="E140" s="29">
        <v>0.85</v>
      </c>
      <c r="F140" s="29">
        <v>15</v>
      </c>
      <c r="G140" s="29">
        <f>ROUND(C140*D140*E140*F140,2)</f>
        <v>4.59</v>
      </c>
      <c r="H140" s="19"/>
      <c r="I140" s="18"/>
      <c r="J140" s="20"/>
    </row>
    <row r="141" spans="1:10" ht="19.95" customHeight="1" x14ac:dyDescent="0.3">
      <c r="A141" s="21" t="s">
        <v>347</v>
      </c>
      <c r="B141" s="21" t="s">
        <v>350</v>
      </c>
      <c r="C141" s="25">
        <v>0.65</v>
      </c>
      <c r="D141" s="25">
        <v>0.75</v>
      </c>
      <c r="E141" s="29">
        <v>1.5</v>
      </c>
      <c r="F141" s="29">
        <v>4</v>
      </c>
      <c r="G141" s="29">
        <f t="shared" ref="G141:G146" si="5">ROUND(C141*D141*E141*F141,2)</f>
        <v>2.93</v>
      </c>
      <c r="H141" s="19"/>
      <c r="I141" s="18"/>
      <c r="J141" s="20"/>
    </row>
    <row r="142" spans="1:10" ht="19.95" customHeight="1" x14ac:dyDescent="0.3">
      <c r="A142" s="21" t="s">
        <v>347</v>
      </c>
      <c r="B142" s="21" t="s">
        <v>351</v>
      </c>
      <c r="C142" s="25">
        <v>0.7</v>
      </c>
      <c r="D142" s="25">
        <v>0.6</v>
      </c>
      <c r="E142" s="29">
        <v>1.5</v>
      </c>
      <c r="F142" s="29">
        <v>2</v>
      </c>
      <c r="G142" s="29">
        <f t="shared" si="5"/>
        <v>1.26</v>
      </c>
      <c r="H142" s="19"/>
      <c r="I142" s="18"/>
      <c r="J142" s="20"/>
    </row>
    <row r="143" spans="1:10" ht="19.8" customHeight="1" x14ac:dyDescent="0.3">
      <c r="A143" s="21" t="s">
        <v>352</v>
      </c>
      <c r="B143" s="18" t="s">
        <v>353</v>
      </c>
      <c r="C143" s="25">
        <v>31.64</v>
      </c>
      <c r="D143" s="29">
        <v>0.14000000000000001</v>
      </c>
      <c r="E143" s="29">
        <v>0.3</v>
      </c>
      <c r="F143" s="29">
        <v>1</v>
      </c>
      <c r="G143" s="29">
        <f t="shared" si="5"/>
        <v>1.33</v>
      </c>
      <c r="H143" s="19"/>
      <c r="I143" s="18"/>
      <c r="J143" s="20"/>
    </row>
    <row r="144" spans="1:10" ht="19.95" customHeight="1" x14ac:dyDescent="0.3">
      <c r="A144" s="21" t="s">
        <v>352</v>
      </c>
      <c r="B144" s="18" t="s">
        <v>354</v>
      </c>
      <c r="C144" s="25">
        <v>4.5</v>
      </c>
      <c r="D144" s="29">
        <v>0.14000000000000001</v>
      </c>
      <c r="E144" s="29">
        <v>0.3</v>
      </c>
      <c r="F144" s="29">
        <v>1</v>
      </c>
      <c r="G144" s="29">
        <f t="shared" si="5"/>
        <v>0.19</v>
      </c>
      <c r="H144" s="19"/>
      <c r="I144" s="18"/>
      <c r="J144" s="20"/>
    </row>
    <row r="145" spans="1:10" ht="19.95" customHeight="1" x14ac:dyDescent="0.3">
      <c r="A145" s="21" t="s">
        <v>352</v>
      </c>
      <c r="B145" s="18" t="s">
        <v>355</v>
      </c>
      <c r="C145" s="25">
        <v>3.7</v>
      </c>
      <c r="D145" s="29">
        <v>0.2</v>
      </c>
      <c r="E145" s="29">
        <v>0.3</v>
      </c>
      <c r="F145" s="29">
        <v>3</v>
      </c>
      <c r="G145" s="29">
        <f t="shared" si="5"/>
        <v>0.67</v>
      </c>
      <c r="H145" s="19"/>
      <c r="I145" s="18"/>
      <c r="J145" s="20"/>
    </row>
    <row r="146" spans="1:10" ht="19.95" customHeight="1" x14ac:dyDescent="0.3">
      <c r="A146" s="21" t="s">
        <v>352</v>
      </c>
      <c r="B146" s="18" t="s">
        <v>356</v>
      </c>
      <c r="C146" s="25">
        <v>2.5</v>
      </c>
      <c r="D146" s="29">
        <v>0.14000000000000001</v>
      </c>
      <c r="E146" s="29">
        <v>0.3</v>
      </c>
      <c r="F146" s="29">
        <v>1</v>
      </c>
      <c r="G146" s="29">
        <f t="shared" si="5"/>
        <v>0.11</v>
      </c>
      <c r="H146" s="19"/>
      <c r="I146" s="18"/>
      <c r="J146" s="20"/>
    </row>
    <row r="147" spans="1:10" ht="19.95" customHeight="1" x14ac:dyDescent="0.3">
      <c r="A147" s="17"/>
      <c r="B147" s="18"/>
      <c r="C147" s="18"/>
      <c r="D147" s="19"/>
      <c r="E147" s="19"/>
      <c r="F147" s="26" t="s">
        <v>305</v>
      </c>
      <c r="G147" s="30">
        <f>SUM(G140:G146)</f>
        <v>11.079999999999998</v>
      </c>
      <c r="H147" s="19"/>
      <c r="I147" s="18"/>
      <c r="J147" s="20"/>
    </row>
    <row r="148" spans="1:10" ht="19.95" customHeight="1" x14ac:dyDescent="0.3">
      <c r="A148" s="17"/>
      <c r="B148" s="18"/>
      <c r="C148" s="18"/>
      <c r="D148" s="19"/>
      <c r="E148" s="19"/>
      <c r="F148" s="19"/>
      <c r="G148" s="19"/>
      <c r="H148" s="19"/>
      <c r="I148" s="18"/>
      <c r="J148" s="20"/>
    </row>
    <row r="149" spans="1:10" ht="19.95" customHeight="1" x14ac:dyDescent="0.3">
      <c r="A149" s="2" t="s">
        <v>178</v>
      </c>
      <c r="B149" s="3" t="s">
        <v>17</v>
      </c>
      <c r="C149" s="3" t="s">
        <v>179</v>
      </c>
      <c r="D149" s="49" t="s">
        <v>180</v>
      </c>
      <c r="E149" s="50"/>
      <c r="F149" s="50"/>
      <c r="G149" s="50"/>
      <c r="H149" s="51"/>
      <c r="I149" s="3" t="s">
        <v>73</v>
      </c>
      <c r="J149" s="5">
        <f>B152</f>
        <v>32.25</v>
      </c>
    </row>
    <row r="150" spans="1:10" ht="19.8" customHeight="1" x14ac:dyDescent="0.3">
      <c r="A150" s="17" t="s">
        <v>285</v>
      </c>
      <c r="B150" s="25">
        <v>2.15</v>
      </c>
      <c r="C150" s="18"/>
      <c r="D150" s="19"/>
      <c r="E150" s="19"/>
      <c r="F150" s="19"/>
      <c r="G150" s="19"/>
      <c r="H150" s="19"/>
      <c r="I150" s="18"/>
      <c r="J150" s="20"/>
    </row>
    <row r="151" spans="1:10" ht="19.95" customHeight="1" x14ac:dyDescent="0.3">
      <c r="A151" s="17" t="s">
        <v>5</v>
      </c>
      <c r="B151" s="25">
        <v>15</v>
      </c>
      <c r="C151" s="18"/>
      <c r="D151" s="19"/>
      <c r="E151" s="19"/>
      <c r="F151" s="19"/>
      <c r="G151" s="19"/>
      <c r="H151" s="19"/>
      <c r="I151" s="18"/>
      <c r="J151" s="20"/>
    </row>
    <row r="152" spans="1:10" ht="19.95" customHeight="1" x14ac:dyDescent="0.3">
      <c r="A152" s="37" t="s">
        <v>305</v>
      </c>
      <c r="B152" s="28">
        <f>ROUND(B150*B151,2)</f>
        <v>32.25</v>
      </c>
      <c r="C152" s="18"/>
      <c r="D152" s="19"/>
      <c r="E152" s="19"/>
      <c r="F152" s="19"/>
      <c r="G152" s="19"/>
      <c r="H152" s="19"/>
      <c r="I152" s="18"/>
      <c r="J152" s="20"/>
    </row>
    <row r="153" spans="1:10" ht="19.95" customHeight="1" x14ac:dyDescent="0.3">
      <c r="A153" s="17"/>
      <c r="B153" s="18"/>
      <c r="C153" s="18"/>
      <c r="D153" s="19"/>
      <c r="E153" s="19"/>
      <c r="F153" s="19"/>
      <c r="G153" s="19"/>
      <c r="H153" s="19"/>
      <c r="I153" s="18"/>
      <c r="J153" s="20"/>
    </row>
    <row r="154" spans="1:10" ht="19.95" customHeight="1" x14ac:dyDescent="0.3">
      <c r="A154" s="2" t="s">
        <v>181</v>
      </c>
      <c r="B154" s="3" t="s">
        <v>32</v>
      </c>
      <c r="C154" s="3" t="s">
        <v>182</v>
      </c>
      <c r="D154" s="49" t="s">
        <v>183</v>
      </c>
      <c r="E154" s="50"/>
      <c r="F154" s="50"/>
      <c r="G154" s="50"/>
      <c r="H154" s="51"/>
      <c r="I154" s="3" t="s">
        <v>177</v>
      </c>
      <c r="J154" s="5">
        <f>G163</f>
        <v>0.48000000000000004</v>
      </c>
    </row>
    <row r="155" spans="1:10" ht="19.8" customHeight="1" x14ac:dyDescent="0.3">
      <c r="A155" s="17" t="s">
        <v>329</v>
      </c>
      <c r="B155" s="17" t="s">
        <v>348</v>
      </c>
      <c r="C155" s="18" t="s">
        <v>285</v>
      </c>
      <c r="D155" s="18" t="s">
        <v>284</v>
      </c>
      <c r="E155" s="22" t="s">
        <v>312</v>
      </c>
      <c r="F155" s="22" t="s">
        <v>346</v>
      </c>
      <c r="G155" s="22" t="s">
        <v>313</v>
      </c>
      <c r="H155" s="19"/>
      <c r="I155" s="18"/>
      <c r="J155" s="20"/>
    </row>
    <row r="156" spans="1:10" ht="19.95" customHeight="1" x14ac:dyDescent="0.3">
      <c r="A156" s="21" t="s">
        <v>344</v>
      </c>
      <c r="B156" s="21" t="s">
        <v>349</v>
      </c>
      <c r="C156" s="25">
        <v>0.6</v>
      </c>
      <c r="D156" s="25">
        <v>0.6</v>
      </c>
      <c r="E156" s="29">
        <v>0.03</v>
      </c>
      <c r="F156" s="29">
        <v>15</v>
      </c>
      <c r="G156" s="29">
        <f>ROUND(C156*D156*E156*F156,2)</f>
        <v>0.16</v>
      </c>
      <c r="H156" s="19"/>
      <c r="I156" s="18"/>
      <c r="J156" s="20"/>
    </row>
    <row r="157" spans="1:10" ht="19.95" customHeight="1" x14ac:dyDescent="0.3">
      <c r="A157" s="21" t="s">
        <v>347</v>
      </c>
      <c r="B157" s="21" t="s">
        <v>350</v>
      </c>
      <c r="C157" s="25">
        <v>0.65</v>
      </c>
      <c r="D157" s="25">
        <v>0.75</v>
      </c>
      <c r="E157" s="29">
        <v>0.03</v>
      </c>
      <c r="F157" s="29">
        <v>4</v>
      </c>
      <c r="G157" s="29">
        <f t="shared" ref="G157:G162" si="6">ROUND(C157*D157*E157*F157,2)</f>
        <v>0.06</v>
      </c>
      <c r="H157" s="19"/>
      <c r="I157" s="18"/>
      <c r="J157" s="20"/>
    </row>
    <row r="158" spans="1:10" ht="19.95" customHeight="1" x14ac:dyDescent="0.3">
      <c r="A158" s="21" t="s">
        <v>347</v>
      </c>
      <c r="B158" s="21" t="s">
        <v>351</v>
      </c>
      <c r="C158" s="25">
        <v>0.7</v>
      </c>
      <c r="D158" s="25">
        <v>0.6</v>
      </c>
      <c r="E158" s="29">
        <v>0.03</v>
      </c>
      <c r="F158" s="29">
        <v>2</v>
      </c>
      <c r="G158" s="29">
        <f t="shared" si="6"/>
        <v>0.03</v>
      </c>
      <c r="H158" s="19"/>
      <c r="I158" s="18"/>
      <c r="J158" s="20"/>
    </row>
    <row r="159" spans="1:10" ht="19.8" customHeight="1" x14ac:dyDescent="0.3">
      <c r="A159" s="21" t="s">
        <v>352</v>
      </c>
      <c r="B159" s="18" t="s">
        <v>353</v>
      </c>
      <c r="C159" s="25">
        <v>31.64</v>
      </c>
      <c r="D159" s="29">
        <v>0.14000000000000001</v>
      </c>
      <c r="E159" s="29">
        <v>0.03</v>
      </c>
      <c r="F159" s="29">
        <v>1</v>
      </c>
      <c r="G159" s="29">
        <f t="shared" si="6"/>
        <v>0.13</v>
      </c>
      <c r="H159" s="19"/>
      <c r="I159" s="18"/>
      <c r="J159" s="20"/>
    </row>
    <row r="160" spans="1:10" ht="19.95" customHeight="1" x14ac:dyDescent="0.3">
      <c r="A160" s="21" t="s">
        <v>352</v>
      </c>
      <c r="B160" s="18" t="s">
        <v>354</v>
      </c>
      <c r="C160" s="25">
        <v>4.5</v>
      </c>
      <c r="D160" s="29">
        <v>0.14000000000000001</v>
      </c>
      <c r="E160" s="29">
        <v>0.03</v>
      </c>
      <c r="F160" s="29">
        <v>1</v>
      </c>
      <c r="G160" s="29">
        <f t="shared" si="6"/>
        <v>0.02</v>
      </c>
      <c r="H160" s="19"/>
      <c r="I160" s="18"/>
      <c r="J160" s="20"/>
    </row>
    <row r="161" spans="1:10" ht="19.95" customHeight="1" x14ac:dyDescent="0.3">
      <c r="A161" s="21" t="s">
        <v>352</v>
      </c>
      <c r="B161" s="18" t="s">
        <v>355</v>
      </c>
      <c r="C161" s="25">
        <v>3.7</v>
      </c>
      <c r="D161" s="29">
        <v>0.2</v>
      </c>
      <c r="E161" s="29">
        <v>0.03</v>
      </c>
      <c r="F161" s="29">
        <v>3</v>
      </c>
      <c r="G161" s="29">
        <f t="shared" si="6"/>
        <v>7.0000000000000007E-2</v>
      </c>
      <c r="H161" s="19"/>
      <c r="I161" s="18"/>
      <c r="J161" s="20"/>
    </row>
    <row r="162" spans="1:10" ht="19.95" customHeight="1" x14ac:dyDescent="0.3">
      <c r="A162" s="21" t="s">
        <v>352</v>
      </c>
      <c r="B162" s="18" t="s">
        <v>356</v>
      </c>
      <c r="C162" s="25">
        <v>2.5</v>
      </c>
      <c r="D162" s="29">
        <v>0.14000000000000001</v>
      </c>
      <c r="E162" s="29">
        <v>0.03</v>
      </c>
      <c r="F162" s="29">
        <v>1</v>
      </c>
      <c r="G162" s="29">
        <f t="shared" si="6"/>
        <v>0.01</v>
      </c>
      <c r="H162" s="19"/>
      <c r="I162" s="18"/>
      <c r="J162" s="20"/>
    </row>
    <row r="163" spans="1:10" ht="19.95" customHeight="1" x14ac:dyDescent="0.3">
      <c r="A163" s="17"/>
      <c r="B163" s="18"/>
      <c r="C163" s="18"/>
      <c r="D163" s="19"/>
      <c r="E163" s="19"/>
      <c r="F163" s="26" t="s">
        <v>305</v>
      </c>
      <c r="G163" s="30">
        <f>SUM(G156:G162)</f>
        <v>0.48000000000000004</v>
      </c>
      <c r="H163" s="19"/>
      <c r="I163" s="18"/>
      <c r="J163" s="20"/>
    </row>
    <row r="164" spans="1:10" ht="19.95" customHeight="1" x14ac:dyDescent="0.3">
      <c r="A164" s="17"/>
      <c r="B164" s="18"/>
      <c r="C164" s="18"/>
      <c r="D164" s="19"/>
      <c r="E164" s="19"/>
      <c r="F164" s="19"/>
      <c r="G164" s="19"/>
      <c r="H164" s="19"/>
      <c r="I164" s="18"/>
      <c r="J164" s="20"/>
    </row>
    <row r="165" spans="1:10" ht="35.4" customHeight="1" x14ac:dyDescent="0.3">
      <c r="A165" s="11" t="s">
        <v>184</v>
      </c>
      <c r="B165" s="12" t="s">
        <v>32</v>
      </c>
      <c r="C165" s="12" t="s">
        <v>185</v>
      </c>
      <c r="D165" s="49" t="s">
        <v>186</v>
      </c>
      <c r="E165" s="50"/>
      <c r="F165" s="50"/>
      <c r="G165" s="50"/>
      <c r="H165" s="51"/>
      <c r="I165" s="3" t="s">
        <v>177</v>
      </c>
      <c r="J165" s="5">
        <f>C167</f>
        <v>8.26</v>
      </c>
    </row>
    <row r="166" spans="1:10" ht="19.8" customHeight="1" x14ac:dyDescent="0.3">
      <c r="A166" s="77" t="s">
        <v>170</v>
      </c>
      <c r="B166" s="77"/>
      <c r="C166" s="23">
        <v>8.26</v>
      </c>
      <c r="D166" s="19"/>
      <c r="E166" s="19"/>
      <c r="F166" s="19"/>
      <c r="G166" s="19"/>
      <c r="H166" s="19"/>
      <c r="I166" s="18"/>
      <c r="J166" s="20"/>
    </row>
    <row r="167" spans="1:10" ht="19.95" customHeight="1" x14ac:dyDescent="0.3">
      <c r="A167" s="76" t="s">
        <v>305</v>
      </c>
      <c r="B167" s="76"/>
      <c r="C167" s="27">
        <f>SUM(C166:C166)</f>
        <v>8.26</v>
      </c>
      <c r="D167" s="19"/>
      <c r="E167" s="19"/>
      <c r="F167" s="19"/>
      <c r="G167" s="19"/>
      <c r="H167" s="19"/>
      <c r="I167" s="18"/>
      <c r="J167" s="20"/>
    </row>
    <row r="168" spans="1:10" ht="19.95" customHeight="1" x14ac:dyDescent="0.3">
      <c r="A168" s="17"/>
      <c r="B168" s="18"/>
      <c r="C168" s="18"/>
      <c r="D168" s="19"/>
      <c r="E168" s="19"/>
      <c r="F168" s="19"/>
      <c r="G168" s="19"/>
      <c r="H168" s="19"/>
      <c r="I168" s="18"/>
      <c r="J168" s="20"/>
    </row>
    <row r="169" spans="1:10" ht="19.95" customHeight="1" x14ac:dyDescent="0.3">
      <c r="A169" s="2" t="s">
        <v>187</v>
      </c>
      <c r="B169" s="3" t="s">
        <v>32</v>
      </c>
      <c r="C169" s="3" t="s">
        <v>188</v>
      </c>
      <c r="D169" s="49" t="s">
        <v>189</v>
      </c>
      <c r="E169" s="50"/>
      <c r="F169" s="50"/>
      <c r="G169" s="50"/>
      <c r="H169" s="51"/>
      <c r="I169" s="3" t="s">
        <v>33</v>
      </c>
      <c r="J169" s="5">
        <f>J178</f>
        <v>30.340000000000003</v>
      </c>
    </row>
    <row r="170" spans="1:10" ht="19.8" customHeight="1" x14ac:dyDescent="0.3">
      <c r="A170" s="88" t="s">
        <v>329</v>
      </c>
      <c r="B170" s="88" t="s">
        <v>348</v>
      </c>
      <c r="C170" s="86" t="s">
        <v>346</v>
      </c>
      <c r="D170" s="81" t="s">
        <v>358</v>
      </c>
      <c r="E170" s="82"/>
      <c r="F170" s="83"/>
      <c r="G170" s="81" t="s">
        <v>358</v>
      </c>
      <c r="H170" s="82"/>
      <c r="I170" s="83"/>
      <c r="J170" s="84" t="s">
        <v>305</v>
      </c>
    </row>
    <row r="171" spans="1:10" ht="19.95" customHeight="1" x14ac:dyDescent="0.3">
      <c r="A171" s="89"/>
      <c r="B171" s="89"/>
      <c r="C171" s="87"/>
      <c r="D171" s="18" t="s">
        <v>285</v>
      </c>
      <c r="E171" s="18" t="s">
        <v>291</v>
      </c>
      <c r="F171" s="18" t="s">
        <v>286</v>
      </c>
      <c r="G171" s="18" t="s">
        <v>285</v>
      </c>
      <c r="H171" s="18" t="s">
        <v>291</v>
      </c>
      <c r="I171" s="18" t="s">
        <v>286</v>
      </c>
      <c r="J171" s="85"/>
    </row>
    <row r="172" spans="1:10" ht="19.95" customHeight="1" x14ac:dyDescent="0.3">
      <c r="A172" s="17" t="s">
        <v>362</v>
      </c>
      <c r="B172" s="18" t="s">
        <v>359</v>
      </c>
      <c r="C172" s="25">
        <v>15</v>
      </c>
      <c r="D172" s="29">
        <v>0.3</v>
      </c>
      <c r="E172" s="29">
        <v>0.3</v>
      </c>
      <c r="F172" s="29">
        <f>ROUND(D172*E172,2)</f>
        <v>0.09</v>
      </c>
      <c r="G172" s="29">
        <v>0.14000000000000001</v>
      </c>
      <c r="H172" s="29">
        <v>0.3</v>
      </c>
      <c r="I172" s="29">
        <f>ROUND(G172*H172,2)</f>
        <v>0.04</v>
      </c>
      <c r="J172" s="39">
        <f>ROUND(C172*(F172+I172),2)</f>
        <v>1.95</v>
      </c>
    </row>
    <row r="173" spans="1:10" ht="19.95" customHeight="1" x14ac:dyDescent="0.3">
      <c r="A173" s="17" t="s">
        <v>362</v>
      </c>
      <c r="B173" s="18" t="s">
        <v>360</v>
      </c>
      <c r="C173" s="25">
        <v>4</v>
      </c>
      <c r="D173" s="29">
        <v>0.26</v>
      </c>
      <c r="E173" s="29">
        <v>1.1000000000000001</v>
      </c>
      <c r="F173" s="29">
        <f t="shared" ref="F173:F177" si="7">ROUND(D173*E173,2)</f>
        <v>0.28999999999999998</v>
      </c>
      <c r="G173" s="29">
        <v>0.2</v>
      </c>
      <c r="H173" s="29">
        <v>1.1000000000000001</v>
      </c>
      <c r="I173" s="29">
        <f t="shared" ref="I173:I177" si="8">ROUND(G173*H173,2)</f>
        <v>0.22</v>
      </c>
      <c r="J173" s="39">
        <f t="shared" ref="J173:J177" si="9">ROUND(C173*(F173+I173),2)</f>
        <v>2.04</v>
      </c>
    </row>
    <row r="174" spans="1:10" ht="19.8" customHeight="1" x14ac:dyDescent="0.3">
      <c r="A174" s="17" t="s">
        <v>361</v>
      </c>
      <c r="B174" s="18" t="s">
        <v>359</v>
      </c>
      <c r="C174" s="25">
        <v>15</v>
      </c>
      <c r="D174" s="29">
        <v>0.3</v>
      </c>
      <c r="E174" s="29">
        <v>0.8</v>
      </c>
      <c r="F174" s="29">
        <f t="shared" si="7"/>
        <v>0.24</v>
      </c>
      <c r="G174" s="29">
        <v>0.14000000000000001</v>
      </c>
      <c r="H174" s="29">
        <v>0.8</v>
      </c>
      <c r="I174" s="29">
        <f t="shared" si="8"/>
        <v>0.11</v>
      </c>
      <c r="J174" s="39">
        <f t="shared" si="9"/>
        <v>5.25</v>
      </c>
    </row>
    <row r="175" spans="1:10" ht="19.95" customHeight="1" x14ac:dyDescent="0.3">
      <c r="A175" s="17" t="s">
        <v>363</v>
      </c>
      <c r="B175" s="18" t="s">
        <v>353</v>
      </c>
      <c r="C175" s="25">
        <v>1</v>
      </c>
      <c r="D175" s="29">
        <v>31.65</v>
      </c>
      <c r="E175" s="29">
        <v>0.3</v>
      </c>
      <c r="F175" s="29">
        <f t="shared" si="7"/>
        <v>9.5</v>
      </c>
      <c r="G175" s="29">
        <v>31.65</v>
      </c>
      <c r="H175" s="29">
        <v>0.3</v>
      </c>
      <c r="I175" s="29">
        <f t="shared" si="8"/>
        <v>9.5</v>
      </c>
      <c r="J175" s="39">
        <f t="shared" si="9"/>
        <v>19</v>
      </c>
    </row>
    <row r="176" spans="1:10" ht="19.95" customHeight="1" x14ac:dyDescent="0.3">
      <c r="A176" s="17" t="s">
        <v>363</v>
      </c>
      <c r="B176" s="18" t="s">
        <v>354</v>
      </c>
      <c r="C176" s="25">
        <v>1</v>
      </c>
      <c r="D176" s="29">
        <v>1</v>
      </c>
      <c r="E176" s="29">
        <v>0.3</v>
      </c>
      <c r="F176" s="29">
        <f t="shared" si="7"/>
        <v>0.3</v>
      </c>
      <c r="G176" s="29">
        <v>1</v>
      </c>
      <c r="H176" s="29">
        <v>0.3</v>
      </c>
      <c r="I176" s="29">
        <f t="shared" si="8"/>
        <v>0.3</v>
      </c>
      <c r="J176" s="39">
        <f t="shared" si="9"/>
        <v>0.6</v>
      </c>
    </row>
    <row r="177" spans="1:10" ht="19.95" customHeight="1" x14ac:dyDescent="0.3">
      <c r="A177" s="17" t="s">
        <v>363</v>
      </c>
      <c r="B177" s="18" t="s">
        <v>364</v>
      </c>
      <c r="C177" s="25">
        <v>1</v>
      </c>
      <c r="D177" s="29">
        <v>2.5</v>
      </c>
      <c r="E177" s="29">
        <v>0.3</v>
      </c>
      <c r="F177" s="29">
        <f t="shared" si="7"/>
        <v>0.75</v>
      </c>
      <c r="G177" s="29">
        <v>2.5</v>
      </c>
      <c r="H177" s="29">
        <v>0.3</v>
      </c>
      <c r="I177" s="29">
        <f t="shared" si="8"/>
        <v>0.75</v>
      </c>
      <c r="J177" s="39">
        <f t="shared" si="9"/>
        <v>1.5</v>
      </c>
    </row>
    <row r="178" spans="1:10" ht="19.8" customHeight="1" x14ac:dyDescent="0.3">
      <c r="A178" s="17"/>
      <c r="B178" s="18"/>
      <c r="C178" s="18"/>
      <c r="D178" s="19"/>
      <c r="E178" s="19"/>
      <c r="F178" s="19"/>
      <c r="G178" s="19"/>
      <c r="H178" s="19"/>
      <c r="I178" s="26" t="s">
        <v>305</v>
      </c>
      <c r="J178" s="40">
        <f>SUM(J172:J177)</f>
        <v>30.340000000000003</v>
      </c>
    </row>
    <row r="179" spans="1:10" ht="19.95" customHeight="1" x14ac:dyDescent="0.3">
      <c r="A179" s="17"/>
      <c r="B179" s="18"/>
      <c r="C179" s="18"/>
      <c r="D179" s="19"/>
      <c r="E179" s="19"/>
      <c r="F179" s="19"/>
      <c r="G179" s="19"/>
      <c r="H179" s="19"/>
      <c r="I179" s="18"/>
      <c r="J179" s="20"/>
    </row>
    <row r="180" spans="1:10" ht="19.95" customHeight="1" x14ac:dyDescent="0.3">
      <c r="A180" s="2" t="s">
        <v>190</v>
      </c>
      <c r="B180" s="3" t="s">
        <v>32</v>
      </c>
      <c r="C180" s="3" t="s">
        <v>191</v>
      </c>
      <c r="D180" s="49" t="s">
        <v>192</v>
      </c>
      <c r="E180" s="50"/>
      <c r="F180" s="50"/>
      <c r="G180" s="50"/>
      <c r="H180" s="51"/>
      <c r="I180" s="3" t="s">
        <v>193</v>
      </c>
      <c r="J180" s="5">
        <f>C183</f>
        <v>746.89</v>
      </c>
    </row>
    <row r="181" spans="1:10" ht="19.8" customHeight="1" x14ac:dyDescent="0.3">
      <c r="A181" s="77" t="s">
        <v>170</v>
      </c>
      <c r="B181" s="77"/>
      <c r="C181" s="23">
        <f>604+107.5-71.15</f>
        <v>640.35</v>
      </c>
      <c r="D181" s="19"/>
      <c r="E181" s="19"/>
      <c r="F181" s="19"/>
      <c r="G181" s="19"/>
      <c r="H181" s="19"/>
      <c r="I181" s="18"/>
      <c r="J181" s="20"/>
    </row>
    <row r="182" spans="1:10" ht="19.95" customHeight="1" x14ac:dyDescent="0.3">
      <c r="A182" s="77" t="s">
        <v>341</v>
      </c>
      <c r="B182" s="77"/>
      <c r="C182" s="23">
        <f>134.3+40.7-68.46</f>
        <v>106.54</v>
      </c>
      <c r="D182" s="19"/>
      <c r="E182" s="19"/>
      <c r="F182" s="19"/>
      <c r="G182" s="19"/>
      <c r="H182" s="19"/>
      <c r="I182" s="18"/>
      <c r="J182" s="20"/>
    </row>
    <row r="183" spans="1:10" ht="19.95" customHeight="1" x14ac:dyDescent="0.3">
      <c r="A183" s="76" t="s">
        <v>305</v>
      </c>
      <c r="B183" s="76"/>
      <c r="C183" s="27">
        <f>SUM(C181:C182)</f>
        <v>746.89</v>
      </c>
      <c r="D183" s="19"/>
      <c r="E183" s="19"/>
      <c r="F183" s="19"/>
      <c r="G183" s="19"/>
      <c r="H183" s="19"/>
      <c r="I183" s="18"/>
      <c r="J183" s="20"/>
    </row>
    <row r="184" spans="1:10" ht="19.95" customHeight="1" x14ac:dyDescent="0.3">
      <c r="A184" s="17"/>
      <c r="B184" s="18"/>
      <c r="C184" s="18"/>
      <c r="D184" s="19"/>
      <c r="E184" s="19"/>
      <c r="F184" s="19"/>
      <c r="G184" s="19"/>
      <c r="H184" s="19"/>
      <c r="I184" s="18"/>
      <c r="J184" s="20"/>
    </row>
    <row r="185" spans="1:10" ht="32.4" customHeight="1" x14ac:dyDescent="0.3">
      <c r="A185" s="2" t="s">
        <v>194</v>
      </c>
      <c r="B185" s="3" t="s">
        <v>32</v>
      </c>
      <c r="C185" s="3" t="s">
        <v>195</v>
      </c>
      <c r="D185" s="49" t="s">
        <v>196</v>
      </c>
      <c r="E185" s="50"/>
      <c r="F185" s="50"/>
      <c r="G185" s="50"/>
      <c r="H185" s="51"/>
      <c r="I185" s="3" t="s">
        <v>33</v>
      </c>
      <c r="J185" s="5">
        <v>15.32</v>
      </c>
    </row>
    <row r="186" spans="1:10" ht="19.8" customHeight="1" x14ac:dyDescent="0.3">
      <c r="A186" s="61" t="s">
        <v>340</v>
      </c>
      <c r="B186" s="62"/>
      <c r="C186" s="62"/>
      <c r="D186" s="62"/>
      <c r="E186" s="62"/>
      <c r="F186" s="62"/>
      <c r="G186" s="62"/>
      <c r="H186" s="62"/>
      <c r="I186" s="62"/>
      <c r="J186" s="63"/>
    </row>
    <row r="187" spans="1:10" ht="19.95" customHeight="1" x14ac:dyDescent="0.3">
      <c r="A187" s="2" t="s">
        <v>334</v>
      </c>
      <c r="B187" s="3" t="s">
        <v>32</v>
      </c>
      <c r="C187" s="3" t="s">
        <v>336</v>
      </c>
      <c r="D187" s="49" t="s">
        <v>337</v>
      </c>
      <c r="E187" s="50"/>
      <c r="F187" s="50"/>
      <c r="G187" s="50"/>
      <c r="H187" s="51"/>
      <c r="I187" s="3" t="s">
        <v>177</v>
      </c>
      <c r="J187" s="5">
        <f>C191</f>
        <v>4.6199999999999983</v>
      </c>
    </row>
    <row r="188" spans="1:10" ht="19.8" customHeight="1" x14ac:dyDescent="0.3">
      <c r="A188" s="57" t="s">
        <v>365</v>
      </c>
      <c r="B188" s="58"/>
      <c r="C188" s="25">
        <f>J138</f>
        <v>11.079999999999998</v>
      </c>
      <c r="D188" s="19"/>
      <c r="E188" s="19"/>
      <c r="F188" s="19"/>
      <c r="G188" s="19"/>
      <c r="H188" s="19"/>
      <c r="I188" s="18"/>
      <c r="J188" s="20"/>
    </row>
    <row r="189" spans="1:10" ht="19.95" customHeight="1" x14ac:dyDescent="0.3">
      <c r="A189" s="52" t="s">
        <v>366</v>
      </c>
      <c r="B189" s="53"/>
      <c r="C189" s="25">
        <v>4.46</v>
      </c>
      <c r="D189" s="19"/>
      <c r="E189" s="19"/>
      <c r="F189" s="19"/>
      <c r="G189" s="19"/>
      <c r="H189" s="19"/>
      <c r="I189" s="18"/>
      <c r="J189" s="20"/>
    </row>
    <row r="190" spans="1:10" ht="19.95" customHeight="1" x14ac:dyDescent="0.3">
      <c r="A190" s="52" t="s">
        <v>367</v>
      </c>
      <c r="B190" s="53"/>
      <c r="C190" s="25">
        <v>2</v>
      </c>
      <c r="D190" s="19"/>
      <c r="E190" s="19"/>
      <c r="F190" s="19"/>
      <c r="G190" s="19"/>
      <c r="H190" s="19"/>
      <c r="I190" s="18"/>
      <c r="J190" s="20"/>
    </row>
    <row r="191" spans="1:10" ht="19.95" customHeight="1" x14ac:dyDescent="0.3">
      <c r="A191" s="59" t="s">
        <v>368</v>
      </c>
      <c r="B191" s="60"/>
      <c r="C191" s="35">
        <f>C188-C189-C190</f>
        <v>4.6199999999999983</v>
      </c>
      <c r="D191" s="19"/>
      <c r="E191" s="19"/>
      <c r="F191" s="19"/>
      <c r="G191" s="19"/>
      <c r="H191" s="19"/>
      <c r="I191" s="18"/>
      <c r="J191" s="20"/>
    </row>
    <row r="192" spans="1:10" ht="19.95" customHeight="1" x14ac:dyDescent="0.3">
      <c r="A192" s="17"/>
      <c r="B192" s="18"/>
      <c r="C192" s="18"/>
      <c r="D192" s="19"/>
      <c r="E192" s="19"/>
      <c r="F192" s="19"/>
      <c r="G192" s="19"/>
      <c r="H192" s="19"/>
      <c r="I192" s="18"/>
      <c r="J192" s="20"/>
    </row>
    <row r="193" spans="1:10" ht="32.4" customHeight="1" x14ac:dyDescent="0.3">
      <c r="A193" s="2" t="s">
        <v>335</v>
      </c>
      <c r="B193" s="3" t="s">
        <v>32</v>
      </c>
      <c r="C193" s="3" t="s">
        <v>338</v>
      </c>
      <c r="D193" s="49" t="s">
        <v>339</v>
      </c>
      <c r="E193" s="50"/>
      <c r="F193" s="50"/>
      <c r="G193" s="50"/>
      <c r="H193" s="51"/>
      <c r="I193" s="3" t="s">
        <v>33</v>
      </c>
      <c r="J193" s="5">
        <v>44.28</v>
      </c>
    </row>
    <row r="194" spans="1:10" ht="19.8" customHeight="1" x14ac:dyDescent="0.3">
      <c r="A194" s="61" t="s">
        <v>357</v>
      </c>
      <c r="B194" s="62"/>
      <c r="C194" s="62"/>
      <c r="D194" s="62"/>
      <c r="E194" s="62"/>
      <c r="F194" s="62"/>
      <c r="G194" s="62"/>
      <c r="H194" s="62"/>
      <c r="I194" s="62"/>
      <c r="J194" s="63"/>
    </row>
    <row r="195" spans="1:10" ht="19.95" customHeight="1" x14ac:dyDescent="0.3">
      <c r="A195" s="8" t="s">
        <v>197</v>
      </c>
      <c r="B195" s="9"/>
      <c r="C195" s="9"/>
      <c r="D195" s="46" t="s">
        <v>198</v>
      </c>
      <c r="E195" s="47"/>
      <c r="F195" s="47"/>
      <c r="G195" s="47"/>
      <c r="H195" s="48"/>
      <c r="I195" s="9"/>
      <c r="J195" s="9"/>
    </row>
    <row r="196" spans="1:10" ht="19.95" customHeight="1" x14ac:dyDescent="0.3">
      <c r="A196" s="2" t="s">
        <v>199</v>
      </c>
      <c r="B196" s="3" t="s">
        <v>32</v>
      </c>
      <c r="C196" s="3" t="s">
        <v>200</v>
      </c>
      <c r="D196" s="49" t="s">
        <v>201</v>
      </c>
      <c r="E196" s="50"/>
      <c r="F196" s="50"/>
      <c r="G196" s="50"/>
      <c r="H196" s="51"/>
      <c r="I196" s="3" t="s">
        <v>177</v>
      </c>
      <c r="J196" s="5">
        <v>3</v>
      </c>
    </row>
    <row r="197" spans="1:10" ht="19.8" customHeight="1" x14ac:dyDescent="0.3">
      <c r="A197" s="54" t="s">
        <v>342</v>
      </c>
      <c r="B197" s="55"/>
      <c r="C197" s="55"/>
      <c r="D197" s="55"/>
      <c r="E197" s="55"/>
      <c r="F197" s="55"/>
      <c r="G197" s="55"/>
      <c r="H197" s="55"/>
      <c r="I197" s="55"/>
      <c r="J197" s="56"/>
    </row>
    <row r="198" spans="1:10" ht="19.95" customHeight="1" x14ac:dyDescent="0.3">
      <c r="A198" s="2" t="s">
        <v>202</v>
      </c>
      <c r="B198" s="3" t="s">
        <v>32</v>
      </c>
      <c r="C198" s="3" t="s">
        <v>188</v>
      </c>
      <c r="D198" s="49" t="s">
        <v>189</v>
      </c>
      <c r="E198" s="50"/>
      <c r="F198" s="50"/>
      <c r="G198" s="50"/>
      <c r="H198" s="51"/>
      <c r="I198" s="3" t="s">
        <v>33</v>
      </c>
      <c r="J198" s="5">
        <f>J206</f>
        <v>37.93</v>
      </c>
    </row>
    <row r="199" spans="1:10" ht="19.8" customHeight="1" x14ac:dyDescent="0.3">
      <c r="A199" s="88" t="s">
        <v>329</v>
      </c>
      <c r="B199" s="88" t="s">
        <v>348</v>
      </c>
      <c r="C199" s="86" t="s">
        <v>346</v>
      </c>
      <c r="D199" s="81" t="s">
        <v>358</v>
      </c>
      <c r="E199" s="82"/>
      <c r="F199" s="83"/>
      <c r="G199" s="81" t="s">
        <v>358</v>
      </c>
      <c r="H199" s="82"/>
      <c r="I199" s="83"/>
      <c r="J199" s="84" t="s">
        <v>305</v>
      </c>
    </row>
    <row r="200" spans="1:10" ht="19.95" customHeight="1" x14ac:dyDescent="0.3">
      <c r="A200" s="89"/>
      <c r="B200" s="89"/>
      <c r="C200" s="87"/>
      <c r="D200" s="18" t="s">
        <v>285</v>
      </c>
      <c r="E200" s="18" t="s">
        <v>291</v>
      </c>
      <c r="F200" s="18" t="s">
        <v>286</v>
      </c>
      <c r="G200" s="18" t="s">
        <v>285</v>
      </c>
      <c r="H200" s="18" t="s">
        <v>291</v>
      </c>
      <c r="I200" s="18" t="s">
        <v>286</v>
      </c>
      <c r="J200" s="85"/>
    </row>
    <row r="201" spans="1:10" ht="19.8" customHeight="1" x14ac:dyDescent="0.3">
      <c r="A201" s="17" t="s">
        <v>369</v>
      </c>
      <c r="B201" s="18" t="s">
        <v>359</v>
      </c>
      <c r="C201" s="25">
        <v>15</v>
      </c>
      <c r="D201" s="29">
        <v>0.3</v>
      </c>
      <c r="E201" s="29">
        <v>2.2000000000000002</v>
      </c>
      <c r="F201" s="29">
        <f>ROUND(D201*E201,2)</f>
        <v>0.66</v>
      </c>
      <c r="G201" s="29">
        <v>0.14000000000000001</v>
      </c>
      <c r="H201" s="29">
        <v>2.2000000000000002</v>
      </c>
      <c r="I201" s="29">
        <f>ROUND(G201*H201,2)</f>
        <v>0.31</v>
      </c>
      <c r="J201" s="39">
        <f>ROUND(C201*(F201+I201),2)</f>
        <v>14.55</v>
      </c>
    </row>
    <row r="202" spans="1:10" ht="19.95" customHeight="1" x14ac:dyDescent="0.3">
      <c r="A202" s="17" t="s">
        <v>370</v>
      </c>
      <c r="B202" s="18" t="s">
        <v>353</v>
      </c>
      <c r="C202" s="25">
        <v>1</v>
      </c>
      <c r="D202" s="29">
        <v>31.65</v>
      </c>
      <c r="E202" s="29">
        <v>0.3</v>
      </c>
      <c r="F202" s="29">
        <f t="shared" ref="F202:F205" si="10">ROUND(D202*E202,2)</f>
        <v>9.5</v>
      </c>
      <c r="G202" s="29">
        <f>D202</f>
        <v>31.65</v>
      </c>
      <c r="H202" s="29">
        <v>0.3</v>
      </c>
      <c r="I202" s="29">
        <f t="shared" ref="I202:I205" si="11">ROUND(G202*H202,2)</f>
        <v>9.5</v>
      </c>
      <c r="J202" s="39">
        <f t="shared" ref="J202:J205" si="12">ROUND(C202*(F202+I202),2)</f>
        <v>19</v>
      </c>
    </row>
    <row r="203" spans="1:10" ht="19.95" customHeight="1" x14ac:dyDescent="0.3">
      <c r="A203" s="17" t="s">
        <v>370</v>
      </c>
      <c r="B203" s="18" t="s">
        <v>354</v>
      </c>
      <c r="C203" s="25">
        <v>1</v>
      </c>
      <c r="D203" s="29">
        <v>3.8</v>
      </c>
      <c r="E203" s="29">
        <v>0.3</v>
      </c>
      <c r="F203" s="29">
        <f t="shared" si="10"/>
        <v>1.1399999999999999</v>
      </c>
      <c r="G203" s="29">
        <f t="shared" ref="G203:G205" si="13">D203</f>
        <v>3.8</v>
      </c>
      <c r="H203" s="29">
        <v>0.3</v>
      </c>
      <c r="I203" s="29">
        <f t="shared" si="11"/>
        <v>1.1399999999999999</v>
      </c>
      <c r="J203" s="39">
        <f t="shared" si="12"/>
        <v>2.2799999999999998</v>
      </c>
    </row>
    <row r="204" spans="1:10" ht="19.95" customHeight="1" x14ac:dyDescent="0.3">
      <c r="A204" s="17" t="s">
        <v>370</v>
      </c>
      <c r="B204" s="18" t="s">
        <v>364</v>
      </c>
      <c r="C204" s="25">
        <v>1</v>
      </c>
      <c r="D204" s="29">
        <v>1</v>
      </c>
      <c r="E204" s="29">
        <v>0.3</v>
      </c>
      <c r="F204" s="29">
        <f t="shared" si="10"/>
        <v>0.3</v>
      </c>
      <c r="G204" s="29">
        <f t="shared" si="13"/>
        <v>1</v>
      </c>
      <c r="H204" s="29">
        <v>0.3</v>
      </c>
      <c r="I204" s="29">
        <f t="shared" si="11"/>
        <v>0.3</v>
      </c>
      <c r="J204" s="39">
        <f t="shared" si="12"/>
        <v>0.6</v>
      </c>
    </row>
    <row r="205" spans="1:10" ht="19.8" customHeight="1" x14ac:dyDescent="0.3">
      <c r="A205" s="17" t="s">
        <v>370</v>
      </c>
      <c r="B205" s="18" t="s">
        <v>371</v>
      </c>
      <c r="C205" s="25">
        <v>1</v>
      </c>
      <c r="D205" s="29">
        <v>2.5</v>
      </c>
      <c r="E205" s="29">
        <v>0.3</v>
      </c>
      <c r="F205" s="29">
        <f t="shared" si="10"/>
        <v>0.75</v>
      </c>
      <c r="G205" s="29">
        <f t="shared" si="13"/>
        <v>2.5</v>
      </c>
      <c r="H205" s="29">
        <v>0.3</v>
      </c>
      <c r="I205" s="29">
        <f t="shared" si="11"/>
        <v>0.75</v>
      </c>
      <c r="J205" s="39">
        <f t="shared" si="12"/>
        <v>1.5</v>
      </c>
    </row>
    <row r="206" spans="1:10" ht="19.95" customHeight="1" x14ac:dyDescent="0.3">
      <c r="A206" s="17"/>
      <c r="B206" s="18"/>
      <c r="C206" s="18"/>
      <c r="D206" s="19"/>
      <c r="E206" s="19"/>
      <c r="F206" s="19"/>
      <c r="G206" s="19"/>
      <c r="H206" s="19"/>
      <c r="I206" s="26" t="s">
        <v>305</v>
      </c>
      <c r="J206" s="40">
        <f>SUM(J201:J205)</f>
        <v>37.93</v>
      </c>
    </row>
    <row r="207" spans="1:10" ht="19.95" customHeight="1" x14ac:dyDescent="0.3">
      <c r="A207" s="17"/>
      <c r="B207" s="18"/>
      <c r="C207" s="18"/>
      <c r="D207" s="19"/>
      <c r="E207" s="19"/>
      <c r="F207" s="19"/>
      <c r="G207" s="19"/>
      <c r="H207" s="19"/>
      <c r="I207" s="18"/>
      <c r="J207" s="20"/>
    </row>
    <row r="208" spans="1:10" ht="19.95" customHeight="1" x14ac:dyDescent="0.3">
      <c r="A208" s="2" t="s">
        <v>203</v>
      </c>
      <c r="B208" s="3" t="s">
        <v>32</v>
      </c>
      <c r="C208" s="3" t="s">
        <v>191</v>
      </c>
      <c r="D208" s="49" t="s">
        <v>192</v>
      </c>
      <c r="E208" s="50"/>
      <c r="F208" s="50"/>
      <c r="G208" s="50"/>
      <c r="H208" s="51"/>
      <c r="I208" s="3" t="s">
        <v>193</v>
      </c>
      <c r="J208" s="5">
        <f>179.3+67.1-24.64</f>
        <v>221.76</v>
      </c>
    </row>
    <row r="209" spans="1:10" ht="19.8" customHeight="1" x14ac:dyDescent="0.3">
      <c r="A209" s="54" t="s">
        <v>342</v>
      </c>
      <c r="B209" s="55"/>
      <c r="C209" s="55"/>
      <c r="D209" s="55"/>
      <c r="E209" s="55"/>
      <c r="F209" s="55"/>
      <c r="G209" s="55"/>
      <c r="H209" s="55"/>
      <c r="I209" s="55"/>
      <c r="J209" s="56"/>
    </row>
    <row r="210" spans="1:10" ht="19.95" customHeight="1" x14ac:dyDescent="0.3">
      <c r="A210" s="2" t="s">
        <v>204</v>
      </c>
      <c r="B210" s="3" t="s">
        <v>207</v>
      </c>
      <c r="C210" s="3" t="s">
        <v>205</v>
      </c>
      <c r="D210" s="49" t="s">
        <v>206</v>
      </c>
      <c r="E210" s="50"/>
      <c r="F210" s="50"/>
      <c r="G210" s="50"/>
      <c r="H210" s="51"/>
      <c r="I210" s="3" t="s">
        <v>208</v>
      </c>
      <c r="J210" s="90">
        <f>7.3+329.3+221.5</f>
        <v>558.1</v>
      </c>
    </row>
    <row r="211" spans="1:10" ht="19.8" customHeight="1" x14ac:dyDescent="0.3">
      <c r="A211" s="54" t="s">
        <v>342</v>
      </c>
      <c r="B211" s="55"/>
      <c r="C211" s="55"/>
      <c r="D211" s="55"/>
      <c r="E211" s="55"/>
      <c r="F211" s="55"/>
      <c r="G211" s="55"/>
      <c r="H211" s="55"/>
      <c r="I211" s="55"/>
      <c r="J211" s="56"/>
    </row>
    <row r="212" spans="1:10" ht="19.95" customHeight="1" x14ac:dyDescent="0.3">
      <c r="A212" s="8" t="s">
        <v>209</v>
      </c>
      <c r="B212" s="9"/>
      <c r="C212" s="9"/>
      <c r="D212" s="46" t="s">
        <v>210</v>
      </c>
      <c r="E212" s="47"/>
      <c r="F212" s="47"/>
      <c r="G212" s="47"/>
      <c r="H212" s="48"/>
      <c r="I212" s="9"/>
      <c r="J212" s="9"/>
    </row>
    <row r="213" spans="1:10" ht="19.95" customHeight="1" x14ac:dyDescent="0.3">
      <c r="A213" s="2" t="s">
        <v>211</v>
      </c>
      <c r="B213" s="3" t="s">
        <v>32</v>
      </c>
      <c r="C213" s="3" t="s">
        <v>212</v>
      </c>
      <c r="D213" s="49" t="s">
        <v>213</v>
      </c>
      <c r="E213" s="50"/>
      <c r="F213" s="50"/>
      <c r="G213" s="50"/>
      <c r="H213" s="51"/>
      <c r="I213" s="3" t="s">
        <v>33</v>
      </c>
      <c r="J213" s="5">
        <f>D215</f>
        <v>65.31</v>
      </c>
    </row>
    <row r="214" spans="1:10" ht="19.8" customHeight="1" x14ac:dyDescent="0.3">
      <c r="A214" s="21" t="s">
        <v>285</v>
      </c>
      <c r="B214" s="18" t="s">
        <v>291</v>
      </c>
      <c r="C214" s="18" t="s">
        <v>304</v>
      </c>
      <c r="D214" s="26" t="s">
        <v>286</v>
      </c>
      <c r="E214" s="19"/>
      <c r="F214" s="19"/>
      <c r="G214" s="19"/>
      <c r="H214" s="19"/>
      <c r="I214" s="18"/>
      <c r="J214" s="20"/>
    </row>
    <row r="215" spans="1:10" ht="19.95" customHeight="1" x14ac:dyDescent="0.3">
      <c r="A215" s="24">
        <v>38.65</v>
      </c>
      <c r="B215" s="25">
        <v>2.2000000000000002</v>
      </c>
      <c r="C215" s="25">
        <f>J251+J255+(12*0.3*2.2)</f>
        <v>19.72</v>
      </c>
      <c r="D215" s="36">
        <f>ROUND((A215*B215)-C215,2)</f>
        <v>65.31</v>
      </c>
      <c r="E215" s="19"/>
      <c r="F215" s="19"/>
      <c r="G215" s="19"/>
      <c r="H215" s="19"/>
      <c r="I215" s="18"/>
      <c r="J215" s="20"/>
    </row>
    <row r="216" spans="1:10" ht="19.95" customHeight="1" x14ac:dyDescent="0.3">
      <c r="A216" s="17"/>
      <c r="B216" s="18"/>
      <c r="C216" s="18"/>
      <c r="D216" s="19"/>
      <c r="E216" s="19"/>
      <c r="F216" s="19"/>
      <c r="G216" s="19"/>
      <c r="H216" s="19"/>
      <c r="I216" s="18"/>
      <c r="J216" s="20"/>
    </row>
    <row r="217" spans="1:10" ht="29.4" customHeight="1" x14ac:dyDescent="0.3">
      <c r="A217" s="2" t="s">
        <v>214</v>
      </c>
      <c r="B217" s="3" t="s">
        <v>32</v>
      </c>
      <c r="C217" s="3" t="s">
        <v>47</v>
      </c>
      <c r="D217" s="49" t="s">
        <v>48</v>
      </c>
      <c r="E217" s="50"/>
      <c r="F217" s="50"/>
      <c r="G217" s="50"/>
      <c r="H217" s="51"/>
      <c r="I217" s="3" t="s">
        <v>33</v>
      </c>
      <c r="J217" s="5">
        <f>E221</f>
        <v>200.57999999999998</v>
      </c>
    </row>
    <row r="218" spans="1:10" ht="19.8" customHeight="1" x14ac:dyDescent="0.3">
      <c r="A218" s="21" t="s">
        <v>285</v>
      </c>
      <c r="B218" s="18" t="s">
        <v>291</v>
      </c>
      <c r="C218" s="18" t="s">
        <v>307</v>
      </c>
      <c r="D218" s="18" t="s">
        <v>304</v>
      </c>
      <c r="E218" s="31" t="s">
        <v>286</v>
      </c>
      <c r="F218" s="19"/>
      <c r="G218" s="19"/>
      <c r="H218" s="19"/>
      <c r="I218" s="18"/>
      <c r="J218" s="20"/>
    </row>
    <row r="219" spans="1:10" ht="19.95" customHeight="1" x14ac:dyDescent="0.3">
      <c r="A219" s="24">
        <v>38.65</v>
      </c>
      <c r="B219" s="25">
        <v>2.5</v>
      </c>
      <c r="C219" s="25">
        <v>1</v>
      </c>
      <c r="D219" s="25">
        <f>J251+J255</f>
        <v>11.8</v>
      </c>
      <c r="E219" s="38">
        <f>ROUND((A219*B219*C219)-D219,2)</f>
        <v>84.83</v>
      </c>
      <c r="F219" s="19"/>
      <c r="G219" s="19"/>
      <c r="H219" s="19"/>
      <c r="I219" s="18"/>
      <c r="J219" s="20"/>
    </row>
    <row r="220" spans="1:10" ht="19.95" customHeight="1" x14ac:dyDescent="0.3">
      <c r="A220" s="24">
        <v>38.65</v>
      </c>
      <c r="B220" s="25">
        <v>3.3</v>
      </c>
      <c r="C220" s="25">
        <v>1</v>
      </c>
      <c r="D220" s="25">
        <f>D219</f>
        <v>11.8</v>
      </c>
      <c r="E220" s="38">
        <f>ROUND((A220*B220*C220)-D220,2)</f>
        <v>115.75</v>
      </c>
      <c r="F220" s="19"/>
      <c r="G220" s="19"/>
      <c r="H220" s="19"/>
      <c r="I220" s="18"/>
      <c r="J220" s="20"/>
    </row>
    <row r="221" spans="1:10" ht="19.95" customHeight="1" x14ac:dyDescent="0.3">
      <c r="A221" s="17"/>
      <c r="B221" s="18"/>
      <c r="C221" s="18"/>
      <c r="D221" s="37" t="s">
        <v>305</v>
      </c>
      <c r="E221" s="30">
        <f>SUM(E219:E220)</f>
        <v>200.57999999999998</v>
      </c>
      <c r="F221" s="19"/>
      <c r="G221" s="19"/>
      <c r="H221" s="19"/>
      <c r="I221" s="18"/>
      <c r="J221" s="20"/>
    </row>
    <row r="222" spans="1:10" ht="19.95" customHeight="1" x14ac:dyDescent="0.3">
      <c r="A222" s="17"/>
      <c r="B222" s="18"/>
      <c r="C222" s="18"/>
      <c r="D222" s="19"/>
      <c r="E222" s="19"/>
      <c r="F222" s="19"/>
      <c r="G222" s="19"/>
      <c r="H222" s="19"/>
      <c r="I222" s="18"/>
      <c r="J222" s="20"/>
    </row>
    <row r="223" spans="1:10" ht="34.200000000000003" customHeight="1" x14ac:dyDescent="0.3">
      <c r="A223" s="2" t="s">
        <v>215</v>
      </c>
      <c r="B223" s="3" t="s">
        <v>32</v>
      </c>
      <c r="C223" s="3" t="s">
        <v>50</v>
      </c>
      <c r="D223" s="49" t="s">
        <v>51</v>
      </c>
      <c r="E223" s="50"/>
      <c r="F223" s="50"/>
      <c r="G223" s="50"/>
      <c r="H223" s="51"/>
      <c r="I223" s="3" t="s">
        <v>33</v>
      </c>
      <c r="J223" s="5">
        <f>J217</f>
        <v>200.57999999999998</v>
      </c>
    </row>
    <row r="224" spans="1:10" ht="19.95" customHeight="1" x14ac:dyDescent="0.3">
      <c r="A224" s="8" t="s">
        <v>216</v>
      </c>
      <c r="B224" s="9"/>
      <c r="C224" s="9"/>
      <c r="D224" s="46" t="s">
        <v>53</v>
      </c>
      <c r="E224" s="47"/>
      <c r="F224" s="47"/>
      <c r="G224" s="47"/>
      <c r="H224" s="48"/>
      <c r="I224" s="9"/>
      <c r="J224" s="9"/>
    </row>
    <row r="225" spans="1:10" ht="61.2" customHeight="1" x14ac:dyDescent="0.3">
      <c r="A225" s="2" t="s">
        <v>217</v>
      </c>
      <c r="B225" s="3" t="s">
        <v>32</v>
      </c>
      <c r="C225" s="3" t="s">
        <v>218</v>
      </c>
      <c r="D225" s="49" t="s">
        <v>219</v>
      </c>
      <c r="E225" s="50"/>
      <c r="F225" s="50"/>
      <c r="G225" s="50"/>
      <c r="H225" s="51"/>
      <c r="I225" s="3" t="s">
        <v>69</v>
      </c>
      <c r="J225" s="5">
        <v>1</v>
      </c>
    </row>
    <row r="226" spans="1:10" ht="54" customHeight="1" x14ac:dyDescent="0.3">
      <c r="A226" s="2" t="s">
        <v>220</v>
      </c>
      <c r="B226" s="3" t="s">
        <v>32</v>
      </c>
      <c r="C226" s="3" t="s">
        <v>221</v>
      </c>
      <c r="D226" s="49" t="s">
        <v>222</v>
      </c>
      <c r="E226" s="50"/>
      <c r="F226" s="50"/>
      <c r="G226" s="50"/>
      <c r="H226" s="51"/>
      <c r="I226" s="3" t="s">
        <v>69</v>
      </c>
      <c r="J226" s="5">
        <v>2</v>
      </c>
    </row>
    <row r="227" spans="1:10" ht="30.6" customHeight="1" x14ac:dyDescent="0.3">
      <c r="A227" s="2" t="s">
        <v>223</v>
      </c>
      <c r="B227" s="3" t="s">
        <v>32</v>
      </c>
      <c r="C227" s="3" t="s">
        <v>224</v>
      </c>
      <c r="D227" s="49" t="s">
        <v>225</v>
      </c>
      <c r="E227" s="50"/>
      <c r="F227" s="50"/>
      <c r="G227" s="50"/>
      <c r="H227" s="51"/>
      <c r="I227" s="3" t="s">
        <v>69</v>
      </c>
      <c r="J227" s="5">
        <v>2</v>
      </c>
    </row>
    <row r="228" spans="1:10" ht="26.4" customHeight="1" x14ac:dyDescent="0.3">
      <c r="A228" s="2" t="s">
        <v>226</v>
      </c>
      <c r="B228" s="3" t="s">
        <v>32</v>
      </c>
      <c r="C228" s="3" t="s">
        <v>227</v>
      </c>
      <c r="D228" s="49" t="s">
        <v>228</v>
      </c>
      <c r="E228" s="50"/>
      <c r="F228" s="50"/>
      <c r="G228" s="50"/>
      <c r="H228" s="51"/>
      <c r="I228" s="3" t="s">
        <v>69</v>
      </c>
      <c r="J228" s="5">
        <v>2</v>
      </c>
    </row>
    <row r="229" spans="1:10" ht="19.95" customHeight="1" x14ac:dyDescent="0.3">
      <c r="A229" s="8" t="s">
        <v>229</v>
      </c>
      <c r="B229" s="9"/>
      <c r="C229" s="9"/>
      <c r="D229" s="46" t="s">
        <v>230</v>
      </c>
      <c r="E229" s="47"/>
      <c r="F229" s="47"/>
      <c r="G229" s="47"/>
      <c r="H229" s="48"/>
      <c r="I229" s="9"/>
      <c r="J229" s="9"/>
    </row>
    <row r="230" spans="1:10" ht="32.4" customHeight="1" x14ac:dyDescent="0.3">
      <c r="A230" s="2" t="s">
        <v>231</v>
      </c>
      <c r="B230" s="3" t="s">
        <v>32</v>
      </c>
      <c r="C230" s="3" t="s">
        <v>232</v>
      </c>
      <c r="D230" s="49" t="s">
        <v>233</v>
      </c>
      <c r="E230" s="50"/>
      <c r="F230" s="50"/>
      <c r="G230" s="50"/>
      <c r="H230" s="51"/>
      <c r="I230" s="3" t="s">
        <v>33</v>
      </c>
      <c r="J230" s="5">
        <v>53.93</v>
      </c>
    </row>
    <row r="231" spans="1:10" ht="19.95" customHeight="1" x14ac:dyDescent="0.3">
      <c r="A231" s="2" t="s">
        <v>234</v>
      </c>
      <c r="B231" s="3" t="s">
        <v>32</v>
      </c>
      <c r="C231" s="3" t="s">
        <v>235</v>
      </c>
      <c r="D231" s="49" t="s">
        <v>236</v>
      </c>
      <c r="E231" s="50"/>
      <c r="F231" s="50"/>
      <c r="G231" s="50"/>
      <c r="H231" s="51"/>
      <c r="I231" s="3" t="s">
        <v>40</v>
      </c>
      <c r="J231" s="5">
        <v>10.3</v>
      </c>
    </row>
    <row r="232" spans="1:10" ht="19.95" customHeight="1" x14ac:dyDescent="0.3">
      <c r="A232" s="2" t="s">
        <v>237</v>
      </c>
      <c r="B232" s="3" t="s">
        <v>32</v>
      </c>
      <c r="C232" s="3" t="s">
        <v>238</v>
      </c>
      <c r="D232" s="49" t="s">
        <v>239</v>
      </c>
      <c r="E232" s="50"/>
      <c r="F232" s="50"/>
      <c r="G232" s="50"/>
      <c r="H232" s="51"/>
      <c r="I232" s="3" t="s">
        <v>40</v>
      </c>
      <c r="J232" s="5">
        <v>17.829999999999998</v>
      </c>
    </row>
    <row r="233" spans="1:10" ht="19.95" customHeight="1" x14ac:dyDescent="0.3">
      <c r="A233" s="2" t="s">
        <v>240</v>
      </c>
      <c r="B233" s="3" t="s">
        <v>32</v>
      </c>
      <c r="C233" s="3" t="s">
        <v>242</v>
      </c>
      <c r="D233" s="49" t="s">
        <v>243</v>
      </c>
      <c r="E233" s="50"/>
      <c r="F233" s="50"/>
      <c r="G233" s="50"/>
      <c r="H233" s="51"/>
      <c r="I233" s="3" t="s">
        <v>40</v>
      </c>
      <c r="J233" s="5">
        <v>38.65</v>
      </c>
    </row>
    <row r="234" spans="1:10" ht="19.95" customHeight="1" x14ac:dyDescent="0.3">
      <c r="A234" s="2" t="s">
        <v>241</v>
      </c>
      <c r="B234" s="3" t="s">
        <v>17</v>
      </c>
      <c r="C234" s="3" t="s">
        <v>245</v>
      </c>
      <c r="D234" s="49" t="s">
        <v>246</v>
      </c>
      <c r="E234" s="50"/>
      <c r="F234" s="50"/>
      <c r="G234" s="50"/>
      <c r="H234" s="51"/>
      <c r="I234" s="3" t="s">
        <v>73</v>
      </c>
      <c r="J234" s="5">
        <v>18</v>
      </c>
    </row>
    <row r="235" spans="1:10" ht="28.2" customHeight="1" x14ac:dyDescent="0.3">
      <c r="A235" s="2" t="s">
        <v>244</v>
      </c>
      <c r="B235" s="3" t="s">
        <v>17</v>
      </c>
      <c r="C235" s="3" t="s">
        <v>248</v>
      </c>
      <c r="D235" s="49" t="s">
        <v>249</v>
      </c>
      <c r="E235" s="50"/>
      <c r="F235" s="50"/>
      <c r="G235" s="50"/>
      <c r="H235" s="51"/>
      <c r="I235" s="3" t="s">
        <v>13</v>
      </c>
      <c r="J235" s="5">
        <v>1</v>
      </c>
    </row>
    <row r="236" spans="1:10" ht="34.200000000000003" customHeight="1" x14ac:dyDescent="0.3">
      <c r="A236" s="2" t="s">
        <v>247</v>
      </c>
      <c r="B236" s="3" t="s">
        <v>17</v>
      </c>
      <c r="C236" s="3" t="s">
        <v>251</v>
      </c>
      <c r="D236" s="49" t="s">
        <v>252</v>
      </c>
      <c r="E236" s="50"/>
      <c r="F236" s="50"/>
      <c r="G236" s="50"/>
      <c r="H236" s="51"/>
      <c r="I236" s="3" t="s">
        <v>13</v>
      </c>
      <c r="J236" s="5">
        <v>4</v>
      </c>
    </row>
    <row r="237" spans="1:10" ht="39.6" customHeight="1" x14ac:dyDescent="0.3">
      <c r="A237" s="2" t="s">
        <v>250</v>
      </c>
      <c r="B237" s="3" t="s">
        <v>32</v>
      </c>
      <c r="C237" s="3" t="s">
        <v>254</v>
      </c>
      <c r="D237" s="49" t="s">
        <v>255</v>
      </c>
      <c r="E237" s="50"/>
      <c r="F237" s="50"/>
      <c r="G237" s="50"/>
      <c r="H237" s="51"/>
      <c r="I237" s="3" t="s">
        <v>69</v>
      </c>
      <c r="J237" s="5">
        <v>1</v>
      </c>
    </row>
    <row r="238" spans="1:10" ht="19.95" customHeight="1" x14ac:dyDescent="0.3">
      <c r="A238" s="2" t="s">
        <v>253</v>
      </c>
      <c r="B238" s="3" t="s">
        <v>17</v>
      </c>
      <c r="C238" s="3" t="s">
        <v>256</v>
      </c>
      <c r="D238" s="49" t="s">
        <v>257</v>
      </c>
      <c r="E238" s="50"/>
      <c r="F238" s="50"/>
      <c r="G238" s="50"/>
      <c r="H238" s="51"/>
      <c r="I238" s="3" t="s">
        <v>73</v>
      </c>
      <c r="J238" s="5">
        <v>31.37</v>
      </c>
    </row>
    <row r="239" spans="1:10" ht="19.95" customHeight="1" x14ac:dyDescent="0.3">
      <c r="A239" s="8" t="s">
        <v>258</v>
      </c>
      <c r="B239" s="9"/>
      <c r="C239" s="9"/>
      <c r="D239" s="46" t="s">
        <v>22</v>
      </c>
      <c r="E239" s="47"/>
      <c r="F239" s="47"/>
      <c r="G239" s="47"/>
      <c r="H239" s="48"/>
      <c r="I239" s="9"/>
      <c r="J239" s="9"/>
    </row>
    <row r="240" spans="1:10" ht="31.8" customHeight="1" x14ac:dyDescent="0.3">
      <c r="A240" s="2" t="s">
        <v>259</v>
      </c>
      <c r="B240" s="3" t="s">
        <v>17</v>
      </c>
      <c r="C240" s="3" t="s">
        <v>24</v>
      </c>
      <c r="D240" s="49" t="s">
        <v>25</v>
      </c>
      <c r="E240" s="50"/>
      <c r="F240" s="50"/>
      <c r="G240" s="50"/>
      <c r="H240" s="51"/>
      <c r="I240" s="3" t="s">
        <v>18</v>
      </c>
      <c r="J240" s="5">
        <f>SUM(C243:C244)</f>
        <v>139.44</v>
      </c>
    </row>
    <row r="241" spans="1:10" ht="31.2" customHeight="1" x14ac:dyDescent="0.3">
      <c r="A241" s="2" t="s">
        <v>260</v>
      </c>
      <c r="B241" s="3" t="s">
        <v>17</v>
      </c>
      <c r="C241" s="3" t="s">
        <v>261</v>
      </c>
      <c r="D241" s="49" t="s">
        <v>262</v>
      </c>
      <c r="E241" s="50"/>
      <c r="F241" s="50"/>
      <c r="G241" s="50"/>
      <c r="H241" s="51"/>
      <c r="I241" s="3" t="s">
        <v>155</v>
      </c>
      <c r="J241" s="5">
        <f>E245</f>
        <v>6.98</v>
      </c>
    </row>
    <row r="242" spans="1:10" ht="19.8" customHeight="1" x14ac:dyDescent="0.3">
      <c r="A242" s="57" t="s">
        <v>292</v>
      </c>
      <c r="B242" s="58"/>
      <c r="C242" s="18" t="s">
        <v>286</v>
      </c>
      <c r="D242" s="19" t="s">
        <v>312</v>
      </c>
      <c r="E242" s="19" t="s">
        <v>313</v>
      </c>
      <c r="F242" s="19"/>
      <c r="G242" s="19"/>
      <c r="H242" s="19"/>
      <c r="I242" s="18"/>
      <c r="J242" s="20"/>
    </row>
    <row r="243" spans="1:10" ht="19.95" customHeight="1" x14ac:dyDescent="0.3">
      <c r="A243" s="52" t="s">
        <v>326</v>
      </c>
      <c r="B243" s="53"/>
      <c r="C243" s="25">
        <f>105.17-ROUND(J238*0.2,2)</f>
        <v>98.9</v>
      </c>
      <c r="D243" s="29">
        <v>0.05</v>
      </c>
      <c r="E243" s="29">
        <f>ROUND(C243*D243,2)</f>
        <v>4.95</v>
      </c>
      <c r="F243" s="19"/>
      <c r="G243" s="19"/>
      <c r="H243" s="19"/>
      <c r="I243" s="18"/>
      <c r="J243" s="20"/>
    </row>
    <row r="244" spans="1:10" ht="19.95" customHeight="1" x14ac:dyDescent="0.3">
      <c r="A244" s="52" t="s">
        <v>327</v>
      </c>
      <c r="B244" s="53"/>
      <c r="C244" s="25">
        <v>40.54</v>
      </c>
      <c r="D244" s="29">
        <v>0.05</v>
      </c>
      <c r="E244" s="29">
        <f>ROUND(C244*D244,2)</f>
        <v>2.0299999999999998</v>
      </c>
      <c r="F244" s="19"/>
      <c r="G244" s="19"/>
      <c r="H244" s="19"/>
      <c r="I244" s="18"/>
      <c r="J244" s="20"/>
    </row>
    <row r="245" spans="1:10" ht="19.95" customHeight="1" x14ac:dyDescent="0.3">
      <c r="A245" s="17"/>
      <c r="B245" s="18"/>
      <c r="C245" s="18"/>
      <c r="D245" s="26" t="s">
        <v>305</v>
      </c>
      <c r="E245" s="35">
        <f>SUM(E243:E244)</f>
        <v>6.98</v>
      </c>
      <c r="F245" s="19"/>
      <c r="G245" s="19"/>
      <c r="H245" s="19"/>
      <c r="I245" s="18"/>
      <c r="J245" s="20"/>
    </row>
    <row r="246" spans="1:10" ht="19.95" customHeight="1" x14ac:dyDescent="0.3">
      <c r="A246" s="17"/>
      <c r="B246" s="18"/>
      <c r="C246" s="18"/>
      <c r="D246" s="19"/>
      <c r="E246" s="19"/>
      <c r="F246" s="19"/>
      <c r="G246" s="19"/>
      <c r="H246" s="19"/>
      <c r="I246" s="18"/>
      <c r="J246" s="20"/>
    </row>
    <row r="247" spans="1:10" ht="31.8" customHeight="1" x14ac:dyDescent="0.3">
      <c r="A247" s="2" t="s">
        <v>263</v>
      </c>
      <c r="B247" s="3" t="s">
        <v>17</v>
      </c>
      <c r="C247" s="3" t="s">
        <v>264</v>
      </c>
      <c r="D247" s="49" t="s">
        <v>265</v>
      </c>
      <c r="E247" s="50"/>
      <c r="F247" s="50"/>
      <c r="G247" s="50"/>
      <c r="H247" s="51"/>
      <c r="I247" s="3" t="s">
        <v>73</v>
      </c>
      <c r="J247" s="5">
        <v>42.22</v>
      </c>
    </row>
    <row r="248" spans="1:10" ht="31.2" customHeight="1" x14ac:dyDescent="0.3">
      <c r="A248" s="2" t="s">
        <v>379</v>
      </c>
      <c r="B248" s="3" t="s">
        <v>32</v>
      </c>
      <c r="C248" s="3" t="s">
        <v>377</v>
      </c>
      <c r="D248" s="49" t="s">
        <v>378</v>
      </c>
      <c r="E248" s="50"/>
      <c r="F248" s="50"/>
      <c r="G248" s="50"/>
      <c r="H248" s="51"/>
      <c r="I248" s="3" t="s">
        <v>33</v>
      </c>
      <c r="J248" s="5">
        <v>1.85</v>
      </c>
    </row>
    <row r="249" spans="1:10" ht="19.8" customHeight="1" x14ac:dyDescent="0.3">
      <c r="A249" s="54" t="s">
        <v>380</v>
      </c>
      <c r="B249" s="55"/>
      <c r="C249" s="55"/>
      <c r="D249" s="55"/>
      <c r="E249" s="55"/>
      <c r="F249" s="55"/>
      <c r="G249" s="55"/>
      <c r="H249" s="55"/>
      <c r="I249" s="55"/>
      <c r="J249" s="56"/>
    </row>
    <row r="250" spans="1:10" ht="19.95" customHeight="1" x14ac:dyDescent="0.3">
      <c r="A250" s="8" t="s">
        <v>266</v>
      </c>
      <c r="B250" s="9"/>
      <c r="C250" s="9"/>
      <c r="D250" s="46" t="s">
        <v>101</v>
      </c>
      <c r="E250" s="47"/>
      <c r="F250" s="47"/>
      <c r="G250" s="47"/>
      <c r="H250" s="48"/>
      <c r="I250" s="9"/>
      <c r="J250" s="9"/>
    </row>
    <row r="251" spans="1:10" ht="43.8" customHeight="1" x14ac:dyDescent="0.3">
      <c r="A251" s="2" t="s">
        <v>267</v>
      </c>
      <c r="B251" s="3" t="s">
        <v>32</v>
      </c>
      <c r="C251" s="3" t="s">
        <v>109</v>
      </c>
      <c r="D251" s="49" t="s">
        <v>110</v>
      </c>
      <c r="E251" s="50"/>
      <c r="F251" s="50"/>
      <c r="G251" s="50"/>
      <c r="H251" s="51"/>
      <c r="I251" s="3" t="s">
        <v>33</v>
      </c>
      <c r="J251" s="5">
        <f>E253</f>
        <v>2.2000000000000002</v>
      </c>
    </row>
    <row r="252" spans="1:10" ht="19.8" customHeight="1" x14ac:dyDescent="0.3">
      <c r="A252" s="57" t="s">
        <v>292</v>
      </c>
      <c r="B252" s="58"/>
      <c r="C252" s="22" t="s">
        <v>284</v>
      </c>
      <c r="D252" s="22" t="s">
        <v>291</v>
      </c>
      <c r="E252" s="26" t="s">
        <v>286</v>
      </c>
      <c r="F252" s="19"/>
      <c r="G252" s="19"/>
      <c r="H252" s="19"/>
      <c r="I252" s="18"/>
      <c r="J252" s="20"/>
    </row>
    <row r="253" spans="1:10" ht="19.95" customHeight="1" x14ac:dyDescent="0.3">
      <c r="A253" s="52" t="s">
        <v>328</v>
      </c>
      <c r="B253" s="53"/>
      <c r="C253" s="25">
        <v>1</v>
      </c>
      <c r="D253" s="29">
        <v>2.2000000000000002</v>
      </c>
      <c r="E253" s="28">
        <f>ROUND(C253*D253,2)</f>
        <v>2.2000000000000002</v>
      </c>
      <c r="F253" s="19"/>
      <c r="G253" s="19"/>
      <c r="H253" s="19"/>
      <c r="I253" s="18"/>
      <c r="J253" s="20"/>
    </row>
    <row r="254" spans="1:10" ht="19.95" customHeight="1" x14ac:dyDescent="0.3">
      <c r="A254" s="17"/>
      <c r="B254" s="18"/>
      <c r="C254" s="18"/>
      <c r="D254" s="19"/>
      <c r="E254" s="19"/>
      <c r="F254" s="19"/>
      <c r="G254" s="19"/>
      <c r="H254" s="19"/>
      <c r="I254" s="18"/>
      <c r="J254" s="20"/>
    </row>
    <row r="255" spans="1:10" ht="37.799999999999997" customHeight="1" x14ac:dyDescent="0.3">
      <c r="A255" s="2" t="s">
        <v>268</v>
      </c>
      <c r="B255" s="3" t="s">
        <v>32</v>
      </c>
      <c r="C255" s="3" t="s">
        <v>269</v>
      </c>
      <c r="D255" s="49" t="s">
        <v>270</v>
      </c>
      <c r="E255" s="50"/>
      <c r="F255" s="50"/>
      <c r="G255" s="50"/>
      <c r="H255" s="51"/>
      <c r="I255" s="3" t="s">
        <v>33</v>
      </c>
      <c r="J255" s="5">
        <f>E257</f>
        <v>9.6</v>
      </c>
    </row>
    <row r="256" spans="1:10" ht="19.8" customHeight="1" x14ac:dyDescent="0.3">
      <c r="A256" s="57" t="s">
        <v>292</v>
      </c>
      <c r="B256" s="58"/>
      <c r="C256" s="22" t="s">
        <v>284</v>
      </c>
      <c r="D256" s="22" t="s">
        <v>291</v>
      </c>
      <c r="E256" s="26" t="s">
        <v>286</v>
      </c>
      <c r="F256" s="19"/>
      <c r="G256" s="19"/>
      <c r="H256" s="19"/>
      <c r="I256" s="18"/>
      <c r="J256" s="20"/>
    </row>
    <row r="257" spans="1:10" ht="19.95" customHeight="1" x14ac:dyDescent="0.3">
      <c r="A257" s="52" t="s">
        <v>328</v>
      </c>
      <c r="B257" s="53"/>
      <c r="C257" s="25">
        <v>3.2</v>
      </c>
      <c r="D257" s="29">
        <v>3</v>
      </c>
      <c r="E257" s="28">
        <f>ROUND(C257*D257,2)</f>
        <v>9.6</v>
      </c>
      <c r="F257" s="19"/>
      <c r="G257" s="19"/>
      <c r="H257" s="19"/>
      <c r="I257" s="18"/>
      <c r="J257" s="20"/>
    </row>
    <row r="258" spans="1:10" ht="19.95" customHeight="1" x14ac:dyDescent="0.3">
      <c r="A258" s="17"/>
      <c r="B258" s="18"/>
      <c r="C258" s="18"/>
      <c r="D258" s="19"/>
      <c r="E258" s="19"/>
      <c r="F258" s="19"/>
      <c r="G258" s="19"/>
      <c r="H258" s="19"/>
      <c r="I258" s="18"/>
      <c r="J258" s="20"/>
    </row>
    <row r="259" spans="1:10" ht="19.95" customHeight="1" x14ac:dyDescent="0.3">
      <c r="A259" s="8" t="s">
        <v>271</v>
      </c>
      <c r="B259" s="9"/>
      <c r="C259" s="9"/>
      <c r="D259" s="46" t="s">
        <v>120</v>
      </c>
      <c r="E259" s="47"/>
      <c r="F259" s="47"/>
      <c r="G259" s="47"/>
      <c r="H259" s="48"/>
      <c r="I259" s="9"/>
      <c r="J259" s="9"/>
    </row>
    <row r="260" spans="1:10" ht="19.95" customHeight="1" x14ac:dyDescent="0.3">
      <c r="A260" s="2" t="s">
        <v>272</v>
      </c>
      <c r="B260" s="3" t="s">
        <v>84</v>
      </c>
      <c r="C260" s="3" t="s">
        <v>122</v>
      </c>
      <c r="D260" s="49" t="s">
        <v>123</v>
      </c>
      <c r="E260" s="50"/>
      <c r="F260" s="50"/>
      <c r="G260" s="50"/>
      <c r="H260" s="51"/>
      <c r="I260" s="3" t="s">
        <v>33</v>
      </c>
      <c r="J260" s="5">
        <f>J217</f>
        <v>200.57999999999998</v>
      </c>
    </row>
    <row r="261" spans="1:10" ht="19.95" customHeight="1" x14ac:dyDescent="0.3">
      <c r="A261" s="2" t="s">
        <v>273</v>
      </c>
      <c r="B261" s="3" t="s">
        <v>17</v>
      </c>
      <c r="C261" s="3" t="s">
        <v>125</v>
      </c>
      <c r="D261" s="49" t="s">
        <v>126</v>
      </c>
      <c r="E261" s="50"/>
      <c r="F261" s="50"/>
      <c r="G261" s="50"/>
      <c r="H261" s="51"/>
      <c r="I261" s="3" t="s">
        <v>18</v>
      </c>
      <c r="J261" s="5">
        <f>J260</f>
        <v>200.57999999999998</v>
      </c>
    </row>
    <row r="262" spans="1:10" ht="19.95" customHeight="1" x14ac:dyDescent="0.3">
      <c r="A262" s="2" t="s">
        <v>274</v>
      </c>
      <c r="B262" s="3" t="s">
        <v>17</v>
      </c>
      <c r="C262" s="3" t="s">
        <v>275</v>
      </c>
      <c r="D262" s="49" t="s">
        <v>276</v>
      </c>
      <c r="E262" s="50"/>
      <c r="F262" s="50"/>
      <c r="G262" s="50"/>
      <c r="H262" s="51"/>
      <c r="I262" s="3" t="s">
        <v>18</v>
      </c>
      <c r="J262" s="5">
        <f>J260</f>
        <v>200.57999999999998</v>
      </c>
    </row>
    <row r="263" spans="1:10" ht="31.2" customHeight="1" x14ac:dyDescent="0.3">
      <c r="A263" s="2" t="s">
        <v>277</v>
      </c>
      <c r="B263" s="3" t="s">
        <v>32</v>
      </c>
      <c r="C263" s="3" t="s">
        <v>278</v>
      </c>
      <c r="D263" s="49" t="s">
        <v>279</v>
      </c>
      <c r="E263" s="50"/>
      <c r="F263" s="50"/>
      <c r="G263" s="50"/>
      <c r="H263" s="51"/>
      <c r="I263" s="3" t="s">
        <v>33</v>
      </c>
      <c r="J263" s="5">
        <f>E268</f>
        <v>84</v>
      </c>
    </row>
    <row r="264" spans="1:10" ht="19.8" customHeight="1" x14ac:dyDescent="0.3">
      <c r="A264" s="57" t="s">
        <v>329</v>
      </c>
      <c r="B264" s="58"/>
      <c r="C264" s="18" t="s">
        <v>286</v>
      </c>
      <c r="D264" s="22" t="s">
        <v>307</v>
      </c>
      <c r="E264" s="22" t="s">
        <v>333</v>
      </c>
      <c r="F264" s="19"/>
      <c r="G264" s="19"/>
      <c r="H264" s="19"/>
      <c r="I264" s="18"/>
      <c r="J264" s="20"/>
    </row>
    <row r="265" spans="1:10" ht="19.95" customHeight="1" x14ac:dyDescent="0.3">
      <c r="A265" s="57" t="s">
        <v>330</v>
      </c>
      <c r="B265" s="58"/>
      <c r="C265" s="25">
        <f>J255</f>
        <v>9.6</v>
      </c>
      <c r="D265" s="29">
        <v>2</v>
      </c>
      <c r="E265" s="29">
        <f>ROUND(C265*D265,2)</f>
        <v>19.2</v>
      </c>
      <c r="F265" s="19"/>
      <c r="G265" s="19"/>
      <c r="H265" s="19"/>
      <c r="I265" s="18"/>
      <c r="J265" s="20"/>
    </row>
    <row r="266" spans="1:10" ht="19.95" customHeight="1" x14ac:dyDescent="0.3">
      <c r="A266" s="57" t="s">
        <v>331</v>
      </c>
      <c r="B266" s="58"/>
      <c r="C266" s="25">
        <f>J251</f>
        <v>2.2000000000000002</v>
      </c>
      <c r="D266" s="29">
        <v>2</v>
      </c>
      <c r="E266" s="29">
        <f t="shared" ref="E266:E267" si="14">ROUND(C266*D266,2)</f>
        <v>4.4000000000000004</v>
      </c>
      <c r="F266" s="19"/>
      <c r="G266" s="19"/>
      <c r="H266" s="19"/>
      <c r="I266" s="18"/>
      <c r="J266" s="20"/>
    </row>
    <row r="267" spans="1:10" ht="19.95" customHeight="1" x14ac:dyDescent="0.3">
      <c r="A267" s="57" t="s">
        <v>332</v>
      </c>
      <c r="B267" s="58"/>
      <c r="C267" s="32">
        <f>0.4+35.7+24.3</f>
        <v>60.400000000000006</v>
      </c>
      <c r="D267" s="29">
        <v>1</v>
      </c>
      <c r="E267" s="29">
        <f t="shared" si="14"/>
        <v>60.4</v>
      </c>
      <c r="F267" s="19"/>
      <c r="G267" s="19"/>
      <c r="H267" s="19"/>
      <c r="I267" s="18"/>
      <c r="J267" s="20"/>
    </row>
    <row r="268" spans="1:10" ht="19.95" customHeight="1" x14ac:dyDescent="0.3">
      <c r="A268" s="17"/>
      <c r="B268" s="18"/>
      <c r="C268" s="18"/>
      <c r="D268" s="26" t="s">
        <v>305</v>
      </c>
      <c r="E268" s="30">
        <f>SUM(E265:E267)</f>
        <v>84</v>
      </c>
      <c r="F268" s="19"/>
      <c r="G268" s="19"/>
      <c r="H268" s="19"/>
      <c r="I268" s="18"/>
      <c r="J268" s="20"/>
    </row>
    <row r="269" spans="1:10" ht="19.95" customHeight="1" x14ac:dyDescent="0.3">
      <c r="A269" s="17"/>
      <c r="B269" s="18"/>
      <c r="C269" s="18"/>
      <c r="D269" s="19"/>
      <c r="E269" s="19"/>
      <c r="F269" s="19"/>
      <c r="G269" s="19"/>
      <c r="H269" s="19"/>
      <c r="I269" s="18"/>
      <c r="J269" s="20"/>
    </row>
    <row r="270" spans="1:10" ht="38.4" customHeight="1" x14ac:dyDescent="0.3">
      <c r="A270" s="2" t="s">
        <v>280</v>
      </c>
      <c r="B270" s="3" t="s">
        <v>17</v>
      </c>
      <c r="C270" s="3" t="s">
        <v>146</v>
      </c>
      <c r="D270" s="49" t="s">
        <v>147</v>
      </c>
      <c r="E270" s="50"/>
      <c r="F270" s="50"/>
      <c r="G270" s="50"/>
      <c r="H270" s="51"/>
      <c r="I270" s="3" t="s">
        <v>18</v>
      </c>
      <c r="J270" s="5">
        <f>J263</f>
        <v>84</v>
      </c>
    </row>
    <row r="271" spans="1:10" ht="15" customHeight="1" x14ac:dyDescent="0.3">
      <c r="A271" s="142" t="s">
        <v>385</v>
      </c>
      <c r="B271" s="142"/>
      <c r="C271" s="142"/>
      <c r="D271" s="142"/>
      <c r="E271" s="142"/>
      <c r="F271" s="143" t="s">
        <v>386</v>
      </c>
      <c r="G271" s="143"/>
      <c r="H271" s="143"/>
      <c r="I271" s="143"/>
      <c r="J271" s="143"/>
    </row>
    <row r="272" spans="1:10" ht="56.4" customHeight="1" x14ac:dyDescent="0.3">
      <c r="A272" s="144" t="s">
        <v>387</v>
      </c>
      <c r="B272" s="144"/>
      <c r="C272" s="144"/>
      <c r="D272" s="144"/>
      <c r="E272" s="144"/>
      <c r="F272" s="144" t="s">
        <v>388</v>
      </c>
      <c r="G272" s="144"/>
      <c r="H272" s="144"/>
      <c r="I272" s="144"/>
      <c r="J272" s="144"/>
    </row>
  </sheetData>
  <mergeCells count="200">
    <mergeCell ref="A271:E271"/>
    <mergeCell ref="F271:J271"/>
    <mergeCell ref="A272:E272"/>
    <mergeCell ref="F272:J272"/>
    <mergeCell ref="I3:J3"/>
    <mergeCell ref="A3:H3"/>
    <mergeCell ref="G2:I2"/>
    <mergeCell ref="A2:F2"/>
    <mergeCell ref="A1:J1"/>
    <mergeCell ref="A211:J211"/>
    <mergeCell ref="D16:H16"/>
    <mergeCell ref="A17:J17"/>
    <mergeCell ref="D248:H248"/>
    <mergeCell ref="A249:J249"/>
    <mergeCell ref="D223:H223"/>
    <mergeCell ref="A137:J137"/>
    <mergeCell ref="A194:J194"/>
    <mergeCell ref="D170:F170"/>
    <mergeCell ref="G170:I170"/>
    <mergeCell ref="J170:J171"/>
    <mergeCell ref="C170:C171"/>
    <mergeCell ref="B170:B171"/>
    <mergeCell ref="A170:A171"/>
    <mergeCell ref="A188:B188"/>
    <mergeCell ref="A189:B189"/>
    <mergeCell ref="A190:B190"/>
    <mergeCell ref="A191:B191"/>
    <mergeCell ref="A199:A200"/>
    <mergeCell ref="B199:B200"/>
    <mergeCell ref="C199:C200"/>
    <mergeCell ref="D199:F199"/>
    <mergeCell ref="G199:I199"/>
    <mergeCell ref="J199:J200"/>
    <mergeCell ref="D165:H165"/>
    <mergeCell ref="D154:H154"/>
    <mergeCell ref="D149:H149"/>
    <mergeCell ref="D138:H138"/>
    <mergeCell ref="D208:H208"/>
    <mergeCell ref="D224:H224"/>
    <mergeCell ref="D4:H4"/>
    <mergeCell ref="D259:H259"/>
    <mergeCell ref="D255:H255"/>
    <mergeCell ref="D251:H251"/>
    <mergeCell ref="D250:H250"/>
    <mergeCell ref="D247:H247"/>
    <mergeCell ref="D241:H241"/>
    <mergeCell ref="D270:H270"/>
    <mergeCell ref="D263:H263"/>
    <mergeCell ref="D262:H262"/>
    <mergeCell ref="D261:H261"/>
    <mergeCell ref="D260:H260"/>
    <mergeCell ref="D234:H234"/>
    <mergeCell ref="D233:H233"/>
    <mergeCell ref="D232:H232"/>
    <mergeCell ref="D231:H231"/>
    <mergeCell ref="D230:H230"/>
    <mergeCell ref="D240:H240"/>
    <mergeCell ref="D239:H239"/>
    <mergeCell ref="D238:H238"/>
    <mergeCell ref="D237:H237"/>
    <mergeCell ref="D236:H236"/>
    <mergeCell ref="D235:H235"/>
    <mergeCell ref="A126:B126"/>
    <mergeCell ref="A127:B127"/>
    <mergeCell ref="A124:B124"/>
    <mergeCell ref="A128:B128"/>
    <mergeCell ref="D136:H136"/>
    <mergeCell ref="D135:H135"/>
    <mergeCell ref="D198:H198"/>
    <mergeCell ref="D196:H196"/>
    <mergeCell ref="D195:H195"/>
    <mergeCell ref="D185:H185"/>
    <mergeCell ref="D180:H180"/>
    <mergeCell ref="D169:H169"/>
    <mergeCell ref="D187:H187"/>
    <mergeCell ref="D193:H193"/>
    <mergeCell ref="A186:J186"/>
    <mergeCell ref="A167:B167"/>
    <mergeCell ref="A166:B166"/>
    <mergeCell ref="A181:B181"/>
    <mergeCell ref="A182:B182"/>
    <mergeCell ref="A183:B183"/>
    <mergeCell ref="A197:J197"/>
    <mergeCell ref="D72:H72"/>
    <mergeCell ref="D71:H71"/>
    <mergeCell ref="D70:H70"/>
    <mergeCell ref="D66:H66"/>
    <mergeCell ref="D65:H65"/>
    <mergeCell ref="D64:H64"/>
    <mergeCell ref="D92:H92"/>
    <mergeCell ref="D91:H91"/>
    <mergeCell ref="D90:H90"/>
    <mergeCell ref="D89:H89"/>
    <mergeCell ref="D74:H74"/>
    <mergeCell ref="D73:H73"/>
    <mergeCell ref="D6:H6"/>
    <mergeCell ref="D5:H5"/>
    <mergeCell ref="D32:H32"/>
    <mergeCell ref="D28:H28"/>
    <mergeCell ref="D27:H27"/>
    <mergeCell ref="D26:H26"/>
    <mergeCell ref="D25:H25"/>
    <mergeCell ref="D24:H24"/>
    <mergeCell ref="D51:H51"/>
    <mergeCell ref="D50:H50"/>
    <mergeCell ref="D49:H49"/>
    <mergeCell ref="D48:H48"/>
    <mergeCell ref="D47:H47"/>
    <mergeCell ref="D33:H33"/>
    <mergeCell ref="A7:C7"/>
    <mergeCell ref="E7:G7"/>
    <mergeCell ref="A12:J12"/>
    <mergeCell ref="A29:B29"/>
    <mergeCell ref="A30:B30"/>
    <mergeCell ref="A67:B67"/>
    <mergeCell ref="A43:B43"/>
    <mergeCell ref="A44:B44"/>
    <mergeCell ref="D23:H23"/>
    <mergeCell ref="D22:H22"/>
    <mergeCell ref="D21:H21"/>
    <mergeCell ref="D11:H11"/>
    <mergeCell ref="D57:H57"/>
    <mergeCell ref="D56:H56"/>
    <mergeCell ref="D55:H55"/>
    <mergeCell ref="D54:H54"/>
    <mergeCell ref="D53:H53"/>
    <mergeCell ref="D52:H52"/>
    <mergeCell ref="D63:H63"/>
    <mergeCell ref="D62:H62"/>
    <mergeCell ref="D61:H61"/>
    <mergeCell ref="D60:H60"/>
    <mergeCell ref="D59:H59"/>
    <mergeCell ref="D58:H58"/>
    <mergeCell ref="A75:B75"/>
    <mergeCell ref="A76:B76"/>
    <mergeCell ref="A77:B77"/>
    <mergeCell ref="A78:B78"/>
    <mergeCell ref="A79:B79"/>
    <mergeCell ref="A80:B80"/>
    <mergeCell ref="A68:B68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96:B96"/>
    <mergeCell ref="A97:B97"/>
    <mergeCell ref="A98:B98"/>
    <mergeCell ref="A109:J109"/>
    <mergeCell ref="D107:H107"/>
    <mergeCell ref="D106:H106"/>
    <mergeCell ref="D102:H102"/>
    <mergeCell ref="A81:B81"/>
    <mergeCell ref="A82:B82"/>
    <mergeCell ref="A83:B83"/>
    <mergeCell ref="A84:B84"/>
    <mergeCell ref="A85:B85"/>
    <mergeCell ref="A86:B86"/>
    <mergeCell ref="D95:H95"/>
    <mergeCell ref="D94:H94"/>
    <mergeCell ref="D93:H93"/>
    <mergeCell ref="D108:H108"/>
    <mergeCell ref="A264:B264"/>
    <mergeCell ref="A265:B265"/>
    <mergeCell ref="A266:B266"/>
    <mergeCell ref="A267:B267"/>
    <mergeCell ref="A242:B242"/>
    <mergeCell ref="A243:B243"/>
    <mergeCell ref="A244:B244"/>
    <mergeCell ref="A252:B252"/>
    <mergeCell ref="A253:B253"/>
    <mergeCell ref="A256:B256"/>
    <mergeCell ref="D229:H229"/>
    <mergeCell ref="D228:H228"/>
    <mergeCell ref="D227:H227"/>
    <mergeCell ref="D226:H226"/>
    <mergeCell ref="D225:H225"/>
    <mergeCell ref="A99:B99"/>
    <mergeCell ref="A209:J209"/>
    <mergeCell ref="A257:B257"/>
    <mergeCell ref="D217:H217"/>
    <mergeCell ref="D213:H213"/>
    <mergeCell ref="D212:H212"/>
    <mergeCell ref="D210:H210"/>
    <mergeCell ref="A131:B131"/>
    <mergeCell ref="A132:B132"/>
    <mergeCell ref="A133:B133"/>
    <mergeCell ref="A103:B103"/>
    <mergeCell ref="A104:B104"/>
    <mergeCell ref="D130:H130"/>
    <mergeCell ref="D123:H123"/>
    <mergeCell ref="D118:H118"/>
    <mergeCell ref="D113:H113"/>
    <mergeCell ref="A114:J114"/>
    <mergeCell ref="A119:J119"/>
    <mergeCell ref="A125:B125"/>
  </mergeCells>
  <phoneticPr fontId="5" type="noConversion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Página &amp;P de &amp;N</oddFooter>
  </headerFooter>
  <rowBreaks count="1" manualBreakCount="1">
    <brk id="262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I111"/>
  <sheetViews>
    <sheetView tabSelected="1" workbookViewId="0">
      <selection sqref="A1:I1"/>
    </sheetView>
  </sheetViews>
  <sheetFormatPr defaultRowHeight="14.4" x14ac:dyDescent="0.3"/>
  <cols>
    <col min="1" max="2" width="7.44140625" customWidth="1"/>
    <col min="3" max="3" width="8.33203125" customWidth="1"/>
    <col min="4" max="4" width="39.33203125" customWidth="1"/>
    <col min="5" max="5" width="6.6640625" customWidth="1"/>
    <col min="6" max="6" width="9.77734375" customWidth="1"/>
    <col min="7" max="8" width="10.33203125" customWidth="1"/>
    <col min="9" max="9" width="10.6640625" customWidth="1"/>
  </cols>
  <sheetData>
    <row r="1" spans="1:9" ht="31.2" customHeight="1" x14ac:dyDescent="0.3">
      <c r="A1" s="161" t="s">
        <v>397</v>
      </c>
      <c r="B1" s="162"/>
      <c r="C1" s="162"/>
      <c r="D1" s="162"/>
      <c r="E1" s="162"/>
      <c r="F1" s="162"/>
      <c r="G1" s="162"/>
      <c r="H1" s="162"/>
      <c r="I1" s="163"/>
    </row>
    <row r="2" spans="1:9" ht="12" customHeight="1" x14ac:dyDescent="0.3">
      <c r="A2" s="164" t="s">
        <v>395</v>
      </c>
      <c r="B2" s="145"/>
      <c r="C2" s="145"/>
      <c r="D2" s="145"/>
      <c r="E2" s="145"/>
      <c r="F2" s="148"/>
      <c r="G2" s="151" t="s">
        <v>398</v>
      </c>
      <c r="H2" s="152">
        <v>0.3054</v>
      </c>
      <c r="I2" s="165" t="s">
        <v>389</v>
      </c>
    </row>
    <row r="3" spans="1:9" ht="12" customHeight="1" x14ac:dyDescent="0.3">
      <c r="A3" s="166" t="s">
        <v>394</v>
      </c>
      <c r="B3" s="159"/>
      <c r="C3" s="160"/>
      <c r="D3" s="148" t="s">
        <v>391</v>
      </c>
      <c r="E3" s="149"/>
      <c r="F3" s="146" t="s">
        <v>393</v>
      </c>
      <c r="G3" s="150"/>
      <c r="H3" s="150"/>
      <c r="I3" s="167"/>
    </row>
    <row r="4" spans="1:9" ht="16.8" customHeight="1" x14ac:dyDescent="0.3">
      <c r="A4" s="164" t="s">
        <v>396</v>
      </c>
      <c r="B4" s="145"/>
      <c r="C4" s="145"/>
      <c r="D4" s="145"/>
      <c r="E4" s="145"/>
      <c r="F4" s="147" t="s">
        <v>400</v>
      </c>
      <c r="G4" s="147"/>
      <c r="H4" s="147" t="s">
        <v>401</v>
      </c>
      <c r="I4" s="168"/>
    </row>
    <row r="5" spans="1:9" ht="22.05" customHeight="1" x14ac:dyDescent="0.3">
      <c r="A5" s="169" t="s">
        <v>0</v>
      </c>
      <c r="B5" s="1" t="s">
        <v>3</v>
      </c>
      <c r="C5" s="1" t="s">
        <v>1</v>
      </c>
      <c r="D5" s="1" t="s">
        <v>2</v>
      </c>
      <c r="E5" s="1" t="s">
        <v>4</v>
      </c>
      <c r="F5" s="1" t="s">
        <v>5</v>
      </c>
      <c r="G5" s="1" t="s">
        <v>282</v>
      </c>
      <c r="H5" s="1" t="s">
        <v>283</v>
      </c>
      <c r="I5" s="170" t="s">
        <v>6</v>
      </c>
    </row>
    <row r="6" spans="1:9" ht="19.95" customHeight="1" x14ac:dyDescent="0.3">
      <c r="A6" s="171" t="s">
        <v>7</v>
      </c>
      <c r="B6" s="10"/>
      <c r="C6" s="10"/>
      <c r="D6" s="10" t="s">
        <v>8</v>
      </c>
      <c r="E6" s="10"/>
      <c r="F6" s="10"/>
      <c r="G6" s="10"/>
      <c r="H6" s="7"/>
      <c r="I6" s="172">
        <f>SUM(I7:I9)</f>
        <v>1474.28</v>
      </c>
    </row>
    <row r="7" spans="1:9" ht="18.600000000000001" customHeight="1" x14ac:dyDescent="0.3">
      <c r="A7" s="173" t="s">
        <v>9</v>
      </c>
      <c r="B7" s="3" t="s">
        <v>12</v>
      </c>
      <c r="C7" s="3" t="s">
        <v>10</v>
      </c>
      <c r="D7" s="4" t="s">
        <v>11</v>
      </c>
      <c r="E7" s="3" t="s">
        <v>13</v>
      </c>
      <c r="F7" s="5">
        <f>VLOOKUP(A7,CALCULO!$A$5:$J$270,10,FALSE)</f>
        <v>0.25</v>
      </c>
      <c r="G7" s="6">
        <v>1500</v>
      </c>
      <c r="H7" s="6">
        <f>ROUND(G7*(1+$H$2),2)</f>
        <v>1958.1</v>
      </c>
      <c r="I7" s="174">
        <f>ROUND(F7*H7,2)</f>
        <v>489.53</v>
      </c>
    </row>
    <row r="8" spans="1:9" x14ac:dyDescent="0.3">
      <c r="A8" s="173" t="s">
        <v>14</v>
      </c>
      <c r="B8" s="3" t="s">
        <v>17</v>
      </c>
      <c r="C8" s="3" t="s">
        <v>15</v>
      </c>
      <c r="D8" s="4" t="s">
        <v>16</v>
      </c>
      <c r="E8" s="3" t="s">
        <v>18</v>
      </c>
      <c r="F8" s="5">
        <f>VLOOKUP(A8,CALCULO!$A$5:$J$270,10,FALSE)</f>
        <v>7.48</v>
      </c>
      <c r="G8" s="6">
        <v>96.75</v>
      </c>
      <c r="H8" s="6">
        <f t="shared" ref="H8:H9" si="0">ROUND(G8*(1+$H$2),2)</f>
        <v>126.3</v>
      </c>
      <c r="I8" s="174">
        <f>ROUND(F8*H8,2)</f>
        <v>944.72</v>
      </c>
    </row>
    <row r="9" spans="1:9" ht="23.4" x14ac:dyDescent="0.3">
      <c r="A9" s="173" t="s">
        <v>374</v>
      </c>
      <c r="B9" s="3" t="s">
        <v>32</v>
      </c>
      <c r="C9" s="3" t="s">
        <v>373</v>
      </c>
      <c r="D9" s="4" t="s">
        <v>375</v>
      </c>
      <c r="E9" s="3" t="s">
        <v>155</v>
      </c>
      <c r="F9" s="5">
        <f>VLOOKUP(A9,CALCULO!$A$5:$J$270,10,FALSE)</f>
        <v>0.25</v>
      </c>
      <c r="G9" s="6">
        <v>122.65</v>
      </c>
      <c r="H9" s="6">
        <f t="shared" si="0"/>
        <v>160.11000000000001</v>
      </c>
      <c r="I9" s="174">
        <f>ROUND(F9*H9,2)</f>
        <v>40.03</v>
      </c>
    </row>
    <row r="10" spans="1:9" ht="19.95" customHeight="1" x14ac:dyDescent="0.3">
      <c r="A10" s="171" t="s">
        <v>19</v>
      </c>
      <c r="B10" s="10"/>
      <c r="C10" s="10"/>
      <c r="D10" s="10" t="s">
        <v>20</v>
      </c>
      <c r="E10" s="10"/>
      <c r="F10" s="10"/>
      <c r="G10" s="10"/>
      <c r="H10" s="7"/>
      <c r="I10" s="172">
        <f>I11+I18+I21+I36+I40+I43</f>
        <v>118887.55</v>
      </c>
    </row>
    <row r="11" spans="1:9" ht="19.95" customHeight="1" x14ac:dyDescent="0.3">
      <c r="A11" s="175" t="s">
        <v>21</v>
      </c>
      <c r="B11" s="9"/>
      <c r="C11" s="9"/>
      <c r="D11" s="9" t="s">
        <v>22</v>
      </c>
      <c r="E11" s="9"/>
      <c r="F11" s="9"/>
      <c r="G11" s="9"/>
      <c r="H11" s="8"/>
      <c r="I11" s="176">
        <f>SUM(I12:I17)</f>
        <v>29937.27</v>
      </c>
    </row>
    <row r="12" spans="1:9" ht="25.8" customHeight="1" x14ac:dyDescent="0.3">
      <c r="A12" s="173" t="s">
        <v>23</v>
      </c>
      <c r="B12" s="3" t="s">
        <v>17</v>
      </c>
      <c r="C12" s="3" t="s">
        <v>24</v>
      </c>
      <c r="D12" s="4" t="s">
        <v>25</v>
      </c>
      <c r="E12" s="3" t="s">
        <v>18</v>
      </c>
      <c r="F12" s="5">
        <f>VLOOKUP(A12,CALCULO!$A$5:$J$270,10,FALSE)</f>
        <v>104.43</v>
      </c>
      <c r="G12" s="6">
        <v>3.68</v>
      </c>
      <c r="H12" s="6">
        <f t="shared" ref="H12:H17" si="1">ROUND(G12*(1+$H$2),2)</f>
        <v>4.8</v>
      </c>
      <c r="I12" s="174">
        <f>ROUND(F12*H12,2)</f>
        <v>501.26</v>
      </c>
    </row>
    <row r="13" spans="1:9" ht="21" customHeight="1" x14ac:dyDescent="0.3">
      <c r="A13" s="173" t="s">
        <v>26</v>
      </c>
      <c r="B13" s="3" t="s">
        <v>17</v>
      </c>
      <c r="C13" s="3" t="s">
        <v>27</v>
      </c>
      <c r="D13" s="4" t="s">
        <v>28</v>
      </c>
      <c r="E13" s="3" t="s">
        <v>18</v>
      </c>
      <c r="F13" s="5">
        <f>VLOOKUP(A13,CALCULO!$A$5:$J$270,10,FALSE)</f>
        <v>104.43</v>
      </c>
      <c r="G13" s="6">
        <v>43.12</v>
      </c>
      <c r="H13" s="6">
        <f t="shared" si="1"/>
        <v>56.29</v>
      </c>
      <c r="I13" s="174">
        <f t="shared" ref="I13:I52" si="2">ROUND(F13*H13,2)</f>
        <v>5878.36</v>
      </c>
    </row>
    <row r="14" spans="1:9" ht="27.6" customHeight="1" x14ac:dyDescent="0.3">
      <c r="A14" s="173" t="s">
        <v>29</v>
      </c>
      <c r="B14" s="3" t="s">
        <v>32</v>
      </c>
      <c r="C14" s="3" t="s">
        <v>30</v>
      </c>
      <c r="D14" s="4" t="s">
        <v>31</v>
      </c>
      <c r="E14" s="3" t="s">
        <v>33</v>
      </c>
      <c r="F14" s="5">
        <f>VLOOKUP(A14,CALCULO!$A$5:$J$270,10,FALSE)</f>
        <v>104.43</v>
      </c>
      <c r="G14" s="6">
        <v>41.63</v>
      </c>
      <c r="H14" s="6">
        <f t="shared" si="1"/>
        <v>54.34</v>
      </c>
      <c r="I14" s="174">
        <f t="shared" si="2"/>
        <v>5674.73</v>
      </c>
    </row>
    <row r="15" spans="1:9" ht="30" customHeight="1" x14ac:dyDescent="0.3">
      <c r="A15" s="173" t="s">
        <v>34</v>
      </c>
      <c r="B15" s="3" t="s">
        <v>17</v>
      </c>
      <c r="C15" s="3" t="s">
        <v>35</v>
      </c>
      <c r="D15" s="4" t="s">
        <v>36</v>
      </c>
      <c r="E15" s="3" t="s">
        <v>18</v>
      </c>
      <c r="F15" s="5">
        <f>VLOOKUP(A15,CALCULO!$A$5:$J$270,10,FALSE)</f>
        <v>104.43</v>
      </c>
      <c r="G15" s="6">
        <v>114.69</v>
      </c>
      <c r="H15" s="6">
        <f t="shared" si="1"/>
        <v>149.72</v>
      </c>
      <c r="I15" s="174">
        <f t="shared" si="2"/>
        <v>15635.26</v>
      </c>
    </row>
    <row r="16" spans="1:9" ht="23.4" x14ac:dyDescent="0.3">
      <c r="A16" s="173" t="s">
        <v>37</v>
      </c>
      <c r="B16" s="3" t="s">
        <v>32</v>
      </c>
      <c r="C16" s="3" t="s">
        <v>38</v>
      </c>
      <c r="D16" s="4" t="s">
        <v>39</v>
      </c>
      <c r="E16" s="3" t="s">
        <v>40</v>
      </c>
      <c r="F16" s="5">
        <f>VLOOKUP(A16,CALCULO!$A$5:$J$270,10,FALSE)</f>
        <v>126.41</v>
      </c>
      <c r="G16" s="6">
        <v>13.19</v>
      </c>
      <c r="H16" s="6">
        <f t="shared" si="1"/>
        <v>17.22</v>
      </c>
      <c r="I16" s="174">
        <f t="shared" si="2"/>
        <v>2176.7800000000002</v>
      </c>
    </row>
    <row r="17" spans="1:9" ht="33" customHeight="1" x14ac:dyDescent="0.3">
      <c r="A17" s="173" t="s">
        <v>41</v>
      </c>
      <c r="B17" s="3" t="s">
        <v>32</v>
      </c>
      <c r="C17" s="3" t="s">
        <v>42</v>
      </c>
      <c r="D17" s="4" t="s">
        <v>43</v>
      </c>
      <c r="E17" s="3" t="s">
        <v>33</v>
      </c>
      <c r="F17" s="5">
        <f>VLOOKUP(A17,CALCULO!$A$5:$J$270,10,FALSE)</f>
        <v>0.16</v>
      </c>
      <c r="G17" s="6">
        <v>339.38</v>
      </c>
      <c r="H17" s="6">
        <f t="shared" si="1"/>
        <v>443.03</v>
      </c>
      <c r="I17" s="174">
        <f t="shared" si="2"/>
        <v>70.88</v>
      </c>
    </row>
    <row r="18" spans="1:9" ht="19.95" customHeight="1" x14ac:dyDescent="0.3">
      <c r="A18" s="175" t="s">
        <v>44</v>
      </c>
      <c r="B18" s="9"/>
      <c r="C18" s="9"/>
      <c r="D18" s="9" t="s">
        <v>45</v>
      </c>
      <c r="E18" s="9"/>
      <c r="F18" s="9"/>
      <c r="G18" s="9"/>
      <c r="H18" s="8"/>
      <c r="I18" s="176">
        <f>SUM(I19:I20)</f>
        <v>21532.519999999997</v>
      </c>
    </row>
    <row r="19" spans="1:9" ht="25.2" customHeight="1" x14ac:dyDescent="0.3">
      <c r="A19" s="173" t="s">
        <v>46</v>
      </c>
      <c r="B19" s="3" t="s">
        <v>32</v>
      </c>
      <c r="C19" s="3" t="s">
        <v>47</v>
      </c>
      <c r="D19" s="4" t="s">
        <v>48</v>
      </c>
      <c r="E19" s="3" t="s">
        <v>33</v>
      </c>
      <c r="F19" s="5">
        <f>VLOOKUP(A19,CALCULO!$A$5:$J$270,10,FALSE)</f>
        <v>344.18999999999994</v>
      </c>
      <c r="G19" s="6">
        <v>10.7</v>
      </c>
      <c r="H19" s="6">
        <f t="shared" ref="H19:H20" si="3">ROUND(G19*(1+$H$2),2)</f>
        <v>13.97</v>
      </c>
      <c r="I19" s="174">
        <f t="shared" si="2"/>
        <v>4808.33</v>
      </c>
    </row>
    <row r="20" spans="1:9" ht="30.6" customHeight="1" x14ac:dyDescent="0.3">
      <c r="A20" s="173" t="s">
        <v>49</v>
      </c>
      <c r="B20" s="3" t="s">
        <v>32</v>
      </c>
      <c r="C20" s="3" t="s">
        <v>50</v>
      </c>
      <c r="D20" s="4" t="s">
        <v>51</v>
      </c>
      <c r="E20" s="3" t="s">
        <v>33</v>
      </c>
      <c r="F20" s="5">
        <f>VLOOKUP(A20,CALCULO!$A$5:$J$270,10,FALSE)</f>
        <v>344.18999999999994</v>
      </c>
      <c r="G20" s="6">
        <v>37.22</v>
      </c>
      <c r="H20" s="6">
        <f t="shared" si="3"/>
        <v>48.59</v>
      </c>
      <c r="I20" s="174">
        <f t="shared" si="2"/>
        <v>16724.189999999999</v>
      </c>
    </row>
    <row r="21" spans="1:9" ht="19.95" customHeight="1" x14ac:dyDescent="0.3">
      <c r="A21" s="175" t="s">
        <v>52</v>
      </c>
      <c r="B21" s="9"/>
      <c r="C21" s="9"/>
      <c r="D21" s="9" t="s">
        <v>53</v>
      </c>
      <c r="E21" s="9"/>
      <c r="F21" s="9"/>
      <c r="G21" s="9"/>
      <c r="H21" s="8"/>
      <c r="I21" s="176">
        <f>SUM(I22:I35)</f>
        <v>14228.550000000001</v>
      </c>
    </row>
    <row r="22" spans="1:9" ht="33.6" customHeight="1" x14ac:dyDescent="0.3">
      <c r="A22" s="173" t="s">
        <v>54</v>
      </c>
      <c r="B22" s="3" t="s">
        <v>32</v>
      </c>
      <c r="C22" s="3" t="s">
        <v>55</v>
      </c>
      <c r="D22" s="4" t="s">
        <v>56</v>
      </c>
      <c r="E22" s="3" t="s">
        <v>40</v>
      </c>
      <c r="F22" s="5">
        <f>VLOOKUP(A22,CALCULO!$A$5:$J$270,10,FALSE)</f>
        <v>182.57</v>
      </c>
      <c r="G22" s="6">
        <v>3.19</v>
      </c>
      <c r="H22" s="6">
        <f t="shared" ref="H22:H35" si="4">ROUND(G22*(1+$H$2),2)</f>
        <v>4.16</v>
      </c>
      <c r="I22" s="174">
        <f t="shared" si="2"/>
        <v>759.49</v>
      </c>
    </row>
    <row r="23" spans="1:9" ht="33" customHeight="1" x14ac:dyDescent="0.3">
      <c r="A23" s="173" t="s">
        <v>57</v>
      </c>
      <c r="B23" s="3" t="s">
        <v>32</v>
      </c>
      <c r="C23" s="3" t="s">
        <v>58</v>
      </c>
      <c r="D23" s="4" t="s">
        <v>59</v>
      </c>
      <c r="E23" s="3" t="s">
        <v>40</v>
      </c>
      <c r="F23" s="5">
        <f>VLOOKUP(A23,CALCULO!$A$5:$J$270,10,FALSE)</f>
        <v>838.31</v>
      </c>
      <c r="G23" s="6">
        <v>4.5599999999999996</v>
      </c>
      <c r="H23" s="6">
        <f t="shared" si="4"/>
        <v>5.95</v>
      </c>
      <c r="I23" s="174">
        <f t="shared" si="2"/>
        <v>4987.9399999999996</v>
      </c>
    </row>
    <row r="24" spans="1:9" ht="15.6" x14ac:dyDescent="0.3">
      <c r="A24" s="173" t="s">
        <v>60</v>
      </c>
      <c r="B24" s="3" t="s">
        <v>17</v>
      </c>
      <c r="C24" s="3" t="s">
        <v>61</v>
      </c>
      <c r="D24" s="4" t="s">
        <v>62</v>
      </c>
      <c r="E24" s="3" t="s">
        <v>13</v>
      </c>
      <c r="F24" s="5">
        <f>VLOOKUP(A24,CALCULO!$A$5:$J$270,10,FALSE)</f>
        <v>3</v>
      </c>
      <c r="G24" s="6">
        <v>13.8</v>
      </c>
      <c r="H24" s="6">
        <f t="shared" si="4"/>
        <v>18.010000000000002</v>
      </c>
      <c r="I24" s="174">
        <f t="shared" si="2"/>
        <v>54.03</v>
      </c>
    </row>
    <row r="25" spans="1:9" ht="15.6" x14ac:dyDescent="0.3">
      <c r="A25" s="173" t="s">
        <v>63</v>
      </c>
      <c r="B25" s="3" t="s">
        <v>17</v>
      </c>
      <c r="C25" s="3" t="s">
        <v>64</v>
      </c>
      <c r="D25" s="4" t="s">
        <v>65</v>
      </c>
      <c r="E25" s="3" t="s">
        <v>13</v>
      </c>
      <c r="F25" s="5">
        <f>VLOOKUP(A25,CALCULO!$A$5:$J$270,10,FALSE)</f>
        <v>2</v>
      </c>
      <c r="G25" s="6">
        <v>13.8</v>
      </c>
      <c r="H25" s="6">
        <f t="shared" si="4"/>
        <v>18.010000000000002</v>
      </c>
      <c r="I25" s="174">
        <f t="shared" si="2"/>
        <v>36.020000000000003</v>
      </c>
    </row>
    <row r="26" spans="1:9" ht="15.6" x14ac:dyDescent="0.3">
      <c r="A26" s="173" t="s">
        <v>66</v>
      </c>
      <c r="B26" s="3" t="s">
        <v>32</v>
      </c>
      <c r="C26" s="3" t="s">
        <v>67</v>
      </c>
      <c r="D26" s="4" t="s">
        <v>68</v>
      </c>
      <c r="E26" s="3" t="s">
        <v>69</v>
      </c>
      <c r="F26" s="5">
        <f>VLOOKUP(A26,CALCULO!$A$5:$J$270,10,FALSE)</f>
        <v>9</v>
      </c>
      <c r="G26" s="6">
        <v>52.12</v>
      </c>
      <c r="H26" s="6">
        <f t="shared" si="4"/>
        <v>68.040000000000006</v>
      </c>
      <c r="I26" s="174">
        <f t="shared" si="2"/>
        <v>612.36</v>
      </c>
    </row>
    <row r="27" spans="1:9" ht="15.6" x14ac:dyDescent="0.3">
      <c r="A27" s="173" t="s">
        <v>70</v>
      </c>
      <c r="B27" s="3" t="s">
        <v>12</v>
      </c>
      <c r="C27" s="3" t="s">
        <v>71</v>
      </c>
      <c r="D27" s="4" t="s">
        <v>72</v>
      </c>
      <c r="E27" s="3" t="s">
        <v>73</v>
      </c>
      <c r="F27" s="5">
        <f>VLOOKUP(A27,CALCULO!$A$5:$J$270,10,FALSE)</f>
        <v>242.43</v>
      </c>
      <c r="G27" s="6">
        <v>8.48</v>
      </c>
      <c r="H27" s="6">
        <f t="shared" si="4"/>
        <v>11.07</v>
      </c>
      <c r="I27" s="174">
        <f t="shared" si="2"/>
        <v>2683.7</v>
      </c>
    </row>
    <row r="28" spans="1:9" ht="31.2" customHeight="1" x14ac:dyDescent="0.3">
      <c r="A28" s="173" t="s">
        <v>74</v>
      </c>
      <c r="B28" s="3" t="s">
        <v>32</v>
      </c>
      <c r="C28" s="3" t="s">
        <v>75</v>
      </c>
      <c r="D28" s="4" t="s">
        <v>76</v>
      </c>
      <c r="E28" s="3" t="s">
        <v>69</v>
      </c>
      <c r="F28" s="5">
        <f>VLOOKUP(A28,CALCULO!$A$5:$J$270,10,FALSE)</f>
        <v>17</v>
      </c>
      <c r="G28" s="6">
        <v>12.92</v>
      </c>
      <c r="H28" s="6">
        <f t="shared" si="4"/>
        <v>16.87</v>
      </c>
      <c r="I28" s="174">
        <f t="shared" si="2"/>
        <v>286.79000000000002</v>
      </c>
    </row>
    <row r="29" spans="1:9" ht="21.6" customHeight="1" x14ac:dyDescent="0.3">
      <c r="A29" s="173" t="s">
        <v>77</v>
      </c>
      <c r="B29" s="3" t="s">
        <v>80</v>
      </c>
      <c r="C29" s="3" t="s">
        <v>78</v>
      </c>
      <c r="D29" s="4" t="s">
        <v>79</v>
      </c>
      <c r="E29" s="3" t="s">
        <v>69</v>
      </c>
      <c r="F29" s="5">
        <f>VLOOKUP(A29,CALCULO!$A$5:$J$270,10,FALSE)</f>
        <v>10</v>
      </c>
      <c r="G29" s="6">
        <v>122.74</v>
      </c>
      <c r="H29" s="6">
        <f t="shared" si="4"/>
        <v>160.22</v>
      </c>
      <c r="I29" s="174">
        <f t="shared" si="2"/>
        <v>1602.2</v>
      </c>
    </row>
    <row r="30" spans="1:9" ht="20.399999999999999" customHeight="1" x14ac:dyDescent="0.3">
      <c r="A30" s="173" t="s">
        <v>81</v>
      </c>
      <c r="B30" s="3" t="s">
        <v>84</v>
      </c>
      <c r="C30" s="3" t="s">
        <v>82</v>
      </c>
      <c r="D30" s="4" t="s">
        <v>83</v>
      </c>
      <c r="E30" s="3" t="s">
        <v>69</v>
      </c>
      <c r="F30" s="5">
        <f>VLOOKUP(A30,CALCULO!$A$5:$J$270,10,FALSE)</f>
        <v>7</v>
      </c>
      <c r="G30" s="6">
        <v>92.4</v>
      </c>
      <c r="H30" s="6">
        <f t="shared" si="4"/>
        <v>120.62</v>
      </c>
      <c r="I30" s="174">
        <f t="shared" si="2"/>
        <v>844.34</v>
      </c>
    </row>
    <row r="31" spans="1:9" ht="29.4" customHeight="1" x14ac:dyDescent="0.3">
      <c r="A31" s="173" t="s">
        <v>85</v>
      </c>
      <c r="B31" s="3" t="s">
        <v>32</v>
      </c>
      <c r="C31" s="3" t="s">
        <v>86</v>
      </c>
      <c r="D31" s="4" t="s">
        <v>87</v>
      </c>
      <c r="E31" s="3" t="s">
        <v>69</v>
      </c>
      <c r="F31" s="5">
        <f>VLOOKUP(A31,CALCULO!$A$5:$J$270,10,FALSE)</f>
        <v>61</v>
      </c>
      <c r="G31" s="6">
        <v>8.16</v>
      </c>
      <c r="H31" s="6">
        <f t="shared" si="4"/>
        <v>10.65</v>
      </c>
      <c r="I31" s="174">
        <f t="shared" si="2"/>
        <v>649.65</v>
      </c>
    </row>
    <row r="32" spans="1:9" ht="21.6" customHeight="1" x14ac:dyDescent="0.3">
      <c r="A32" s="173" t="s">
        <v>88</v>
      </c>
      <c r="B32" s="3" t="s">
        <v>32</v>
      </c>
      <c r="C32" s="3" t="s">
        <v>89</v>
      </c>
      <c r="D32" s="4" t="s">
        <v>90</v>
      </c>
      <c r="E32" s="3" t="s">
        <v>69</v>
      </c>
      <c r="F32" s="5">
        <f>VLOOKUP(A32,CALCULO!$A$5:$J$270,10,FALSE)</f>
        <v>52</v>
      </c>
      <c r="G32" s="6">
        <v>6.87</v>
      </c>
      <c r="H32" s="6">
        <f t="shared" si="4"/>
        <v>8.9700000000000006</v>
      </c>
      <c r="I32" s="174">
        <f t="shared" si="2"/>
        <v>466.44</v>
      </c>
    </row>
    <row r="33" spans="1:9" ht="26.4" customHeight="1" x14ac:dyDescent="0.3">
      <c r="A33" s="173" t="s">
        <v>91</v>
      </c>
      <c r="B33" s="3" t="s">
        <v>32</v>
      </c>
      <c r="C33" s="3" t="s">
        <v>92</v>
      </c>
      <c r="D33" s="4" t="s">
        <v>93</v>
      </c>
      <c r="E33" s="3" t="s">
        <v>69</v>
      </c>
      <c r="F33" s="5">
        <f>VLOOKUP(A33,CALCULO!$A$5:$J$270,10,FALSE)</f>
        <v>10</v>
      </c>
      <c r="G33" s="6">
        <v>16.329999999999998</v>
      </c>
      <c r="H33" s="6">
        <f t="shared" si="4"/>
        <v>21.32</v>
      </c>
      <c r="I33" s="174">
        <f t="shared" si="2"/>
        <v>213.2</v>
      </c>
    </row>
    <row r="34" spans="1:9" ht="30.6" customHeight="1" x14ac:dyDescent="0.3">
      <c r="A34" s="173" t="s">
        <v>94</v>
      </c>
      <c r="B34" s="3" t="s">
        <v>32</v>
      </c>
      <c r="C34" s="3" t="s">
        <v>95</v>
      </c>
      <c r="D34" s="4" t="s">
        <v>96</v>
      </c>
      <c r="E34" s="3" t="s">
        <v>69</v>
      </c>
      <c r="F34" s="5">
        <f>VLOOKUP(A34,CALCULO!$A$5:$J$270,10,FALSE)</f>
        <v>42</v>
      </c>
      <c r="G34" s="6">
        <v>17.559999999999999</v>
      </c>
      <c r="H34" s="6">
        <f t="shared" si="4"/>
        <v>22.92</v>
      </c>
      <c r="I34" s="174">
        <f t="shared" si="2"/>
        <v>962.64</v>
      </c>
    </row>
    <row r="35" spans="1:9" ht="22.8" customHeight="1" x14ac:dyDescent="0.3">
      <c r="A35" s="173" t="s">
        <v>97</v>
      </c>
      <c r="B35" s="3" t="s">
        <v>12</v>
      </c>
      <c r="C35" s="3" t="s">
        <v>98</v>
      </c>
      <c r="D35" s="4" t="s">
        <v>99</v>
      </c>
      <c r="E35" s="3" t="s">
        <v>13</v>
      </c>
      <c r="F35" s="5">
        <f>VLOOKUP(A35,CALCULO!$A$5:$J$270,10,FALSE)</f>
        <v>9</v>
      </c>
      <c r="G35" s="6">
        <v>5.94</v>
      </c>
      <c r="H35" s="6">
        <f t="shared" si="4"/>
        <v>7.75</v>
      </c>
      <c r="I35" s="174">
        <f t="shared" si="2"/>
        <v>69.75</v>
      </c>
    </row>
    <row r="36" spans="1:9" ht="19.95" customHeight="1" x14ac:dyDescent="0.3">
      <c r="A36" s="175" t="s">
        <v>100</v>
      </c>
      <c r="B36" s="9"/>
      <c r="C36" s="9"/>
      <c r="D36" s="9" t="s">
        <v>101</v>
      </c>
      <c r="E36" s="9"/>
      <c r="F36" s="9"/>
      <c r="G36" s="9"/>
      <c r="H36" s="8"/>
      <c r="I36" s="176">
        <f>SUM(I37:I39)</f>
        <v>18178.78</v>
      </c>
    </row>
    <row r="37" spans="1:9" ht="46.8" customHeight="1" x14ac:dyDescent="0.3">
      <c r="A37" s="173" t="s">
        <v>102</v>
      </c>
      <c r="B37" s="3" t="s">
        <v>17</v>
      </c>
      <c r="C37" s="3" t="s">
        <v>103</v>
      </c>
      <c r="D37" s="4" t="s">
        <v>104</v>
      </c>
      <c r="E37" s="3" t="s">
        <v>13</v>
      </c>
      <c r="F37" s="5">
        <f>VLOOKUP(A37,CALCULO!$A$5:$J$270,10,FALSE)</f>
        <v>1</v>
      </c>
      <c r="G37" s="6">
        <v>1164.49</v>
      </c>
      <c r="H37" s="6">
        <f t="shared" ref="H37:H39" si="5">ROUND(G37*(1+$H$2),2)</f>
        <v>1520.13</v>
      </c>
      <c r="I37" s="174">
        <f t="shared" si="2"/>
        <v>1520.13</v>
      </c>
    </row>
    <row r="38" spans="1:9" ht="42.6" customHeight="1" x14ac:dyDescent="0.3">
      <c r="A38" s="173" t="s">
        <v>105</v>
      </c>
      <c r="B38" s="3" t="s">
        <v>17</v>
      </c>
      <c r="C38" s="3" t="s">
        <v>106</v>
      </c>
      <c r="D38" s="4" t="s">
        <v>107</v>
      </c>
      <c r="E38" s="3" t="s">
        <v>13</v>
      </c>
      <c r="F38" s="5">
        <f>VLOOKUP(A38,CALCULO!$A$5:$J$270,10,FALSE)</f>
        <v>8</v>
      </c>
      <c r="G38" s="6">
        <v>1507.25</v>
      </c>
      <c r="H38" s="6">
        <f t="shared" si="5"/>
        <v>1967.56</v>
      </c>
      <c r="I38" s="174">
        <f t="shared" si="2"/>
        <v>15740.48</v>
      </c>
    </row>
    <row r="39" spans="1:9" ht="49.8" customHeight="1" x14ac:dyDescent="0.3">
      <c r="A39" s="173" t="s">
        <v>108</v>
      </c>
      <c r="B39" s="3" t="s">
        <v>32</v>
      </c>
      <c r="C39" s="3" t="s">
        <v>109</v>
      </c>
      <c r="D39" s="4" t="s">
        <v>110</v>
      </c>
      <c r="E39" s="3" t="s">
        <v>33</v>
      </c>
      <c r="F39" s="5">
        <f>VLOOKUP(A39,CALCULO!$A$5:$J$270,10,FALSE)</f>
        <v>1.68</v>
      </c>
      <c r="G39" s="6">
        <v>418.67</v>
      </c>
      <c r="H39" s="6">
        <f t="shared" si="5"/>
        <v>546.53</v>
      </c>
      <c r="I39" s="174">
        <f t="shared" si="2"/>
        <v>918.17</v>
      </c>
    </row>
    <row r="40" spans="1:9" ht="19.95" customHeight="1" x14ac:dyDescent="0.3">
      <c r="A40" s="175" t="s">
        <v>111</v>
      </c>
      <c r="B40" s="9"/>
      <c r="C40" s="9"/>
      <c r="D40" s="9" t="s">
        <v>112</v>
      </c>
      <c r="E40" s="9"/>
      <c r="F40" s="9"/>
      <c r="G40" s="9"/>
      <c r="H40" s="8"/>
      <c r="I40" s="176">
        <f>SUM(I41:I42)</f>
        <v>9363.94</v>
      </c>
    </row>
    <row r="41" spans="1:9" ht="34.799999999999997" customHeight="1" x14ac:dyDescent="0.3">
      <c r="A41" s="173" t="s">
        <v>113</v>
      </c>
      <c r="B41" s="3" t="s">
        <v>32</v>
      </c>
      <c r="C41" s="3" t="s">
        <v>114</v>
      </c>
      <c r="D41" s="4" t="s">
        <v>115</v>
      </c>
      <c r="E41" s="3" t="s">
        <v>33</v>
      </c>
      <c r="F41" s="5">
        <f>VLOOKUP(A41,CALCULO!$A$5:$J$270,10,FALSE)</f>
        <v>104.43</v>
      </c>
      <c r="G41" s="6">
        <v>62.17</v>
      </c>
      <c r="H41" s="6">
        <f t="shared" ref="H41:H42" si="6">ROUND(G41*(1+$H$2),2)</f>
        <v>81.16</v>
      </c>
      <c r="I41" s="174">
        <f t="shared" si="2"/>
        <v>8475.5400000000009</v>
      </c>
    </row>
    <row r="42" spans="1:9" ht="34.799999999999997" customHeight="1" x14ac:dyDescent="0.3">
      <c r="A42" s="173" t="s">
        <v>116</v>
      </c>
      <c r="B42" s="3" t="s">
        <v>17</v>
      </c>
      <c r="C42" s="3" t="s">
        <v>117</v>
      </c>
      <c r="D42" s="4" t="s">
        <v>118</v>
      </c>
      <c r="E42" s="3" t="s">
        <v>73</v>
      </c>
      <c r="F42" s="5">
        <f>VLOOKUP(A42,CALCULO!$A$5:$J$270,10,FALSE)</f>
        <v>141.24</v>
      </c>
      <c r="G42" s="6">
        <v>4.82</v>
      </c>
      <c r="H42" s="6">
        <f t="shared" si="6"/>
        <v>6.29</v>
      </c>
      <c r="I42" s="174">
        <f t="shared" si="2"/>
        <v>888.4</v>
      </c>
    </row>
    <row r="43" spans="1:9" ht="19.95" customHeight="1" x14ac:dyDescent="0.3">
      <c r="A43" s="175" t="s">
        <v>119</v>
      </c>
      <c r="B43" s="9"/>
      <c r="C43" s="9"/>
      <c r="D43" s="9" t="s">
        <v>120</v>
      </c>
      <c r="E43" s="9"/>
      <c r="F43" s="9"/>
      <c r="G43" s="9"/>
      <c r="H43" s="8"/>
      <c r="I43" s="176">
        <f>SUM(I44:I52)</f>
        <v>25646.49</v>
      </c>
    </row>
    <row r="44" spans="1:9" x14ac:dyDescent="0.3">
      <c r="A44" s="173" t="s">
        <v>121</v>
      </c>
      <c r="B44" s="3" t="s">
        <v>84</v>
      </c>
      <c r="C44" s="3" t="s">
        <v>122</v>
      </c>
      <c r="D44" s="4" t="s">
        <v>123</v>
      </c>
      <c r="E44" s="3" t="s">
        <v>33</v>
      </c>
      <c r="F44" s="5">
        <f>VLOOKUP(A44,CALCULO!$A$5:$J$270,10,FALSE)</f>
        <v>472.64000000000004</v>
      </c>
      <c r="G44" s="6">
        <v>3.66</v>
      </c>
      <c r="H44" s="6">
        <f t="shared" ref="H44:H52" si="7">ROUND(G44*(1+$H$2),2)</f>
        <v>4.78</v>
      </c>
      <c r="I44" s="174">
        <f t="shared" si="2"/>
        <v>2259.2199999999998</v>
      </c>
    </row>
    <row r="45" spans="1:9" ht="20.399999999999999" customHeight="1" x14ac:dyDescent="0.3">
      <c r="A45" s="173" t="s">
        <v>124</v>
      </c>
      <c r="B45" s="3" t="s">
        <v>17</v>
      </c>
      <c r="C45" s="3" t="s">
        <v>125</v>
      </c>
      <c r="D45" s="4" t="s">
        <v>126</v>
      </c>
      <c r="E45" s="3" t="s">
        <v>18</v>
      </c>
      <c r="F45" s="5">
        <f>VLOOKUP(A45,CALCULO!$A$5:$J$270,10,FALSE)</f>
        <v>368.21000000000004</v>
      </c>
      <c r="G45" s="6">
        <v>4.72</v>
      </c>
      <c r="H45" s="6">
        <f t="shared" si="7"/>
        <v>6.16</v>
      </c>
      <c r="I45" s="174">
        <f t="shared" si="2"/>
        <v>2268.17</v>
      </c>
    </row>
    <row r="46" spans="1:9" ht="18" customHeight="1" x14ac:dyDescent="0.3">
      <c r="A46" s="173" t="s">
        <v>127</v>
      </c>
      <c r="B46" s="3" t="s">
        <v>32</v>
      </c>
      <c r="C46" s="3" t="s">
        <v>128</v>
      </c>
      <c r="D46" s="4" t="s">
        <v>129</v>
      </c>
      <c r="E46" s="3" t="s">
        <v>33</v>
      </c>
      <c r="F46" s="5">
        <f>VLOOKUP(A46,CALCULO!$A$5:$J$270,10,FALSE)</f>
        <v>368.21000000000004</v>
      </c>
      <c r="G46" s="6">
        <v>14.63</v>
      </c>
      <c r="H46" s="6">
        <f t="shared" si="7"/>
        <v>19.100000000000001</v>
      </c>
      <c r="I46" s="174">
        <f t="shared" si="2"/>
        <v>7032.81</v>
      </c>
    </row>
    <row r="47" spans="1:9" ht="15.6" x14ac:dyDescent="0.3">
      <c r="A47" s="173" t="s">
        <v>130</v>
      </c>
      <c r="B47" s="3" t="s">
        <v>17</v>
      </c>
      <c r="C47" s="3" t="s">
        <v>131</v>
      </c>
      <c r="D47" s="4" t="s">
        <v>132</v>
      </c>
      <c r="E47" s="3" t="s">
        <v>18</v>
      </c>
      <c r="F47" s="5">
        <f>VLOOKUP(A47,CALCULO!$A$5:$J$270,10,FALSE)</f>
        <v>368.21000000000004</v>
      </c>
      <c r="G47" s="6">
        <v>14.53</v>
      </c>
      <c r="H47" s="6">
        <f t="shared" si="7"/>
        <v>18.97</v>
      </c>
      <c r="I47" s="174">
        <f t="shared" si="2"/>
        <v>6984.94</v>
      </c>
    </row>
    <row r="48" spans="1:9" ht="21" customHeight="1" x14ac:dyDescent="0.3">
      <c r="A48" s="173" t="s">
        <v>133</v>
      </c>
      <c r="B48" s="3" t="s">
        <v>17</v>
      </c>
      <c r="C48" s="3" t="s">
        <v>134</v>
      </c>
      <c r="D48" s="4" t="s">
        <v>135</v>
      </c>
      <c r="E48" s="3" t="s">
        <v>18</v>
      </c>
      <c r="F48" s="5">
        <f>VLOOKUP(A48,CALCULO!$A$5:$J$270,10,FALSE)</f>
        <v>104.43</v>
      </c>
      <c r="G48" s="6">
        <v>5.79</v>
      </c>
      <c r="H48" s="6">
        <f t="shared" si="7"/>
        <v>7.56</v>
      </c>
      <c r="I48" s="174">
        <f t="shared" si="2"/>
        <v>789.49</v>
      </c>
    </row>
    <row r="49" spans="1:9" ht="15.6" x14ac:dyDescent="0.3">
      <c r="A49" s="173" t="s">
        <v>136</v>
      </c>
      <c r="B49" s="3" t="s">
        <v>17</v>
      </c>
      <c r="C49" s="3" t="s">
        <v>137</v>
      </c>
      <c r="D49" s="4" t="s">
        <v>138</v>
      </c>
      <c r="E49" s="3" t="s">
        <v>18</v>
      </c>
      <c r="F49" s="5">
        <f>VLOOKUP(A49,CALCULO!$A$5:$J$270,10,FALSE)</f>
        <v>104.43</v>
      </c>
      <c r="G49" s="6">
        <v>23.91</v>
      </c>
      <c r="H49" s="6">
        <f t="shared" si="7"/>
        <v>31.21</v>
      </c>
      <c r="I49" s="174">
        <f t="shared" si="2"/>
        <v>3259.26</v>
      </c>
    </row>
    <row r="50" spans="1:9" ht="15.6" x14ac:dyDescent="0.3">
      <c r="A50" s="173" t="s">
        <v>139</v>
      </c>
      <c r="B50" s="3" t="s">
        <v>17</v>
      </c>
      <c r="C50" s="3" t="s">
        <v>140</v>
      </c>
      <c r="D50" s="4" t="s">
        <v>141</v>
      </c>
      <c r="E50" s="3" t="s">
        <v>18</v>
      </c>
      <c r="F50" s="5">
        <f>VLOOKUP(A50,CALCULO!$A$5:$J$270,10,FALSE)</f>
        <v>104.43</v>
      </c>
      <c r="G50" s="6">
        <v>13.17</v>
      </c>
      <c r="H50" s="6">
        <f t="shared" si="7"/>
        <v>17.190000000000001</v>
      </c>
      <c r="I50" s="174">
        <f t="shared" si="2"/>
        <v>1795.15</v>
      </c>
    </row>
    <row r="51" spans="1:9" ht="15.6" x14ac:dyDescent="0.3">
      <c r="A51" s="173" t="s">
        <v>142</v>
      </c>
      <c r="B51" s="3" t="s">
        <v>17</v>
      </c>
      <c r="C51" s="3" t="s">
        <v>143</v>
      </c>
      <c r="D51" s="4" t="s">
        <v>144</v>
      </c>
      <c r="E51" s="3" t="s">
        <v>18</v>
      </c>
      <c r="F51" s="5">
        <f>VLOOKUP(A51,CALCULO!$A$5:$J$270,10,FALSE)</f>
        <v>37.299999999999997</v>
      </c>
      <c r="G51" s="6">
        <v>20.38</v>
      </c>
      <c r="H51" s="6">
        <f t="shared" si="7"/>
        <v>26.6</v>
      </c>
      <c r="I51" s="174">
        <f t="shared" si="2"/>
        <v>992.18</v>
      </c>
    </row>
    <row r="52" spans="1:9" ht="34.799999999999997" customHeight="1" x14ac:dyDescent="0.3">
      <c r="A52" s="173" t="s">
        <v>145</v>
      </c>
      <c r="B52" s="3" t="s">
        <v>17</v>
      </c>
      <c r="C52" s="3" t="s">
        <v>146</v>
      </c>
      <c r="D52" s="4" t="s">
        <v>147</v>
      </c>
      <c r="E52" s="3" t="s">
        <v>18</v>
      </c>
      <c r="F52" s="5">
        <f>VLOOKUP(A52,CALCULO!$A$5:$J$270,10,FALSE)</f>
        <v>3.36</v>
      </c>
      <c r="G52" s="6">
        <v>60.48</v>
      </c>
      <c r="H52" s="6">
        <f t="shared" si="7"/>
        <v>78.95</v>
      </c>
      <c r="I52" s="174">
        <f t="shared" si="2"/>
        <v>265.27</v>
      </c>
    </row>
    <row r="53" spans="1:9" ht="19.95" customHeight="1" x14ac:dyDescent="0.3">
      <c r="A53" s="171" t="s">
        <v>148</v>
      </c>
      <c r="B53" s="10"/>
      <c r="C53" s="10"/>
      <c r="D53" s="10" t="s">
        <v>149</v>
      </c>
      <c r="E53" s="10"/>
      <c r="F53" s="10"/>
      <c r="G53" s="10"/>
      <c r="H53" s="7"/>
      <c r="I53" s="172">
        <f>I54+I60+I71+I76+I80+I85+I95+I100+I103</f>
        <v>132049.5</v>
      </c>
    </row>
    <row r="54" spans="1:9" ht="19.95" customHeight="1" x14ac:dyDescent="0.3">
      <c r="A54" s="175" t="s">
        <v>150</v>
      </c>
      <c r="B54" s="9"/>
      <c r="C54" s="9"/>
      <c r="D54" s="9" t="s">
        <v>151</v>
      </c>
      <c r="E54" s="9"/>
      <c r="F54" s="9"/>
      <c r="G54" s="9"/>
      <c r="H54" s="8"/>
      <c r="I54" s="176">
        <f>SUM(I55:I59)</f>
        <v>2865.39</v>
      </c>
    </row>
    <row r="55" spans="1:9" ht="27.6" customHeight="1" x14ac:dyDescent="0.3">
      <c r="A55" s="177" t="s">
        <v>152</v>
      </c>
      <c r="B55" s="41" t="s">
        <v>17</v>
      </c>
      <c r="C55" s="41" t="s">
        <v>153</v>
      </c>
      <c r="D55" s="42" t="s">
        <v>154</v>
      </c>
      <c r="E55" s="41" t="s">
        <v>155</v>
      </c>
      <c r="F55" s="43">
        <f>VLOOKUP(A55,CALCULO!$A$5:$J$270,10,FALSE)</f>
        <v>1.95</v>
      </c>
      <c r="G55" s="44">
        <v>120.69</v>
      </c>
      <c r="H55" s="6">
        <f t="shared" ref="H55:H59" si="8">ROUND(G55*(1+$H$2),2)</f>
        <v>157.55000000000001</v>
      </c>
      <c r="I55" s="178">
        <f t="shared" ref="I55:I108" si="9">ROUND(F55*H55,2)</f>
        <v>307.22000000000003</v>
      </c>
    </row>
    <row r="56" spans="1:9" ht="22.2" customHeight="1" x14ac:dyDescent="0.3">
      <c r="A56" s="177" t="s">
        <v>156</v>
      </c>
      <c r="B56" s="41" t="s">
        <v>12</v>
      </c>
      <c r="C56" s="41" t="s">
        <v>158</v>
      </c>
      <c r="D56" s="42" t="s">
        <v>159</v>
      </c>
      <c r="E56" s="41" t="s">
        <v>155</v>
      </c>
      <c r="F56" s="43">
        <f>VLOOKUP(A56,CALCULO!$A$5:$J$270,10,FALSE)</f>
        <v>4.6100000000000003</v>
      </c>
      <c r="G56" s="44">
        <v>285.95999999999998</v>
      </c>
      <c r="H56" s="6">
        <f t="shared" si="8"/>
        <v>373.29</v>
      </c>
      <c r="I56" s="178">
        <f t="shared" si="9"/>
        <v>1720.87</v>
      </c>
    </row>
    <row r="57" spans="1:9" ht="15.6" x14ac:dyDescent="0.3">
      <c r="A57" s="177" t="s">
        <v>157</v>
      </c>
      <c r="B57" s="41" t="s">
        <v>12</v>
      </c>
      <c r="C57" s="41" t="s">
        <v>161</v>
      </c>
      <c r="D57" s="42" t="s">
        <v>162</v>
      </c>
      <c r="E57" s="41" t="s">
        <v>155</v>
      </c>
      <c r="F57" s="43">
        <f>VLOOKUP(A57,CALCULO!$A$5:$J$270,10,FALSE)</f>
        <v>21</v>
      </c>
      <c r="G57" s="44">
        <v>6.95</v>
      </c>
      <c r="H57" s="6">
        <f t="shared" si="8"/>
        <v>9.07</v>
      </c>
      <c r="I57" s="178">
        <f t="shared" si="9"/>
        <v>190.47</v>
      </c>
    </row>
    <row r="58" spans="1:9" ht="34.799999999999997" customHeight="1" x14ac:dyDescent="0.3">
      <c r="A58" s="177" t="s">
        <v>160</v>
      </c>
      <c r="B58" s="41" t="s">
        <v>17</v>
      </c>
      <c r="C58" s="41" t="s">
        <v>164</v>
      </c>
      <c r="D58" s="42" t="s">
        <v>165</v>
      </c>
      <c r="E58" s="41" t="s">
        <v>155</v>
      </c>
      <c r="F58" s="43">
        <f>VLOOKUP(A58,CALCULO!$A$5:$J$270,10,FALSE)</f>
        <v>27.560000000000002</v>
      </c>
      <c r="G58" s="44">
        <v>9.64</v>
      </c>
      <c r="H58" s="6">
        <f t="shared" si="8"/>
        <v>12.58</v>
      </c>
      <c r="I58" s="178">
        <f t="shared" si="9"/>
        <v>346.7</v>
      </c>
    </row>
    <row r="59" spans="1:9" ht="28.8" customHeight="1" x14ac:dyDescent="0.3">
      <c r="A59" s="177" t="s">
        <v>163</v>
      </c>
      <c r="B59" s="41" t="s">
        <v>17</v>
      </c>
      <c r="C59" s="41" t="s">
        <v>166</v>
      </c>
      <c r="D59" s="42" t="s">
        <v>167</v>
      </c>
      <c r="E59" s="41" t="s">
        <v>168</v>
      </c>
      <c r="F59" s="43">
        <f>VLOOKUP(A59,CALCULO!$A$5:$J$270,10,FALSE)</f>
        <v>82.68</v>
      </c>
      <c r="G59" s="44">
        <v>2.78</v>
      </c>
      <c r="H59" s="6">
        <f t="shared" si="8"/>
        <v>3.63</v>
      </c>
      <c r="I59" s="178">
        <f t="shared" si="9"/>
        <v>300.13</v>
      </c>
    </row>
    <row r="60" spans="1:9" ht="19.95" customHeight="1" x14ac:dyDescent="0.3">
      <c r="A60" s="175" t="s">
        <v>169</v>
      </c>
      <c r="B60" s="9"/>
      <c r="C60" s="9"/>
      <c r="D60" s="9" t="s">
        <v>170</v>
      </c>
      <c r="E60" s="9"/>
      <c r="F60" s="9"/>
      <c r="G60" s="9"/>
      <c r="H60" s="8"/>
      <c r="I60" s="176">
        <f>SUM(I61:I70)</f>
        <v>39186.949999999997</v>
      </c>
    </row>
    <row r="61" spans="1:9" x14ac:dyDescent="0.3">
      <c r="A61" s="173" t="s">
        <v>171</v>
      </c>
      <c r="B61" s="3" t="s">
        <v>12</v>
      </c>
      <c r="C61" s="3" t="s">
        <v>172</v>
      </c>
      <c r="D61" s="4" t="s">
        <v>173</v>
      </c>
      <c r="E61" s="3" t="s">
        <v>73</v>
      </c>
      <c r="F61" s="5">
        <f>VLOOKUP(A61,CALCULO!$A$5:$J$270,10,FALSE)</f>
        <v>43.63</v>
      </c>
      <c r="G61" s="6">
        <v>29.6</v>
      </c>
      <c r="H61" s="6">
        <f t="shared" ref="H61:H70" si="10">ROUND(G61*(1+$H$2),2)</f>
        <v>38.64</v>
      </c>
      <c r="I61" s="174">
        <f t="shared" si="9"/>
        <v>1685.86</v>
      </c>
    </row>
    <row r="62" spans="1:9" ht="18" customHeight="1" x14ac:dyDescent="0.3">
      <c r="A62" s="173" t="s">
        <v>174</v>
      </c>
      <c r="B62" s="3" t="s">
        <v>32</v>
      </c>
      <c r="C62" s="3" t="s">
        <v>175</v>
      </c>
      <c r="D62" s="4" t="s">
        <v>176</v>
      </c>
      <c r="E62" s="3" t="s">
        <v>177</v>
      </c>
      <c r="F62" s="5">
        <f>VLOOKUP(A62,CALCULO!$A$5:$J$270,10,FALSE)</f>
        <v>11.079999999999998</v>
      </c>
      <c r="G62" s="6">
        <v>80.459999999999994</v>
      </c>
      <c r="H62" s="6">
        <f t="shared" si="10"/>
        <v>105.03</v>
      </c>
      <c r="I62" s="174">
        <f t="shared" si="9"/>
        <v>1163.73</v>
      </c>
    </row>
    <row r="63" spans="1:9" ht="31.2" customHeight="1" x14ac:dyDescent="0.3">
      <c r="A63" s="173" t="s">
        <v>178</v>
      </c>
      <c r="B63" s="3" t="s">
        <v>17</v>
      </c>
      <c r="C63" s="3">
        <v>101175</v>
      </c>
      <c r="D63" s="4" t="s">
        <v>180</v>
      </c>
      <c r="E63" s="3" t="s">
        <v>73</v>
      </c>
      <c r="F63" s="5">
        <f>VLOOKUP(A63,CALCULO!$A$5:$J$270,10,FALSE)</f>
        <v>32.25</v>
      </c>
      <c r="G63" s="6">
        <v>127.85</v>
      </c>
      <c r="H63" s="6">
        <f t="shared" si="10"/>
        <v>166.9</v>
      </c>
      <c r="I63" s="174">
        <f t="shared" si="9"/>
        <v>5382.53</v>
      </c>
    </row>
    <row r="64" spans="1:9" ht="15.6" x14ac:dyDescent="0.3">
      <c r="A64" s="173" t="s">
        <v>181</v>
      </c>
      <c r="B64" s="3" t="s">
        <v>32</v>
      </c>
      <c r="C64" s="3" t="s">
        <v>182</v>
      </c>
      <c r="D64" s="4" t="s">
        <v>183</v>
      </c>
      <c r="E64" s="3" t="s">
        <v>177</v>
      </c>
      <c r="F64" s="5">
        <f>VLOOKUP(A64,CALCULO!$A$5:$J$270,10,FALSE)</f>
        <v>0.48000000000000004</v>
      </c>
      <c r="G64" s="6">
        <v>646.77</v>
      </c>
      <c r="H64" s="6">
        <f t="shared" si="10"/>
        <v>844.29</v>
      </c>
      <c r="I64" s="174">
        <f t="shared" si="9"/>
        <v>405.26</v>
      </c>
    </row>
    <row r="65" spans="1:9" ht="23.4" x14ac:dyDescent="0.3">
      <c r="A65" s="173" t="s">
        <v>184</v>
      </c>
      <c r="B65" s="3" t="s">
        <v>32</v>
      </c>
      <c r="C65" s="3" t="s">
        <v>185</v>
      </c>
      <c r="D65" s="4" t="s">
        <v>186</v>
      </c>
      <c r="E65" s="3" t="s">
        <v>177</v>
      </c>
      <c r="F65" s="5">
        <f>VLOOKUP(A65,CALCULO!$A$5:$J$270,10,FALSE)</f>
        <v>8.26</v>
      </c>
      <c r="G65" s="6">
        <v>842.18</v>
      </c>
      <c r="H65" s="6">
        <f t="shared" si="10"/>
        <v>1099.3800000000001</v>
      </c>
      <c r="I65" s="174">
        <f t="shared" si="9"/>
        <v>9080.8799999999992</v>
      </c>
    </row>
    <row r="66" spans="1:9" ht="15.6" x14ac:dyDescent="0.3">
      <c r="A66" s="173" t="s">
        <v>187</v>
      </c>
      <c r="B66" s="3" t="s">
        <v>32</v>
      </c>
      <c r="C66" s="3" t="s">
        <v>188</v>
      </c>
      <c r="D66" s="4" t="s">
        <v>189</v>
      </c>
      <c r="E66" s="3" t="s">
        <v>33</v>
      </c>
      <c r="F66" s="5">
        <f>VLOOKUP(A66,CALCULO!$A$5:$J$270,10,FALSE)</f>
        <v>30.340000000000003</v>
      </c>
      <c r="G66" s="6">
        <v>56.16</v>
      </c>
      <c r="H66" s="6">
        <f t="shared" si="10"/>
        <v>73.31</v>
      </c>
      <c r="I66" s="174">
        <f t="shared" si="9"/>
        <v>2224.23</v>
      </c>
    </row>
    <row r="67" spans="1:9" ht="21" customHeight="1" x14ac:dyDescent="0.3">
      <c r="A67" s="173" t="s">
        <v>190</v>
      </c>
      <c r="B67" s="3" t="s">
        <v>32</v>
      </c>
      <c r="C67" s="3" t="s">
        <v>191</v>
      </c>
      <c r="D67" s="4" t="s">
        <v>192</v>
      </c>
      <c r="E67" s="3" t="s">
        <v>193</v>
      </c>
      <c r="F67" s="5">
        <f>VLOOKUP(A67,CALCULO!$A$5:$J$270,10,FALSE)</f>
        <v>746.89</v>
      </c>
      <c r="G67" s="6">
        <v>13.38</v>
      </c>
      <c r="H67" s="6">
        <f t="shared" si="10"/>
        <v>17.47</v>
      </c>
      <c r="I67" s="174">
        <f t="shared" si="9"/>
        <v>13048.17</v>
      </c>
    </row>
    <row r="68" spans="1:9" ht="37.799999999999997" customHeight="1" x14ac:dyDescent="0.3">
      <c r="A68" s="173" t="s">
        <v>194</v>
      </c>
      <c r="B68" s="3" t="s">
        <v>32</v>
      </c>
      <c r="C68" s="3" t="s">
        <v>195</v>
      </c>
      <c r="D68" s="4" t="s">
        <v>196</v>
      </c>
      <c r="E68" s="3" t="s">
        <v>33</v>
      </c>
      <c r="F68" s="5">
        <f>VLOOKUP(A68,CALCULO!$A$5:$J$270,10,FALSE)</f>
        <v>15.32</v>
      </c>
      <c r="G68" s="6">
        <v>232.54</v>
      </c>
      <c r="H68" s="6">
        <f t="shared" si="10"/>
        <v>303.56</v>
      </c>
      <c r="I68" s="174">
        <f t="shared" si="9"/>
        <v>4650.54</v>
      </c>
    </row>
    <row r="69" spans="1:9" ht="18.600000000000001" customHeight="1" x14ac:dyDescent="0.3">
      <c r="A69" s="173" t="s">
        <v>334</v>
      </c>
      <c r="B69" s="3" t="s">
        <v>32</v>
      </c>
      <c r="C69" s="3" t="s">
        <v>336</v>
      </c>
      <c r="D69" s="4" t="s">
        <v>337</v>
      </c>
      <c r="E69" s="3" t="s">
        <v>177</v>
      </c>
      <c r="F69" s="5">
        <f>VLOOKUP(A69,CALCULO!$A$5:$J$270,10,FALSE)</f>
        <v>4.6199999999999983</v>
      </c>
      <c r="G69" s="6">
        <v>80.459999999999994</v>
      </c>
      <c r="H69" s="6">
        <f t="shared" si="10"/>
        <v>105.03</v>
      </c>
      <c r="I69" s="174">
        <f t="shared" ref="I69:I70" si="11">ROUND(F69*H69,2)</f>
        <v>485.24</v>
      </c>
    </row>
    <row r="70" spans="1:9" ht="21" customHeight="1" x14ac:dyDescent="0.3">
      <c r="A70" s="173" t="s">
        <v>335</v>
      </c>
      <c r="B70" s="3" t="s">
        <v>32</v>
      </c>
      <c r="C70" s="3" t="s">
        <v>338</v>
      </c>
      <c r="D70" s="4" t="s">
        <v>339</v>
      </c>
      <c r="E70" s="3" t="s">
        <v>33</v>
      </c>
      <c r="F70" s="5">
        <f>VLOOKUP(A70,CALCULO!$A$5:$J$270,10,FALSE)</f>
        <v>44.28</v>
      </c>
      <c r="G70" s="6">
        <v>18.350000000000001</v>
      </c>
      <c r="H70" s="6">
        <f t="shared" si="10"/>
        <v>23.95</v>
      </c>
      <c r="I70" s="174">
        <f t="shared" si="11"/>
        <v>1060.51</v>
      </c>
    </row>
    <row r="71" spans="1:9" ht="19.95" customHeight="1" x14ac:dyDescent="0.3">
      <c r="A71" s="175" t="s">
        <v>197</v>
      </c>
      <c r="B71" s="9"/>
      <c r="C71" s="9"/>
      <c r="D71" s="9" t="s">
        <v>198</v>
      </c>
      <c r="E71" s="9"/>
      <c r="F71" s="9"/>
      <c r="G71" s="9"/>
      <c r="H71" s="8"/>
      <c r="I71" s="176">
        <f>SUM(I72:I75)</f>
        <v>23405.34</v>
      </c>
    </row>
    <row r="72" spans="1:9" ht="32.4" customHeight="1" x14ac:dyDescent="0.3">
      <c r="A72" s="173" t="s">
        <v>199</v>
      </c>
      <c r="B72" s="3" t="s">
        <v>32</v>
      </c>
      <c r="C72" s="3" t="s">
        <v>200</v>
      </c>
      <c r="D72" s="4" t="s">
        <v>201</v>
      </c>
      <c r="E72" s="3" t="s">
        <v>177</v>
      </c>
      <c r="F72" s="5">
        <f>VLOOKUP(A72,CALCULO!$A$5:$J$270,10,FALSE)</f>
        <v>3</v>
      </c>
      <c r="G72" s="6">
        <v>879.79</v>
      </c>
      <c r="H72" s="6">
        <f t="shared" ref="H72:H75" si="12">ROUND(G72*(1+$H$2),2)</f>
        <v>1148.48</v>
      </c>
      <c r="I72" s="174">
        <f t="shared" si="9"/>
        <v>3445.44</v>
      </c>
    </row>
    <row r="73" spans="1:9" ht="19.2" customHeight="1" x14ac:dyDescent="0.3">
      <c r="A73" s="173" t="s">
        <v>202</v>
      </c>
      <c r="B73" s="3" t="s">
        <v>32</v>
      </c>
      <c r="C73" s="3" t="s">
        <v>188</v>
      </c>
      <c r="D73" s="4" t="s">
        <v>189</v>
      </c>
      <c r="E73" s="3" t="s">
        <v>33</v>
      </c>
      <c r="F73" s="5">
        <f>VLOOKUP(A73,CALCULO!$A$5:$J$270,10,FALSE)</f>
        <v>37.93</v>
      </c>
      <c r="G73" s="6">
        <v>56.16</v>
      </c>
      <c r="H73" s="6">
        <f t="shared" si="12"/>
        <v>73.31</v>
      </c>
      <c r="I73" s="174">
        <f t="shared" si="9"/>
        <v>2780.65</v>
      </c>
    </row>
    <row r="74" spans="1:9" ht="22.2" customHeight="1" x14ac:dyDescent="0.3">
      <c r="A74" s="173" t="s">
        <v>203</v>
      </c>
      <c r="B74" s="3" t="s">
        <v>32</v>
      </c>
      <c r="C74" s="3" t="s">
        <v>191</v>
      </c>
      <c r="D74" s="4" t="s">
        <v>192</v>
      </c>
      <c r="E74" s="3" t="s">
        <v>193</v>
      </c>
      <c r="F74" s="5">
        <f>VLOOKUP(A74,CALCULO!$A$5:$J$270,10,FALSE)</f>
        <v>221.76</v>
      </c>
      <c r="G74" s="6">
        <v>13.38</v>
      </c>
      <c r="H74" s="6">
        <f t="shared" si="12"/>
        <v>17.47</v>
      </c>
      <c r="I74" s="174">
        <f t="shared" si="9"/>
        <v>3874.15</v>
      </c>
    </row>
    <row r="75" spans="1:9" ht="15.6" x14ac:dyDescent="0.3">
      <c r="A75" s="173" t="s">
        <v>204</v>
      </c>
      <c r="B75" s="3" t="s">
        <v>207</v>
      </c>
      <c r="C75" s="3" t="s">
        <v>205</v>
      </c>
      <c r="D75" s="4" t="s">
        <v>206</v>
      </c>
      <c r="E75" s="3" t="s">
        <v>208</v>
      </c>
      <c r="F75" s="5">
        <f>VLOOKUP(A75,CALCULO!$A$5:$J$270,10,FALSE)</f>
        <v>558.1</v>
      </c>
      <c r="G75" s="6">
        <v>18.260000000000002</v>
      </c>
      <c r="H75" s="6">
        <f t="shared" si="12"/>
        <v>23.84</v>
      </c>
      <c r="I75" s="174">
        <f t="shared" si="9"/>
        <v>13305.1</v>
      </c>
    </row>
    <row r="76" spans="1:9" ht="19.95" customHeight="1" x14ac:dyDescent="0.3">
      <c r="A76" s="175" t="s">
        <v>209</v>
      </c>
      <c r="B76" s="9"/>
      <c r="C76" s="9"/>
      <c r="D76" s="9" t="s">
        <v>210</v>
      </c>
      <c r="E76" s="9"/>
      <c r="F76" s="9"/>
      <c r="G76" s="9"/>
      <c r="H76" s="8"/>
      <c r="I76" s="176">
        <f>SUM(I77:I79)</f>
        <v>19147.86</v>
      </c>
    </row>
    <row r="77" spans="1:9" ht="31.8" customHeight="1" x14ac:dyDescent="0.3">
      <c r="A77" s="173" t="s">
        <v>211</v>
      </c>
      <c r="B77" s="3" t="s">
        <v>32</v>
      </c>
      <c r="C77" s="3" t="s">
        <v>212</v>
      </c>
      <c r="D77" s="4" t="s">
        <v>213</v>
      </c>
      <c r="E77" s="3" t="s">
        <v>33</v>
      </c>
      <c r="F77" s="5">
        <f>VLOOKUP(A77,CALCULO!$A$5:$J$270,10,FALSE)</f>
        <v>65.31</v>
      </c>
      <c r="G77" s="6">
        <v>77.41</v>
      </c>
      <c r="H77" s="6">
        <f t="shared" ref="H77:H79" si="13">ROUND(G77*(1+$H$2),2)</f>
        <v>101.05</v>
      </c>
      <c r="I77" s="174">
        <f t="shared" si="9"/>
        <v>6599.58</v>
      </c>
    </row>
    <row r="78" spans="1:9" ht="31.2" customHeight="1" x14ac:dyDescent="0.3">
      <c r="A78" s="173" t="s">
        <v>214</v>
      </c>
      <c r="B78" s="3" t="s">
        <v>32</v>
      </c>
      <c r="C78" s="3" t="s">
        <v>47</v>
      </c>
      <c r="D78" s="4" t="s">
        <v>48</v>
      </c>
      <c r="E78" s="3" t="s">
        <v>33</v>
      </c>
      <c r="F78" s="5">
        <f>VLOOKUP(A78,CALCULO!$A$5:$J$270,10,FALSE)</f>
        <v>200.57999999999998</v>
      </c>
      <c r="G78" s="6">
        <v>10.7</v>
      </c>
      <c r="H78" s="6">
        <f t="shared" si="13"/>
        <v>13.97</v>
      </c>
      <c r="I78" s="174">
        <f t="shared" si="9"/>
        <v>2802.1</v>
      </c>
    </row>
    <row r="79" spans="1:9" ht="31.2" customHeight="1" x14ac:dyDescent="0.3">
      <c r="A79" s="173" t="s">
        <v>215</v>
      </c>
      <c r="B79" s="3" t="s">
        <v>32</v>
      </c>
      <c r="C79" s="3" t="s">
        <v>50</v>
      </c>
      <c r="D79" s="4" t="s">
        <v>51</v>
      </c>
      <c r="E79" s="3" t="s">
        <v>33</v>
      </c>
      <c r="F79" s="5">
        <f>VLOOKUP(A79,CALCULO!$A$5:$J$270,10,FALSE)</f>
        <v>200.57999999999998</v>
      </c>
      <c r="G79" s="6">
        <v>37.22</v>
      </c>
      <c r="H79" s="6">
        <f t="shared" si="13"/>
        <v>48.59</v>
      </c>
      <c r="I79" s="174">
        <f t="shared" si="9"/>
        <v>9746.18</v>
      </c>
    </row>
    <row r="80" spans="1:9" ht="19.95" customHeight="1" x14ac:dyDescent="0.3">
      <c r="A80" s="175" t="s">
        <v>216</v>
      </c>
      <c r="B80" s="9"/>
      <c r="C80" s="9"/>
      <c r="D80" s="9" t="s">
        <v>53</v>
      </c>
      <c r="E80" s="9"/>
      <c r="F80" s="9"/>
      <c r="G80" s="9"/>
      <c r="H80" s="8"/>
      <c r="I80" s="176">
        <f>SUM(I81:I84)</f>
        <v>740.71</v>
      </c>
    </row>
    <row r="81" spans="1:9" ht="73.8" customHeight="1" x14ac:dyDescent="0.3">
      <c r="A81" s="173" t="s">
        <v>217</v>
      </c>
      <c r="B81" s="3" t="s">
        <v>32</v>
      </c>
      <c r="C81" s="3" t="s">
        <v>218</v>
      </c>
      <c r="D81" s="4" t="s">
        <v>219</v>
      </c>
      <c r="E81" s="3" t="s">
        <v>69</v>
      </c>
      <c r="F81" s="5">
        <f>VLOOKUP(A81,CALCULO!$A$5:$J$270,10,FALSE)</f>
        <v>1</v>
      </c>
      <c r="G81" s="6">
        <v>264.89</v>
      </c>
      <c r="H81" s="6">
        <f t="shared" ref="H81:H84" si="14">ROUND(G81*(1+$H$2),2)</f>
        <v>345.79</v>
      </c>
      <c r="I81" s="174">
        <f t="shared" si="9"/>
        <v>345.79</v>
      </c>
    </row>
    <row r="82" spans="1:9" ht="63.6" customHeight="1" x14ac:dyDescent="0.3">
      <c r="A82" s="173" t="s">
        <v>220</v>
      </c>
      <c r="B82" s="3" t="s">
        <v>32</v>
      </c>
      <c r="C82" s="3" t="s">
        <v>221</v>
      </c>
      <c r="D82" s="4" t="s">
        <v>222</v>
      </c>
      <c r="E82" s="3" t="s">
        <v>69</v>
      </c>
      <c r="F82" s="5">
        <f>VLOOKUP(A82,CALCULO!$A$5:$J$270,10,FALSE)</f>
        <v>2</v>
      </c>
      <c r="G82" s="6">
        <v>118.19</v>
      </c>
      <c r="H82" s="6">
        <f t="shared" si="14"/>
        <v>154.29</v>
      </c>
      <c r="I82" s="174">
        <f t="shared" si="9"/>
        <v>308.58</v>
      </c>
    </row>
    <row r="83" spans="1:9" ht="34.799999999999997" customHeight="1" x14ac:dyDescent="0.3">
      <c r="A83" s="173" t="s">
        <v>223</v>
      </c>
      <c r="B83" s="3" t="s">
        <v>32</v>
      </c>
      <c r="C83" s="3" t="s">
        <v>224</v>
      </c>
      <c r="D83" s="4" t="s">
        <v>225</v>
      </c>
      <c r="E83" s="3" t="s">
        <v>69</v>
      </c>
      <c r="F83" s="5">
        <f>VLOOKUP(A83,CALCULO!$A$5:$J$270,10,FALSE)</f>
        <v>2</v>
      </c>
      <c r="G83" s="6">
        <v>15.09</v>
      </c>
      <c r="H83" s="6">
        <f t="shared" si="14"/>
        <v>19.7</v>
      </c>
      <c r="I83" s="174">
        <f t="shared" si="9"/>
        <v>39.4</v>
      </c>
    </row>
    <row r="84" spans="1:9" ht="36" customHeight="1" x14ac:dyDescent="0.3">
      <c r="A84" s="173" t="s">
        <v>226</v>
      </c>
      <c r="B84" s="3" t="s">
        <v>32</v>
      </c>
      <c r="C84" s="3" t="s">
        <v>227</v>
      </c>
      <c r="D84" s="4" t="s">
        <v>228</v>
      </c>
      <c r="E84" s="3" t="s">
        <v>69</v>
      </c>
      <c r="F84" s="5">
        <f>VLOOKUP(A84,CALCULO!$A$5:$J$270,10,FALSE)</f>
        <v>2</v>
      </c>
      <c r="G84" s="6">
        <v>17.98</v>
      </c>
      <c r="H84" s="6">
        <f t="shared" si="14"/>
        <v>23.47</v>
      </c>
      <c r="I84" s="174">
        <f t="shared" si="9"/>
        <v>46.94</v>
      </c>
    </row>
    <row r="85" spans="1:9" ht="19.95" customHeight="1" x14ac:dyDescent="0.3">
      <c r="A85" s="175" t="s">
        <v>229</v>
      </c>
      <c r="B85" s="9"/>
      <c r="C85" s="9"/>
      <c r="D85" s="9" t="s">
        <v>230</v>
      </c>
      <c r="E85" s="9"/>
      <c r="F85" s="9"/>
      <c r="G85" s="9"/>
      <c r="H85" s="8"/>
      <c r="I85" s="176">
        <f>SUM(I86:I94)</f>
        <v>14717.350000000002</v>
      </c>
    </row>
    <row r="86" spans="1:9" ht="35.4" customHeight="1" x14ac:dyDescent="0.3">
      <c r="A86" s="173" t="s">
        <v>231</v>
      </c>
      <c r="B86" s="3" t="s">
        <v>32</v>
      </c>
      <c r="C86" s="3" t="s">
        <v>232</v>
      </c>
      <c r="D86" s="4" t="s">
        <v>233</v>
      </c>
      <c r="E86" s="3" t="s">
        <v>33</v>
      </c>
      <c r="F86" s="5">
        <f>VLOOKUP(A86,CALCULO!$A$5:$J$270,10,FALSE)</f>
        <v>53.93</v>
      </c>
      <c r="G86" s="6">
        <v>98.51</v>
      </c>
      <c r="H86" s="6">
        <f t="shared" ref="H86:H94" si="15">ROUND(G86*(1+$H$2),2)</f>
        <v>128.59</v>
      </c>
      <c r="I86" s="174">
        <f t="shared" si="9"/>
        <v>6934.86</v>
      </c>
    </row>
    <row r="87" spans="1:9" ht="29.4" customHeight="1" x14ac:dyDescent="0.3">
      <c r="A87" s="173" t="s">
        <v>234</v>
      </c>
      <c r="B87" s="3" t="s">
        <v>32</v>
      </c>
      <c r="C87" s="3" t="s">
        <v>235</v>
      </c>
      <c r="D87" s="4" t="s">
        <v>236</v>
      </c>
      <c r="E87" s="3" t="s">
        <v>40</v>
      </c>
      <c r="F87" s="5">
        <f>VLOOKUP(A87,CALCULO!$A$5:$J$270,10,FALSE)</f>
        <v>10.3</v>
      </c>
      <c r="G87" s="6">
        <v>54.72</v>
      </c>
      <c r="H87" s="6">
        <f t="shared" si="15"/>
        <v>71.430000000000007</v>
      </c>
      <c r="I87" s="174">
        <f t="shared" si="9"/>
        <v>735.73</v>
      </c>
    </row>
    <row r="88" spans="1:9" ht="26.4" customHeight="1" x14ac:dyDescent="0.3">
      <c r="A88" s="173" t="s">
        <v>237</v>
      </c>
      <c r="B88" s="3" t="s">
        <v>32</v>
      </c>
      <c r="C88" s="3" t="s">
        <v>238</v>
      </c>
      <c r="D88" s="4" t="s">
        <v>239</v>
      </c>
      <c r="E88" s="3" t="s">
        <v>40</v>
      </c>
      <c r="F88" s="5">
        <f>VLOOKUP(A88,CALCULO!$A$5:$J$270,10,FALSE)</f>
        <v>17.829999999999998</v>
      </c>
      <c r="G88" s="6">
        <v>39.69</v>
      </c>
      <c r="H88" s="6">
        <f t="shared" si="15"/>
        <v>51.81</v>
      </c>
      <c r="I88" s="174">
        <f t="shared" si="9"/>
        <v>923.77</v>
      </c>
    </row>
    <row r="89" spans="1:9" ht="27" customHeight="1" x14ac:dyDescent="0.3">
      <c r="A89" s="173" t="s">
        <v>240</v>
      </c>
      <c r="B89" s="3" t="s">
        <v>32</v>
      </c>
      <c r="C89" s="3" t="s">
        <v>242</v>
      </c>
      <c r="D89" s="4" t="s">
        <v>243</v>
      </c>
      <c r="E89" s="3" t="s">
        <v>40</v>
      </c>
      <c r="F89" s="5">
        <f>VLOOKUP(A89,CALCULO!$A$5:$J$270,10,FALSE)</f>
        <v>38.65</v>
      </c>
      <c r="G89" s="6">
        <v>48.84</v>
      </c>
      <c r="H89" s="6">
        <f t="shared" si="15"/>
        <v>63.76</v>
      </c>
      <c r="I89" s="174">
        <f t="shared" si="9"/>
        <v>2464.3200000000002</v>
      </c>
    </row>
    <row r="90" spans="1:9" ht="25.2" customHeight="1" x14ac:dyDescent="0.3">
      <c r="A90" s="173" t="s">
        <v>241</v>
      </c>
      <c r="B90" s="3" t="s">
        <v>17</v>
      </c>
      <c r="C90" s="3" t="s">
        <v>245</v>
      </c>
      <c r="D90" s="4" t="s">
        <v>246</v>
      </c>
      <c r="E90" s="3" t="s">
        <v>73</v>
      </c>
      <c r="F90" s="5">
        <f>VLOOKUP(A90,CALCULO!$A$5:$J$270,10,FALSE)</f>
        <v>18</v>
      </c>
      <c r="G90" s="6">
        <v>37.020000000000003</v>
      </c>
      <c r="H90" s="6">
        <f t="shared" si="15"/>
        <v>48.33</v>
      </c>
      <c r="I90" s="174">
        <f t="shared" si="9"/>
        <v>869.94</v>
      </c>
    </row>
    <row r="91" spans="1:9" ht="27" customHeight="1" x14ac:dyDescent="0.3">
      <c r="A91" s="173" t="s">
        <v>244</v>
      </c>
      <c r="B91" s="3" t="s">
        <v>17</v>
      </c>
      <c r="C91" s="3" t="s">
        <v>248</v>
      </c>
      <c r="D91" s="4" t="s">
        <v>249</v>
      </c>
      <c r="E91" s="3" t="s">
        <v>13</v>
      </c>
      <c r="F91" s="5">
        <f>VLOOKUP(A91,CALCULO!$A$5:$J$270,10,FALSE)</f>
        <v>1</v>
      </c>
      <c r="G91" s="6">
        <v>29.76</v>
      </c>
      <c r="H91" s="6">
        <f t="shared" si="15"/>
        <v>38.85</v>
      </c>
      <c r="I91" s="174">
        <f t="shared" si="9"/>
        <v>38.85</v>
      </c>
    </row>
    <row r="92" spans="1:9" ht="28.8" customHeight="1" x14ac:dyDescent="0.3">
      <c r="A92" s="173" t="s">
        <v>247</v>
      </c>
      <c r="B92" s="3" t="s">
        <v>17</v>
      </c>
      <c r="C92" s="3" t="s">
        <v>251</v>
      </c>
      <c r="D92" s="4" t="s">
        <v>252</v>
      </c>
      <c r="E92" s="3" t="s">
        <v>13</v>
      </c>
      <c r="F92" s="5">
        <f>VLOOKUP(A92,CALCULO!$A$5:$J$270,10,FALSE)</f>
        <v>4</v>
      </c>
      <c r="G92" s="6">
        <v>32.090000000000003</v>
      </c>
      <c r="H92" s="6">
        <f t="shared" si="15"/>
        <v>41.89</v>
      </c>
      <c r="I92" s="174">
        <f t="shared" si="9"/>
        <v>167.56</v>
      </c>
    </row>
    <row r="93" spans="1:9" ht="46.2" customHeight="1" x14ac:dyDescent="0.3">
      <c r="A93" s="173" t="s">
        <v>250</v>
      </c>
      <c r="B93" s="3" t="s">
        <v>32</v>
      </c>
      <c r="C93" s="3" t="s">
        <v>254</v>
      </c>
      <c r="D93" s="4" t="s">
        <v>255</v>
      </c>
      <c r="E93" s="3" t="s">
        <v>69</v>
      </c>
      <c r="F93" s="5">
        <f>VLOOKUP(A93,CALCULO!$A$5:$J$270,10,FALSE)</f>
        <v>1</v>
      </c>
      <c r="G93" s="6">
        <v>280.39999999999998</v>
      </c>
      <c r="H93" s="6">
        <f t="shared" si="15"/>
        <v>366.03</v>
      </c>
      <c r="I93" s="174">
        <f t="shared" si="9"/>
        <v>366.03</v>
      </c>
    </row>
    <row r="94" spans="1:9" ht="19.2" customHeight="1" x14ac:dyDescent="0.3">
      <c r="A94" s="173" t="s">
        <v>253</v>
      </c>
      <c r="B94" s="3" t="s">
        <v>17</v>
      </c>
      <c r="C94" s="3" t="s">
        <v>256</v>
      </c>
      <c r="D94" s="4" t="s">
        <v>257</v>
      </c>
      <c r="E94" s="3" t="s">
        <v>73</v>
      </c>
      <c r="F94" s="5">
        <f>VLOOKUP(A94,CALCULO!$A$5:$J$270,10,FALSE)</f>
        <v>31.37</v>
      </c>
      <c r="G94" s="6">
        <v>54.12</v>
      </c>
      <c r="H94" s="6">
        <f t="shared" si="15"/>
        <v>70.650000000000006</v>
      </c>
      <c r="I94" s="174">
        <f t="shared" si="9"/>
        <v>2216.29</v>
      </c>
    </row>
    <row r="95" spans="1:9" ht="19.95" customHeight="1" x14ac:dyDescent="0.3">
      <c r="A95" s="175" t="s">
        <v>258</v>
      </c>
      <c r="B95" s="9"/>
      <c r="C95" s="9"/>
      <c r="D95" s="9" t="s">
        <v>22</v>
      </c>
      <c r="E95" s="9"/>
      <c r="F95" s="9"/>
      <c r="G95" s="9"/>
      <c r="H95" s="8"/>
      <c r="I95" s="176">
        <f>SUM(I96:I99)</f>
        <v>13012.15</v>
      </c>
    </row>
    <row r="96" spans="1:9" ht="27.6" customHeight="1" x14ac:dyDescent="0.3">
      <c r="A96" s="173" t="s">
        <v>259</v>
      </c>
      <c r="B96" s="3" t="s">
        <v>17</v>
      </c>
      <c r="C96" s="3" t="s">
        <v>24</v>
      </c>
      <c r="D96" s="4" t="s">
        <v>25</v>
      </c>
      <c r="E96" s="3" t="s">
        <v>18</v>
      </c>
      <c r="F96" s="5">
        <f>VLOOKUP(A96,CALCULO!$A$5:$J$270,10,FALSE)</f>
        <v>139.44</v>
      </c>
      <c r="G96" s="6">
        <v>3.68</v>
      </c>
      <c r="H96" s="6">
        <f t="shared" ref="H96:H99" si="16">ROUND(G96*(1+$H$2),2)</f>
        <v>4.8</v>
      </c>
      <c r="I96" s="174">
        <f t="shared" si="9"/>
        <v>669.31</v>
      </c>
    </row>
    <row r="97" spans="1:9" ht="27" customHeight="1" x14ac:dyDescent="0.3">
      <c r="A97" s="173" t="s">
        <v>260</v>
      </c>
      <c r="B97" s="3" t="s">
        <v>17</v>
      </c>
      <c r="C97" s="3" t="s">
        <v>261</v>
      </c>
      <c r="D97" s="4" t="s">
        <v>262</v>
      </c>
      <c r="E97" s="3" t="s">
        <v>155</v>
      </c>
      <c r="F97" s="5">
        <f>VLOOKUP(A97,CALCULO!$A$5:$J$270,10,FALSE)</f>
        <v>6.98</v>
      </c>
      <c r="G97" s="6">
        <v>887.49</v>
      </c>
      <c r="H97" s="6">
        <f t="shared" si="16"/>
        <v>1158.53</v>
      </c>
      <c r="I97" s="174">
        <f t="shared" si="9"/>
        <v>8086.54</v>
      </c>
    </row>
    <row r="98" spans="1:9" ht="36.6" customHeight="1" x14ac:dyDescent="0.3">
      <c r="A98" s="173" t="s">
        <v>263</v>
      </c>
      <c r="B98" s="3" t="s">
        <v>17</v>
      </c>
      <c r="C98" s="3" t="s">
        <v>264</v>
      </c>
      <c r="D98" s="4" t="s">
        <v>265</v>
      </c>
      <c r="E98" s="3" t="s">
        <v>73</v>
      </c>
      <c r="F98" s="5">
        <f>VLOOKUP(A98,CALCULO!$A$5:$J$270,10,FALSE)</f>
        <v>42.22</v>
      </c>
      <c r="G98" s="6">
        <v>70.81</v>
      </c>
      <c r="H98" s="6">
        <f t="shared" si="16"/>
        <v>92.44</v>
      </c>
      <c r="I98" s="174">
        <f t="shared" si="9"/>
        <v>3902.82</v>
      </c>
    </row>
    <row r="99" spans="1:9" ht="40.799999999999997" customHeight="1" x14ac:dyDescent="0.3">
      <c r="A99" s="173" t="s">
        <v>379</v>
      </c>
      <c r="B99" s="3" t="s">
        <v>32</v>
      </c>
      <c r="C99" s="3" t="s">
        <v>377</v>
      </c>
      <c r="D99" s="4" t="s">
        <v>378</v>
      </c>
      <c r="E99" s="3" t="s">
        <v>33</v>
      </c>
      <c r="F99" s="5">
        <f>VLOOKUP(A99,CALCULO!$A$5:$J$270,10,FALSE)</f>
        <v>1.85</v>
      </c>
      <c r="G99" s="6">
        <v>146.37</v>
      </c>
      <c r="H99" s="6">
        <f t="shared" si="16"/>
        <v>191.07</v>
      </c>
      <c r="I99" s="174">
        <f t="shared" ref="I99" si="17">ROUND(F99*H99,2)</f>
        <v>353.48</v>
      </c>
    </row>
    <row r="100" spans="1:9" ht="19.95" customHeight="1" x14ac:dyDescent="0.3">
      <c r="A100" s="175" t="s">
        <v>266</v>
      </c>
      <c r="B100" s="9"/>
      <c r="C100" s="9"/>
      <c r="D100" s="9" t="s">
        <v>101</v>
      </c>
      <c r="E100" s="9"/>
      <c r="F100" s="9"/>
      <c r="G100" s="9"/>
      <c r="H100" s="8"/>
      <c r="I100" s="176">
        <f>SUM(I101:I102)</f>
        <v>5679.91</v>
      </c>
    </row>
    <row r="101" spans="1:9" ht="45" customHeight="1" x14ac:dyDescent="0.3">
      <c r="A101" s="173" t="s">
        <v>267</v>
      </c>
      <c r="B101" s="3" t="s">
        <v>32</v>
      </c>
      <c r="C101" s="3" t="s">
        <v>109</v>
      </c>
      <c r="D101" s="4" t="s">
        <v>110</v>
      </c>
      <c r="E101" s="3" t="s">
        <v>33</v>
      </c>
      <c r="F101" s="5">
        <f>VLOOKUP(A101,CALCULO!$A$5:$J$270,10,FALSE)</f>
        <v>2.2000000000000002</v>
      </c>
      <c r="G101" s="6">
        <v>418.67</v>
      </c>
      <c r="H101" s="6">
        <f t="shared" ref="H101:H102" si="18">ROUND(G101*(1+$H$2),2)</f>
        <v>546.53</v>
      </c>
      <c r="I101" s="174">
        <f t="shared" si="9"/>
        <v>1202.3699999999999</v>
      </c>
    </row>
    <row r="102" spans="1:9" ht="44.4" customHeight="1" x14ac:dyDescent="0.3">
      <c r="A102" s="173" t="s">
        <v>268</v>
      </c>
      <c r="B102" s="3" t="s">
        <v>32</v>
      </c>
      <c r="C102" s="3" t="s">
        <v>269</v>
      </c>
      <c r="D102" s="4" t="s">
        <v>270</v>
      </c>
      <c r="E102" s="3" t="s">
        <v>33</v>
      </c>
      <c r="F102" s="5">
        <f>VLOOKUP(A102,CALCULO!$A$5:$J$270,10,FALSE)</f>
        <v>9.6</v>
      </c>
      <c r="G102" s="6">
        <v>357.29</v>
      </c>
      <c r="H102" s="6">
        <f t="shared" si="18"/>
        <v>466.41</v>
      </c>
      <c r="I102" s="174">
        <f t="shared" si="9"/>
        <v>4477.54</v>
      </c>
    </row>
    <row r="103" spans="1:9" ht="19.95" customHeight="1" x14ac:dyDescent="0.3">
      <c r="A103" s="175" t="s">
        <v>271</v>
      </c>
      <c r="B103" s="9"/>
      <c r="C103" s="9"/>
      <c r="D103" s="9" t="s">
        <v>120</v>
      </c>
      <c r="E103" s="9"/>
      <c r="F103" s="9"/>
      <c r="G103" s="9"/>
      <c r="H103" s="8"/>
      <c r="I103" s="176">
        <f>SUM(I104:I108)</f>
        <v>13293.84</v>
      </c>
    </row>
    <row r="104" spans="1:9" x14ac:dyDescent="0.3">
      <c r="A104" s="173" t="s">
        <v>272</v>
      </c>
      <c r="B104" s="3" t="s">
        <v>84</v>
      </c>
      <c r="C104" s="3" t="s">
        <v>122</v>
      </c>
      <c r="D104" s="4" t="s">
        <v>123</v>
      </c>
      <c r="E104" s="3" t="s">
        <v>33</v>
      </c>
      <c r="F104" s="5">
        <f>VLOOKUP(A104,CALCULO!$A$5:$J$270,10,FALSE)</f>
        <v>200.57999999999998</v>
      </c>
      <c r="G104" s="6">
        <v>3.66</v>
      </c>
      <c r="H104" s="6">
        <f t="shared" ref="H104:H108" si="19">ROUND(G104*(1+$H$2),2)</f>
        <v>4.78</v>
      </c>
      <c r="I104" s="174">
        <f t="shared" si="9"/>
        <v>958.77</v>
      </c>
    </row>
    <row r="105" spans="1:9" ht="15.6" x14ac:dyDescent="0.3">
      <c r="A105" s="173" t="s">
        <v>273</v>
      </c>
      <c r="B105" s="3" t="s">
        <v>17</v>
      </c>
      <c r="C105" s="3" t="s">
        <v>125</v>
      </c>
      <c r="D105" s="4" t="s">
        <v>126</v>
      </c>
      <c r="E105" s="3" t="s">
        <v>18</v>
      </c>
      <c r="F105" s="5">
        <f>VLOOKUP(A105,CALCULO!$A$5:$J$270,10,FALSE)</f>
        <v>200.57999999999998</v>
      </c>
      <c r="G105" s="6">
        <v>4.72</v>
      </c>
      <c r="H105" s="6">
        <f t="shared" si="19"/>
        <v>6.16</v>
      </c>
      <c r="I105" s="174">
        <f t="shared" si="9"/>
        <v>1235.57</v>
      </c>
    </row>
    <row r="106" spans="1:9" ht="15.6" x14ac:dyDescent="0.3">
      <c r="A106" s="173" t="s">
        <v>274</v>
      </c>
      <c r="B106" s="3" t="s">
        <v>17</v>
      </c>
      <c r="C106" s="3" t="s">
        <v>275</v>
      </c>
      <c r="D106" s="4" t="s">
        <v>276</v>
      </c>
      <c r="E106" s="3" t="s">
        <v>18</v>
      </c>
      <c r="F106" s="5">
        <f>VLOOKUP(A106,CALCULO!$A$5:$J$270,10,FALSE)</f>
        <v>200.57999999999998</v>
      </c>
      <c r="G106" s="6">
        <v>10.54</v>
      </c>
      <c r="H106" s="6">
        <f t="shared" si="19"/>
        <v>13.76</v>
      </c>
      <c r="I106" s="174">
        <f t="shared" si="9"/>
        <v>2759.98</v>
      </c>
    </row>
    <row r="107" spans="1:9" ht="28.8" customHeight="1" x14ac:dyDescent="0.3">
      <c r="A107" s="173" t="s">
        <v>277</v>
      </c>
      <c r="B107" s="3" t="s">
        <v>32</v>
      </c>
      <c r="C107" s="3" t="s">
        <v>278</v>
      </c>
      <c r="D107" s="4" t="s">
        <v>279</v>
      </c>
      <c r="E107" s="3" t="s">
        <v>33</v>
      </c>
      <c r="F107" s="5">
        <f>VLOOKUP(A107,CALCULO!$A$5:$J$270,10,FALSE)</f>
        <v>84</v>
      </c>
      <c r="G107" s="6">
        <v>15.57</v>
      </c>
      <c r="H107" s="6">
        <f t="shared" si="19"/>
        <v>20.329999999999998</v>
      </c>
      <c r="I107" s="174">
        <f t="shared" si="9"/>
        <v>1707.72</v>
      </c>
    </row>
    <row r="108" spans="1:9" ht="40.799999999999997" customHeight="1" x14ac:dyDescent="0.3">
      <c r="A108" s="173" t="s">
        <v>280</v>
      </c>
      <c r="B108" s="3" t="s">
        <v>17</v>
      </c>
      <c r="C108" s="3" t="s">
        <v>146</v>
      </c>
      <c r="D108" s="4" t="s">
        <v>147</v>
      </c>
      <c r="E108" s="3" t="s">
        <v>18</v>
      </c>
      <c r="F108" s="13">
        <f>VLOOKUP(A108,CALCULO!$A$5:$J$270,10,FALSE)</f>
        <v>84</v>
      </c>
      <c r="G108" s="33">
        <v>60.48</v>
      </c>
      <c r="H108" s="6">
        <f t="shared" si="19"/>
        <v>78.95</v>
      </c>
      <c r="I108" s="174">
        <f t="shared" si="9"/>
        <v>6631.8</v>
      </c>
    </row>
    <row r="109" spans="1:9" ht="15" customHeight="1" x14ac:dyDescent="0.3">
      <c r="A109" s="179"/>
      <c r="B109" s="180"/>
      <c r="C109" s="180"/>
      <c r="D109" s="180"/>
      <c r="E109" s="180"/>
      <c r="F109" s="45" t="s">
        <v>281</v>
      </c>
      <c r="G109" s="45"/>
      <c r="H109" s="45"/>
      <c r="I109" s="181">
        <f>I6+I10+I53</f>
        <v>252411.33000000002</v>
      </c>
    </row>
    <row r="110" spans="1:9" x14ac:dyDescent="0.3">
      <c r="A110" s="182" t="s">
        <v>385</v>
      </c>
      <c r="B110" s="142"/>
      <c r="C110" s="142"/>
      <c r="D110" s="142"/>
      <c r="E110" s="143" t="s">
        <v>386</v>
      </c>
      <c r="F110" s="143"/>
      <c r="G110" s="143"/>
      <c r="H110" s="143"/>
      <c r="I110" s="183"/>
    </row>
    <row r="111" spans="1:9" ht="64.8" customHeight="1" thickBot="1" x14ac:dyDescent="0.35">
      <c r="A111" s="184" t="s">
        <v>387</v>
      </c>
      <c r="B111" s="185"/>
      <c r="C111" s="185"/>
      <c r="D111" s="185"/>
      <c r="E111" s="185" t="s">
        <v>399</v>
      </c>
      <c r="F111" s="185"/>
      <c r="G111" s="185"/>
      <c r="H111" s="185"/>
      <c r="I111" s="186"/>
    </row>
  </sheetData>
  <autoFilter ref="A5:I111" xr:uid="{00000000-0001-0000-0000-000000000000}"/>
  <mergeCells count="13">
    <mergeCell ref="A110:D110"/>
    <mergeCell ref="E110:I110"/>
    <mergeCell ref="A111:D111"/>
    <mergeCell ref="E111:I111"/>
    <mergeCell ref="F109:H109"/>
    <mergeCell ref="A1:I1"/>
    <mergeCell ref="A2:F2"/>
    <mergeCell ref="F3:I3"/>
    <mergeCell ref="A4:E4"/>
    <mergeCell ref="F4:G4"/>
    <mergeCell ref="H4:I4"/>
    <mergeCell ref="D3:E3"/>
    <mergeCell ref="A3:C3"/>
  </mergeCells>
  <phoneticPr fontId="5" type="noConversion"/>
  <conditionalFormatting sqref="I6:I109">
    <cfRule type="cellIs" dxfId="1" priority="1" operator="lessThanOr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90" fitToHeight="0" orientation="portrait" r:id="rId1"/>
  <headerFooter>
    <oddFooter>Página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F6ADF-55E1-4365-971E-D6316490543F}">
  <sheetPr>
    <pageSetUpPr fitToPage="1"/>
  </sheetPr>
  <dimension ref="A1:J26"/>
  <sheetViews>
    <sheetView workbookViewId="0">
      <selection sqref="A1:F1"/>
    </sheetView>
  </sheetViews>
  <sheetFormatPr defaultRowHeight="14.4" x14ac:dyDescent="0.3"/>
  <cols>
    <col min="1" max="1" width="4.44140625" customWidth="1"/>
    <col min="2" max="2" width="32.6640625" customWidth="1"/>
    <col min="3" max="3" width="15.77734375" customWidth="1"/>
    <col min="4" max="9" width="13.88671875" customWidth="1"/>
  </cols>
  <sheetData>
    <row r="1" spans="1:10" ht="31.8" customHeight="1" x14ac:dyDescent="0.3">
      <c r="A1" s="161" t="s">
        <v>402</v>
      </c>
      <c r="B1" s="162"/>
      <c r="C1" s="162"/>
      <c r="D1" s="162"/>
      <c r="E1" s="162"/>
      <c r="F1" s="162"/>
      <c r="G1" s="162"/>
      <c r="H1" s="162"/>
      <c r="I1" s="163"/>
    </row>
    <row r="2" spans="1:10" ht="14.4" customHeight="1" x14ac:dyDescent="0.3">
      <c r="A2" s="187" t="s">
        <v>395</v>
      </c>
      <c r="B2" s="188"/>
      <c r="C2" s="188"/>
      <c r="D2" s="188"/>
      <c r="E2" s="188"/>
      <c r="F2" s="188"/>
      <c r="G2" s="188"/>
      <c r="H2" s="197" t="s">
        <v>408</v>
      </c>
      <c r="I2" s="203">
        <v>46246</v>
      </c>
    </row>
    <row r="3" spans="1:10" ht="14.4" customHeight="1" x14ac:dyDescent="0.3">
      <c r="A3" s="187" t="s">
        <v>391</v>
      </c>
      <c r="B3" s="188"/>
      <c r="C3" s="188"/>
      <c r="D3" s="188"/>
      <c r="E3" s="188"/>
      <c r="F3" s="188"/>
      <c r="G3" s="188"/>
      <c r="H3" s="197" t="s">
        <v>403</v>
      </c>
      <c r="I3" s="204">
        <f>ORCAMENTO!I109</f>
        <v>252411.33000000002</v>
      </c>
    </row>
    <row r="4" spans="1:10" x14ac:dyDescent="0.3">
      <c r="A4" s="189" t="s">
        <v>0</v>
      </c>
      <c r="B4" s="190" t="s">
        <v>2</v>
      </c>
      <c r="C4" s="190" t="s">
        <v>404</v>
      </c>
      <c r="D4" s="194" t="s">
        <v>405</v>
      </c>
      <c r="E4" s="195"/>
      <c r="F4" s="194" t="s">
        <v>406</v>
      </c>
      <c r="G4" s="195"/>
      <c r="H4" s="194" t="s">
        <v>407</v>
      </c>
      <c r="I4" s="196"/>
    </row>
    <row r="5" spans="1:10" ht="12.6" customHeight="1" x14ac:dyDescent="0.3">
      <c r="A5" s="191" t="str">
        <f>ORCAMENTO!A6</f>
        <v>1</v>
      </c>
      <c r="B5" s="221" t="str">
        <f>ORCAMENTO!D6</f>
        <v>SERVIÇOS PRELIMINARES</v>
      </c>
      <c r="C5" s="192">
        <f>ORCAMENTO!I6</f>
        <v>1474.28</v>
      </c>
      <c r="D5" s="206">
        <f>ROUND(E5*$C5,2)</f>
        <v>1474.28</v>
      </c>
      <c r="E5" s="207">
        <v>1</v>
      </c>
      <c r="F5" s="206">
        <f>ROUND(G5*$C5,2)</f>
        <v>0</v>
      </c>
      <c r="G5" s="207"/>
      <c r="H5" s="206">
        <f>ROUND(I5*$C5,2)</f>
        <v>0</v>
      </c>
      <c r="I5" s="208"/>
      <c r="J5" s="218">
        <f>E5+G5+I5</f>
        <v>1</v>
      </c>
    </row>
    <row r="6" spans="1:10" x14ac:dyDescent="0.3">
      <c r="A6" s="209" t="str">
        <f>ORCAMENTO!A10</f>
        <v>2</v>
      </c>
      <c r="B6" s="222" t="str">
        <f>ORCAMENTO!D10</f>
        <v>ÁREA INTERNA</v>
      </c>
      <c r="C6" s="210">
        <f>ORCAMENTO!I10</f>
        <v>118887.55</v>
      </c>
      <c r="D6" s="211"/>
      <c r="E6" s="211"/>
      <c r="F6" s="212"/>
      <c r="G6" s="213"/>
      <c r="H6" s="213"/>
      <c r="I6" s="214"/>
    </row>
    <row r="7" spans="1:10" x14ac:dyDescent="0.3">
      <c r="A7" s="191" t="str">
        <f>ORCAMENTO!A11</f>
        <v>2.1</v>
      </c>
      <c r="B7" s="221" t="str">
        <f>ORCAMENTO!D11</f>
        <v>PISO</v>
      </c>
      <c r="C7" s="192">
        <f>ORCAMENTO!I11</f>
        <v>29937.27</v>
      </c>
      <c r="D7" s="206">
        <f>ROUND(E7*$C7,2)</f>
        <v>14968.64</v>
      </c>
      <c r="E7" s="207">
        <v>0.5</v>
      </c>
      <c r="F7" s="206">
        <f>ROUND(G7*$C7,2)</f>
        <v>14968.64</v>
      </c>
      <c r="G7" s="207">
        <v>0.5</v>
      </c>
      <c r="H7" s="206">
        <f>ROUND(I7*$C7,2)</f>
        <v>0</v>
      </c>
      <c r="I7" s="208"/>
      <c r="J7" s="218">
        <f>E7+G7+I7</f>
        <v>1</v>
      </c>
    </row>
    <row r="8" spans="1:10" x14ac:dyDescent="0.3">
      <c r="A8" s="191" t="str">
        <f>ORCAMENTO!A18</f>
        <v>2.2</v>
      </c>
      <c r="B8" s="221" t="str">
        <f>ORCAMENTO!D18</f>
        <v>REVESTIMENTOS DE PAREDES</v>
      </c>
      <c r="C8" s="192">
        <f>ORCAMENTO!I18</f>
        <v>21532.519999999997</v>
      </c>
      <c r="D8" s="206">
        <f t="shared" ref="D8:D24" si="0">ROUND(E8*$C8,2)</f>
        <v>15072.76</v>
      </c>
      <c r="E8" s="207">
        <v>0.7</v>
      </c>
      <c r="F8" s="206">
        <f t="shared" ref="F8:F24" si="1">ROUND(G8*$C8,2)</f>
        <v>6459.76</v>
      </c>
      <c r="G8" s="207">
        <v>0.3</v>
      </c>
      <c r="H8" s="206">
        <f t="shared" ref="H8:H24" si="2">ROUND(I8*$C8,2)</f>
        <v>0</v>
      </c>
      <c r="I8" s="208"/>
      <c r="J8" s="218">
        <f t="shared" ref="J8:J22" si="3">E8+G8+I8</f>
        <v>1</v>
      </c>
    </row>
    <row r="9" spans="1:10" x14ac:dyDescent="0.3">
      <c r="A9" s="191" t="str">
        <f>ORCAMENTO!A21</f>
        <v>2.3</v>
      </c>
      <c r="B9" s="221" t="str">
        <f>ORCAMENTO!D21</f>
        <v>INSTALAÇÕES ELÉTRICAS</v>
      </c>
      <c r="C9" s="192">
        <f>ORCAMENTO!I21</f>
        <v>14228.550000000001</v>
      </c>
      <c r="D9" s="206">
        <f t="shared" si="0"/>
        <v>4268.57</v>
      </c>
      <c r="E9" s="207">
        <v>0.3</v>
      </c>
      <c r="F9" s="206">
        <f t="shared" si="1"/>
        <v>7114.28</v>
      </c>
      <c r="G9" s="207">
        <v>0.5</v>
      </c>
      <c r="H9" s="206">
        <f t="shared" si="2"/>
        <v>2845.71</v>
      </c>
      <c r="I9" s="208">
        <v>0.2</v>
      </c>
      <c r="J9" s="218">
        <f t="shared" si="3"/>
        <v>1</v>
      </c>
    </row>
    <row r="10" spans="1:10" x14ac:dyDescent="0.3">
      <c r="A10" s="191" t="str">
        <f>ORCAMENTO!A36</f>
        <v>2.4</v>
      </c>
      <c r="B10" s="221" t="str">
        <f>ORCAMENTO!D36</f>
        <v>ESQUADRIAS</v>
      </c>
      <c r="C10" s="192">
        <f>ORCAMENTO!I36</f>
        <v>18178.78</v>
      </c>
      <c r="D10" s="206">
        <f t="shared" si="0"/>
        <v>0</v>
      </c>
      <c r="E10" s="207"/>
      <c r="F10" s="206">
        <f t="shared" si="1"/>
        <v>5453.63</v>
      </c>
      <c r="G10" s="207">
        <v>0.3</v>
      </c>
      <c r="H10" s="206">
        <f t="shared" si="2"/>
        <v>12725.15</v>
      </c>
      <c r="I10" s="208">
        <v>0.7</v>
      </c>
      <c r="J10" s="218">
        <f t="shared" si="3"/>
        <v>1</v>
      </c>
    </row>
    <row r="11" spans="1:10" x14ac:dyDescent="0.3">
      <c r="A11" s="191" t="str">
        <f>ORCAMENTO!A40</f>
        <v>2.5</v>
      </c>
      <c r="B11" s="221" t="str">
        <f>ORCAMENTO!D40</f>
        <v>FORRO</v>
      </c>
      <c r="C11" s="192">
        <f>ORCAMENTO!I40</f>
        <v>9363.94</v>
      </c>
      <c r="D11" s="206">
        <f t="shared" si="0"/>
        <v>0</v>
      </c>
      <c r="E11" s="207"/>
      <c r="F11" s="206">
        <f t="shared" si="1"/>
        <v>9363.94</v>
      </c>
      <c r="G11" s="207">
        <v>1</v>
      </c>
      <c r="H11" s="206">
        <f t="shared" si="2"/>
        <v>0</v>
      </c>
      <c r="I11" s="208"/>
      <c r="J11" s="218">
        <f t="shared" si="3"/>
        <v>1</v>
      </c>
    </row>
    <row r="12" spans="1:10" x14ac:dyDescent="0.3">
      <c r="A12" s="191" t="str">
        <f>ORCAMENTO!A43</f>
        <v>2.6</v>
      </c>
      <c r="B12" s="221" t="str">
        <f>ORCAMENTO!D43</f>
        <v>PINTURA</v>
      </c>
      <c r="C12" s="192">
        <f>ORCAMENTO!I43</f>
        <v>25646.49</v>
      </c>
      <c r="D12" s="206">
        <f t="shared" si="0"/>
        <v>0</v>
      </c>
      <c r="E12" s="207"/>
      <c r="F12" s="206">
        <f t="shared" si="1"/>
        <v>0</v>
      </c>
      <c r="G12" s="207"/>
      <c r="H12" s="206">
        <f t="shared" si="2"/>
        <v>25646.49</v>
      </c>
      <c r="I12" s="208">
        <v>1</v>
      </c>
      <c r="J12" s="218">
        <f t="shared" si="3"/>
        <v>1</v>
      </c>
    </row>
    <row r="13" spans="1:10" x14ac:dyDescent="0.3">
      <c r="A13" s="215" t="str">
        <f>ORCAMENTO!A53</f>
        <v>3</v>
      </c>
      <c r="B13" s="223" t="str">
        <f>ORCAMENTO!D53</f>
        <v>ÁREA EXTERNA</v>
      </c>
      <c r="C13" s="210">
        <f>ORCAMENTO!I53</f>
        <v>132049.5</v>
      </c>
      <c r="D13" s="211"/>
      <c r="E13" s="211"/>
      <c r="F13" s="211"/>
      <c r="G13" s="216"/>
      <c r="H13" s="216"/>
      <c r="I13" s="217"/>
    </row>
    <row r="14" spans="1:10" x14ac:dyDescent="0.3">
      <c r="A14" s="191" t="str">
        <f>ORCAMENTO!A54</f>
        <v>3.1</v>
      </c>
      <c r="B14" s="221" t="str">
        <f>ORCAMENTO!D54</f>
        <v>DEMOLIÇÕES E REMOÇÕES</v>
      </c>
      <c r="C14" s="192">
        <f>ORCAMENTO!I54</f>
        <v>2865.39</v>
      </c>
      <c r="D14" s="206">
        <f t="shared" si="0"/>
        <v>2865.39</v>
      </c>
      <c r="E14" s="207">
        <v>1</v>
      </c>
      <c r="F14" s="206">
        <f t="shared" si="1"/>
        <v>0</v>
      </c>
      <c r="G14" s="207"/>
      <c r="H14" s="206">
        <f t="shared" si="2"/>
        <v>0</v>
      </c>
      <c r="I14" s="208"/>
      <c r="J14" s="218">
        <f t="shared" si="3"/>
        <v>1</v>
      </c>
    </row>
    <row r="15" spans="1:10" x14ac:dyDescent="0.3">
      <c r="A15" s="191" t="str">
        <f>ORCAMENTO!A60</f>
        <v>3.2</v>
      </c>
      <c r="B15" s="221" t="str">
        <f>ORCAMENTO!D60</f>
        <v>INFRAESTRUTURA</v>
      </c>
      <c r="C15" s="192">
        <f>ORCAMENTO!I60</f>
        <v>39186.949999999997</v>
      </c>
      <c r="D15" s="206">
        <f t="shared" si="0"/>
        <v>39186.949999999997</v>
      </c>
      <c r="E15" s="207">
        <v>1</v>
      </c>
      <c r="F15" s="206">
        <f t="shared" si="1"/>
        <v>0</v>
      </c>
      <c r="G15" s="207"/>
      <c r="H15" s="206">
        <f t="shared" si="2"/>
        <v>0</v>
      </c>
      <c r="I15" s="208"/>
      <c r="J15" s="218">
        <f t="shared" si="3"/>
        <v>1</v>
      </c>
    </row>
    <row r="16" spans="1:10" x14ac:dyDescent="0.3">
      <c r="A16" s="191" t="str">
        <f>ORCAMENTO!A71</f>
        <v>3.3</v>
      </c>
      <c r="B16" s="221" t="str">
        <f>ORCAMENTO!D71</f>
        <v>SUPRAESTRUTURA</v>
      </c>
      <c r="C16" s="192">
        <f>ORCAMENTO!I71</f>
        <v>23405.34</v>
      </c>
      <c r="D16" s="206">
        <f t="shared" si="0"/>
        <v>0</v>
      </c>
      <c r="E16" s="207"/>
      <c r="F16" s="206">
        <f t="shared" si="1"/>
        <v>14043.2</v>
      </c>
      <c r="G16" s="207">
        <v>0.6</v>
      </c>
      <c r="H16" s="206">
        <f t="shared" si="2"/>
        <v>9362.14</v>
      </c>
      <c r="I16" s="208">
        <v>0.4</v>
      </c>
      <c r="J16" s="218">
        <f t="shared" si="3"/>
        <v>1</v>
      </c>
    </row>
    <row r="17" spans="1:10" x14ac:dyDescent="0.3">
      <c r="A17" s="191" t="str">
        <f>ORCAMENTO!A76</f>
        <v>3.4</v>
      </c>
      <c r="B17" s="221" t="str">
        <f>ORCAMENTO!D76</f>
        <v>ALVENARIA E REVESTIMENTOS</v>
      </c>
      <c r="C17" s="192">
        <f>ORCAMENTO!I76</f>
        <v>19147.86</v>
      </c>
      <c r="D17" s="206">
        <f t="shared" si="0"/>
        <v>0</v>
      </c>
      <c r="E17" s="207"/>
      <c r="F17" s="206">
        <f t="shared" si="1"/>
        <v>15318.29</v>
      </c>
      <c r="G17" s="207">
        <v>0.8</v>
      </c>
      <c r="H17" s="206">
        <f t="shared" si="2"/>
        <v>3829.57</v>
      </c>
      <c r="I17" s="208">
        <v>0.2</v>
      </c>
      <c r="J17" s="218">
        <f t="shared" si="3"/>
        <v>1</v>
      </c>
    </row>
    <row r="18" spans="1:10" x14ac:dyDescent="0.3">
      <c r="A18" s="191" t="str">
        <f>ORCAMENTO!A80</f>
        <v>3.5</v>
      </c>
      <c r="B18" s="221" t="str">
        <f>ORCAMENTO!D80</f>
        <v>INSTALAÇÕES ELÉTRICAS</v>
      </c>
      <c r="C18" s="192">
        <f>ORCAMENTO!I80</f>
        <v>740.71</v>
      </c>
      <c r="D18" s="206">
        <f t="shared" si="0"/>
        <v>0</v>
      </c>
      <c r="E18" s="207"/>
      <c r="F18" s="206">
        <f t="shared" si="1"/>
        <v>0</v>
      </c>
      <c r="G18" s="207"/>
      <c r="H18" s="206">
        <f t="shared" si="2"/>
        <v>740.71</v>
      </c>
      <c r="I18" s="208">
        <v>1</v>
      </c>
      <c r="J18" s="218">
        <f t="shared" si="3"/>
        <v>1</v>
      </c>
    </row>
    <row r="19" spans="1:10" x14ac:dyDescent="0.3">
      <c r="A19" s="191" t="str">
        <f>ORCAMENTO!A85</f>
        <v>3.6</v>
      </c>
      <c r="B19" s="221" t="str">
        <f>ORCAMENTO!D85</f>
        <v>COBERTURA E DRENAGEM</v>
      </c>
      <c r="C19" s="192">
        <f>ORCAMENTO!I85</f>
        <v>14717.350000000002</v>
      </c>
      <c r="D19" s="206">
        <f t="shared" si="0"/>
        <v>0</v>
      </c>
      <c r="E19" s="207"/>
      <c r="F19" s="206">
        <f t="shared" si="1"/>
        <v>0</v>
      </c>
      <c r="G19" s="207"/>
      <c r="H19" s="206">
        <f t="shared" si="2"/>
        <v>14717.35</v>
      </c>
      <c r="I19" s="208">
        <v>1</v>
      </c>
      <c r="J19" s="218">
        <f t="shared" si="3"/>
        <v>1</v>
      </c>
    </row>
    <row r="20" spans="1:10" x14ac:dyDescent="0.3">
      <c r="A20" s="191" t="str">
        <f>ORCAMENTO!A95</f>
        <v>3.7</v>
      </c>
      <c r="B20" s="221" t="str">
        <f>ORCAMENTO!D95</f>
        <v>PISO</v>
      </c>
      <c r="C20" s="192">
        <f>ORCAMENTO!I95</f>
        <v>13012.15</v>
      </c>
      <c r="D20" s="206">
        <f t="shared" si="0"/>
        <v>2602.4299999999998</v>
      </c>
      <c r="E20" s="207">
        <v>0.2</v>
      </c>
      <c r="F20" s="206">
        <f t="shared" si="1"/>
        <v>10409.719999999999</v>
      </c>
      <c r="G20" s="207">
        <v>0.8</v>
      </c>
      <c r="H20" s="206">
        <f t="shared" si="2"/>
        <v>0</v>
      </c>
      <c r="I20" s="208"/>
      <c r="J20" s="218">
        <f t="shared" si="3"/>
        <v>1</v>
      </c>
    </row>
    <row r="21" spans="1:10" x14ac:dyDescent="0.3">
      <c r="A21" s="193" t="str">
        <f>ORCAMENTO!A100</f>
        <v>3.8</v>
      </c>
      <c r="B21" s="224" t="str">
        <f>ORCAMENTO!D100</f>
        <v>ESQUADRIAS</v>
      </c>
      <c r="C21" s="192">
        <f>ORCAMENTO!I100</f>
        <v>5679.91</v>
      </c>
      <c r="D21" s="206">
        <f t="shared" si="0"/>
        <v>0</v>
      </c>
      <c r="E21" s="207"/>
      <c r="F21" s="206">
        <f t="shared" si="1"/>
        <v>0</v>
      </c>
      <c r="G21" s="207"/>
      <c r="H21" s="206">
        <f t="shared" si="2"/>
        <v>5679.91</v>
      </c>
      <c r="I21" s="208">
        <v>1</v>
      </c>
      <c r="J21" s="218">
        <f t="shared" si="3"/>
        <v>1</v>
      </c>
    </row>
    <row r="22" spans="1:10" x14ac:dyDescent="0.3">
      <c r="A22" s="191" t="str">
        <f>ORCAMENTO!A103</f>
        <v>3.9</v>
      </c>
      <c r="B22" s="221" t="str">
        <f>ORCAMENTO!D103</f>
        <v>PINTURA</v>
      </c>
      <c r="C22" s="192">
        <f>ORCAMENTO!I103</f>
        <v>13293.84</v>
      </c>
      <c r="D22" s="206">
        <f t="shared" si="0"/>
        <v>0</v>
      </c>
      <c r="E22" s="207"/>
      <c r="F22" s="206">
        <f t="shared" si="1"/>
        <v>0</v>
      </c>
      <c r="G22" s="207"/>
      <c r="H22" s="206">
        <f t="shared" si="2"/>
        <v>13293.84</v>
      </c>
      <c r="I22" s="208">
        <v>1</v>
      </c>
      <c r="J22" s="218">
        <f t="shared" si="3"/>
        <v>1</v>
      </c>
    </row>
    <row r="23" spans="1:10" x14ac:dyDescent="0.3">
      <c r="A23" s="219" t="s">
        <v>409</v>
      </c>
      <c r="B23" s="220"/>
      <c r="C23" s="220"/>
      <c r="D23" s="225">
        <f>SUM(D5:D22)</f>
        <v>80439.01999999999</v>
      </c>
      <c r="E23" s="226">
        <f>D23/$I$3</f>
        <v>0.31868228736008003</v>
      </c>
      <c r="F23" s="225">
        <f>SUM(F5,F7:F12,F14:F22)</f>
        <v>83131.459999999992</v>
      </c>
      <c r="G23" s="226">
        <f>F23/$I$3</f>
        <v>0.32934916194134384</v>
      </c>
      <c r="H23" s="225">
        <f>SUM(H5,H7:H12,H14:H22)</f>
        <v>88840.87000000001</v>
      </c>
      <c r="I23" s="227">
        <f>H23/$I$3</f>
        <v>0.35196862993432193</v>
      </c>
    </row>
    <row r="24" spans="1:10" x14ac:dyDescent="0.3">
      <c r="A24" s="219" t="s">
        <v>410</v>
      </c>
      <c r="B24" s="220"/>
      <c r="C24" s="220"/>
      <c r="D24" s="225">
        <f>D23</f>
        <v>80439.01999999999</v>
      </c>
      <c r="E24" s="226">
        <f>D24/$I$3</f>
        <v>0.31868228736008003</v>
      </c>
      <c r="F24" s="225">
        <f>D24+F23</f>
        <v>163570.47999999998</v>
      </c>
      <c r="G24" s="226">
        <f>F24/$I$3</f>
        <v>0.64803144930142387</v>
      </c>
      <c r="H24" s="225">
        <f>F24+H23</f>
        <v>252411.34999999998</v>
      </c>
      <c r="I24" s="227">
        <f>H24/$I$3</f>
        <v>1.0000000792357457</v>
      </c>
    </row>
    <row r="25" spans="1:10" ht="14.4" customHeight="1" x14ac:dyDescent="0.3">
      <c r="A25" s="198" t="s">
        <v>385</v>
      </c>
      <c r="B25" s="199"/>
      <c r="C25" s="199"/>
      <c r="D25" s="200"/>
      <c r="E25" s="201" t="s">
        <v>386</v>
      </c>
      <c r="F25" s="202"/>
      <c r="G25" s="202"/>
      <c r="H25" s="202"/>
      <c r="I25" s="205"/>
    </row>
    <row r="26" spans="1:10" ht="69" customHeight="1" thickBot="1" x14ac:dyDescent="0.35">
      <c r="A26" s="228" t="s">
        <v>387</v>
      </c>
      <c r="B26" s="229"/>
      <c r="C26" s="229"/>
      <c r="D26" s="230"/>
      <c r="E26" s="231" t="s">
        <v>388</v>
      </c>
      <c r="F26" s="229"/>
      <c r="G26" s="229"/>
      <c r="H26" s="229"/>
      <c r="I26" s="232"/>
    </row>
  </sheetData>
  <mergeCells count="12">
    <mergeCell ref="A2:G2"/>
    <mergeCell ref="A25:D25"/>
    <mergeCell ref="A26:D26"/>
    <mergeCell ref="E25:I25"/>
    <mergeCell ref="E26:I26"/>
    <mergeCell ref="D4:E4"/>
    <mergeCell ref="F4:G4"/>
    <mergeCell ref="H4:I4"/>
    <mergeCell ref="A23:C23"/>
    <mergeCell ref="A24:C24"/>
    <mergeCell ref="A1:I1"/>
    <mergeCell ref="A3:G3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5</vt:i4>
      </vt:variant>
    </vt:vector>
  </HeadingPairs>
  <TitlesOfParts>
    <vt:vector size="9" baseType="lpstr">
      <vt:lpstr>BDI</vt:lpstr>
      <vt:lpstr>CALCULO</vt:lpstr>
      <vt:lpstr>ORCAMENTO</vt:lpstr>
      <vt:lpstr>CRONOGRAMA</vt:lpstr>
      <vt:lpstr>BDI!Area_de_impressao</vt:lpstr>
      <vt:lpstr>CRONOGRAMA!Area_de_impressao</vt:lpstr>
      <vt:lpstr>ORCAMENTO!Area_de_impressao</vt:lpstr>
      <vt:lpstr>CALCULO!Titulos_de_impressao</vt:lpstr>
      <vt:lpstr>ORCAMENTO!Titulos_de_impressao</vt:lpstr>
    </vt:vector>
  </TitlesOfParts>
  <Manager/>
  <Company/>
  <LinksUpToDate>false</LinksUpToDate>
  <SharedDoc>false</SharedDoc>
  <HyperlinkBase>https://www.seobra.com.br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REFORMA ANEXO SAUDE</dc:title>
  <dc:creator/>
  <cp:keywords>Created by Seobra</cp:keywords>
  <cp:lastModifiedBy/>
  <dcterms:created xsi:type="dcterms:W3CDTF">2026-07-27T20:19:50Z</dcterms:created>
  <dcterms:modified xsi:type="dcterms:W3CDTF">2026-08-17T02:08:00Z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">
    <vt:lpwstr>SEOBRA</vt:lpwstr>
  </property>
  <property fmtid="{D5CDD505-2E9C-101B-9397-08002B2CF9AE}" pid="3" name="orcamento.id">
    <vt:r8>1507220</vt:r8>
  </property>
</Properties>
</file>