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comments2.xml" ContentType="application/vnd.openxmlformats-officedocument.spreadsheetml.comments+xml"/>
  <Override PartName="/xl/threadedComments/threadedComment2.xml" ContentType="application/vnd.ms-excel.threadedcomments+xml"/>
  <Override PartName="/xl/comments3.xml" ContentType="application/vnd.openxmlformats-officedocument.spreadsheetml.comments+xml"/>
  <Override PartName="/xl/threadedComments/threadedComment3.xml" ContentType="application/vnd.ms-excel.threadedcomments+xml"/>
  <Override PartName="/xl/comments4.xml" ContentType="application/vnd.openxmlformats-officedocument.spreadsheetml.comments+xml"/>
  <Override PartName="/xl/threadedComments/threadedComment4.xml" ContentType="application/vnd.ms-excel.threadedcomments+xml"/>
  <Override PartName="/xl/comments5.xml" ContentType="application/vnd.openxmlformats-officedocument.spreadsheetml.comments+xml"/>
  <Override PartName="/xl/threadedComments/threadedComment5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18"/>
  <workbookPr/>
  <mc:AlternateContent xmlns:mc="http://schemas.openxmlformats.org/markup-compatibility/2006">
    <mc:Choice Requires="x15">
      <x15ac:absPath xmlns:x15ac="http://schemas.microsoft.com/office/spreadsheetml/2010/11/ac" url="C:\Users\00213149184\Downloads\"/>
    </mc:Choice>
  </mc:AlternateContent>
  <xr:revisionPtr revIDLastSave="0" documentId="8_{F7EEBB78-1A7A-4CAA-ACF9-C1CC0B64DF6E}" xr6:coauthVersionLast="47" xr6:coauthVersionMax="47" xr10:uidLastSave="{00000000-0000-0000-0000-000000000000}"/>
  <bookViews>
    <workbookView xWindow="-120" yWindow="-120" windowWidth="29040" windowHeight="15840" tabRatio="882" firstSheet="6" activeTab="6" xr2:uid="{237F8370-F54E-4CBB-BADD-B88E2A01D5B3}"/>
  </bookViews>
  <sheets>
    <sheet name="Consumo Grupo A" sheetId="1" r:id="rId1"/>
    <sheet name="Demanda Grupo A" sheetId="2" r:id="rId2"/>
    <sheet name="Consumo Grupo B" sheetId="9" r:id="rId3"/>
    <sheet name="Histórico Tarifas - Grupo A" sheetId="17" r:id="rId4"/>
    <sheet name="Histórico Tarifas - Grupo B" sheetId="7" r:id="rId5"/>
    <sheet name="CIP" sheetId="8" r:id="rId6"/>
    <sheet name="Resumo Energia" sheetId="18" r:id="rId7"/>
    <sheet name="Rateio" sheetId="14" r:id="rId8"/>
  </sheets>
  <definedNames>
    <definedName name="_xlnm._FilterDatabase" localSheetId="0" hidden="1">'Consumo Grupo A'!$C$3:$AW$3</definedName>
    <definedName name="_xlnm._FilterDatabase" localSheetId="2" hidden="1">'Consumo Grupo B'!$A$2:$I$2</definedName>
    <definedName name="_xlnm._FilterDatabase" localSheetId="1" hidden="1">'Demanda Grupo A'!$A$1:$N$1</definedName>
    <definedName name="_xlnm._FilterDatabase" localSheetId="3" hidden="1">'Histórico Tarifas - Grupo A'!$B$2:$U$101</definedName>
    <definedName name="_xlnm._FilterDatabase" localSheetId="4" hidden="1">'Histórico Tarifas - Grupo B'!$A$1:$C$1</definedName>
    <definedName name="txt_01563ae623f948ef3d5cbf1e7055e4e3" localSheetId="5">CIP!#REF!</definedName>
    <definedName name="txt_021c6a9fc97241d3c23af6edb0997c0a" localSheetId="5">CIP!#REF!</definedName>
    <definedName name="txt_0550699c3de74574471d89864fa4aa6e" localSheetId="5">CIP!#REF!</definedName>
    <definedName name="txt_08c7c02fe4e04fc233d594009aa7021d" localSheetId="5">CIP!$E$9</definedName>
    <definedName name="txt_0db42b081594427fe32500c45be2fc17" localSheetId="5">CIP!#REF!</definedName>
    <definedName name="txt_0df94473c4c346c1bb29837eafbfd2e0" localSheetId="5">CIP!#REF!</definedName>
    <definedName name="txt_0f787561c5f74cc0b209f6024e8655ca" localSheetId="5">CIP!$E$16</definedName>
    <definedName name="txt_0ff365bbf74c453f263feb5364857cc8" localSheetId="5">CIP!#REF!</definedName>
    <definedName name="txt_1905da5fa0da4eed6501e349970c0be8" localSheetId="5">CIP!#REF!</definedName>
    <definedName name="txt_1dc9d053e01e4defc3dc29e1c6fc782e" localSheetId="5">CIP!#REF!</definedName>
    <definedName name="txt_20f9575fec7d4849c9e12404ce3574f9" localSheetId="5">CIP!#REF!</definedName>
    <definedName name="txt_23dda578561b4d1da03ac0994376ff61" localSheetId="5">CIP!$E$12</definedName>
    <definedName name="txt_2d6ab00b30764efe763e0bba670fd16d" localSheetId="5">CIP!#REF!</definedName>
    <definedName name="txt_381ae1e750ee4ced59e1e42990682663" localSheetId="5">CIP!$E$4</definedName>
    <definedName name="txt_3e77c9c4c7de4876c3085ee3b2572e85" localSheetId="5">CIP!$E$21</definedName>
    <definedName name="txt_3ee2251323884efb602624675587b6d6" localSheetId="5">CIP!#REF!</definedName>
    <definedName name="txt_4bca2ab044984eb5ad5d61e3ac2d8b8b" localSheetId="5">CIP!#REF!</definedName>
    <definedName name="txt_4be4914fac1b407750facd563fa44ce5" localSheetId="5">CIP!#REF!</definedName>
    <definedName name="txt_4cf0da6e2ac64886d7979d02f947e406" localSheetId="5">CIP!#REF!</definedName>
    <definedName name="txt_4d1c1d462c2b483497f504d5e037c382" localSheetId="5">CIP!#REF!</definedName>
    <definedName name="txt_53c8461358b74356ebb8e62c176fe9bf" localSheetId="5">CIP!#REF!</definedName>
    <definedName name="txt_5500a702e56c45528ea8ff246b8a308b" localSheetId="5">CIP!$E$19</definedName>
    <definedName name="txt_56eedd1dd4044ab4fd3fb001f8b14ad8" localSheetId="5">CIP!#REF!</definedName>
    <definedName name="txt_58648137b4b843ffeac8b176997c826a" localSheetId="5">CIP!#REF!</definedName>
    <definedName name="txt_5983c44932c145eb92be75c6831a110e" localSheetId="5">CIP!$E$5</definedName>
    <definedName name="txt_5aa9d64e730c47477dcad49f57da016f" localSheetId="5">CIP!#REF!</definedName>
    <definedName name="txt_5cb86c7ce561478c1256ea823ea9671e" localSheetId="5">CIP!#REF!</definedName>
    <definedName name="txt_613939da30074621ce5189a9f2d616ef" localSheetId="5">CIP!#REF!</definedName>
    <definedName name="txt_672e6db7c99b4f6e51f1418ec238e60c" localSheetId="5">CIP!#REF!</definedName>
    <definedName name="txt_68fa426d2af947e87f1680fb6f6941c0" localSheetId="5">CIP!$E$17</definedName>
    <definedName name="txt_695098407d274d308f10b25e2d437b9e" localSheetId="5">CIP!$E$18</definedName>
    <definedName name="txt_6a6cb49b06444ea5a53305eb5363f35e" localSheetId="5">CIP!#REF!</definedName>
    <definedName name="txt_710c076fd9fd4e7c7f4dbd2432e73a11" localSheetId="5">CIP!#REF!</definedName>
    <definedName name="txt_720349131dd64687d451e2a5ed25c033" localSheetId="5">CIP!#REF!</definedName>
    <definedName name="txt_75bc0621c72b4304d55db20524cd5456" localSheetId="5">CIP!$E$14</definedName>
    <definedName name="txt_769f9e0219e545c494987ac72a6e9343" localSheetId="5">CIP!#REF!</definedName>
    <definedName name="txt_788970df6e134bc6471e8362e80fc81d" localSheetId="5">CIP!$E$8</definedName>
    <definedName name="txt_8070392cd53d414908b0ff8046a69966" localSheetId="5">CIP!$E$20</definedName>
    <definedName name="txt_81398d986d154908d3fbe6956488e225" localSheetId="5">CIP!#REF!</definedName>
    <definedName name="txt_826098b2e6484390348aea27e6a37bb2" localSheetId="5">CIP!#REF!</definedName>
    <definedName name="txt_88e779668eec41948c0637328d138576" localSheetId="5">CIP!#REF!</definedName>
    <definedName name="txt_9baa59c582b7401cb32fe2b281e280ad" localSheetId="5">CIP!#REF!</definedName>
    <definedName name="txt_9e9231b83f6b4ebe9e239e9d41edd900" localSheetId="5">CIP!$E$15</definedName>
    <definedName name="txt_a3ee6f48254c4b1f4bf555307a9a453e" localSheetId="5">CIP!#REF!</definedName>
    <definedName name="txt_a527c6bcc3ec4068b6991c47be142f4c" localSheetId="5">CIP!#REF!</definedName>
    <definedName name="txt_a794114432094953b6e5b892eacd1b99" localSheetId="5">CIP!#REF!</definedName>
    <definedName name="txt_aa95b9d211aa4b4c92fcef118668f66c" localSheetId="5">CIP!$E$11</definedName>
    <definedName name="txt_aabe553ef7014dc0623a5c7e130d16ac" localSheetId="5">CIP!$E$22</definedName>
    <definedName name="txt_ad2308cd606647f56232410cdd02b5ad" localSheetId="5">CIP!$E$23</definedName>
    <definedName name="txt_b849c92dd3934721f4acbab0aa5ba609" localSheetId="5">CIP!#REF!</definedName>
    <definedName name="txt_c172a31a6f274ab00794666b8c9d6257" localSheetId="5">CIP!$E$24</definedName>
    <definedName name="txt_caaa431440d84d350d448031079ce742" localSheetId="5">CIP!#REF!</definedName>
    <definedName name="txt_ce78b57b3ec24ce7b03e13a23bc786e1" localSheetId="5">CIP!#REF!</definedName>
    <definedName name="txt_d32af414ab3b42f179e2f7e8450d7ae4" localSheetId="5">CIP!$E$10</definedName>
    <definedName name="txt_d42634819cc5464600301fa3bb7a9cd5" localSheetId="5">CIP!#REF!</definedName>
    <definedName name="txt_d6ab17a6ae8044ae417090430ec5c1d5" localSheetId="5">CIP!$E$6</definedName>
    <definedName name="txt_dc6bbf17d7e247699039322a6be4ebeb" localSheetId="5">CIP!$E$7</definedName>
    <definedName name="txt_e02a3cf6ea0544cdae248ce1a45e63c7" localSheetId="5">CIP!#REF!</definedName>
    <definedName name="txt_e3d9f1a94d7c4e50efaf745e5f9ed0b8" localSheetId="5">CIP!$E$13</definedName>
    <definedName name="txt_e94840b0734c41ec59a222abdd795cf2" localSheetId="5">CIP!#REF!</definedName>
    <definedName name="txt_edb936170e5d4554454e951ef164c75e" localSheetId="5">CIP!#REF!</definedName>
    <definedName name="txt_ef301066c19c4928dc5e16f2ad859d42" localSheetId="5">CIP!#REF!</definedName>
    <definedName name="txt_f38abb5ae819423e0f073d786f839b0b" localSheetId="5">CIP!#REF!</definedName>
    <definedName name="txt_fc022fb75d48494a5c4b2670c0b0aac5" localSheetId="5">CIP!#REF!</definedName>
    <definedName name="txt_ffd5e2d85f9e4c7d59b27e2017a0674d" localSheetId="5">CIP!#REF!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E47" i="18" l="1"/>
  <c r="AE43" i="18"/>
  <c r="AE39" i="18"/>
  <c r="AE35" i="18"/>
  <c r="AE31" i="18"/>
  <c r="AD47" i="18"/>
  <c r="AD43" i="18"/>
  <c r="AD39" i="18"/>
  <c r="AD35" i="18"/>
  <c r="AD31" i="18"/>
  <c r="AC47" i="18"/>
  <c r="Z47" i="18"/>
  <c r="AA47" i="18"/>
  <c r="AB47" i="18"/>
  <c r="AC43" i="18"/>
  <c r="AC39" i="18"/>
  <c r="AC35" i="18"/>
  <c r="AC31" i="18"/>
  <c r="AB43" i="18"/>
  <c r="AB39" i="18"/>
  <c r="AB35" i="18"/>
  <c r="AB31" i="18"/>
  <c r="AA43" i="18"/>
  <c r="AA39" i="18"/>
  <c r="AA35" i="18"/>
  <c r="AA31" i="18"/>
  <c r="Z43" i="18"/>
  <c r="Z39" i="18"/>
  <c r="Z35" i="18"/>
  <c r="Z31" i="18"/>
  <c r="AE30" i="18"/>
  <c r="AE26" i="18"/>
  <c r="AE22" i="18"/>
  <c r="AE18" i="18"/>
  <c r="AE14" i="18"/>
  <c r="AE10" i="18"/>
  <c r="AE6" i="18"/>
  <c r="AC30" i="18"/>
  <c r="AD30" i="18"/>
  <c r="AD26" i="18"/>
  <c r="AD22" i="18"/>
  <c r="AD18" i="18"/>
  <c r="AD14" i="18"/>
  <c r="AD10" i="18"/>
  <c r="AD6" i="18"/>
  <c r="AA6" i="18"/>
  <c r="AC26" i="18"/>
  <c r="AC22" i="18"/>
  <c r="AC18" i="18"/>
  <c r="AC14" i="18"/>
  <c r="AC10" i="18"/>
  <c r="AC6" i="18"/>
  <c r="AB30" i="18"/>
  <c r="AB26" i="18"/>
  <c r="AB22" i="18"/>
  <c r="AB18" i="18"/>
  <c r="AB14" i="18"/>
  <c r="AB10" i="18"/>
  <c r="AB6" i="18"/>
  <c r="AA30" i="18"/>
  <c r="AA26" i="18"/>
  <c r="AA22" i="18"/>
  <c r="AA18" i="18"/>
  <c r="AA14" i="18"/>
  <c r="AA10" i="18"/>
  <c r="Z30" i="18"/>
  <c r="Z26" i="18"/>
  <c r="Z22" i="18"/>
  <c r="Z18" i="18"/>
  <c r="Z14" i="18"/>
  <c r="Z10" i="18"/>
  <c r="Z6" i="18"/>
  <c r="AA50" i="18"/>
  <c r="Z50" i="18"/>
  <c r="AD50" i="18"/>
  <c r="Q54" i="18"/>
  <c r="R54" i="18"/>
  <c r="BD5" i="18"/>
  <c r="BC5" i="18"/>
  <c r="T54" i="18" l="1"/>
  <c r="V54" i="18"/>
  <c r="AD54" i="18" s="1"/>
  <c r="AE54" i="18" s="1"/>
  <c r="T45" i="18"/>
  <c r="T28" i="18"/>
  <c r="T24" i="18"/>
  <c r="T41" i="18"/>
  <c r="T20" i="18"/>
  <c r="T16" i="18"/>
  <c r="T12" i="18"/>
  <c r="T37" i="18"/>
  <c r="T33" i="18"/>
  <c r="T8" i="18"/>
  <c r="AD23" i="1" l="1"/>
  <c r="G54" i="1" l="1"/>
  <c r="L31" i="18"/>
  <c r="N31" i="18"/>
  <c r="P31" i="18"/>
  <c r="M32" i="18"/>
  <c r="O32" i="18"/>
  <c r="K34" i="18"/>
  <c r="L35" i="18"/>
  <c r="N35" i="18"/>
  <c r="P35" i="18"/>
  <c r="M36" i="18"/>
  <c r="O36" i="18"/>
  <c r="K38" i="18"/>
  <c r="L10" i="18"/>
  <c r="N10" i="18"/>
  <c r="P10" i="18"/>
  <c r="M11" i="18"/>
  <c r="O11" i="18"/>
  <c r="K13" i="18"/>
  <c r="L14" i="18"/>
  <c r="N14" i="18"/>
  <c r="P14" i="18"/>
  <c r="M15" i="18"/>
  <c r="O15" i="18"/>
  <c r="K17" i="18"/>
  <c r="L18" i="18"/>
  <c r="N18" i="18"/>
  <c r="P18" i="18"/>
  <c r="M19" i="18"/>
  <c r="O19" i="18"/>
  <c r="K21" i="18"/>
  <c r="L39" i="18"/>
  <c r="N39" i="18"/>
  <c r="P39" i="18"/>
  <c r="M40" i="18"/>
  <c r="O40" i="18"/>
  <c r="K42" i="18"/>
  <c r="L22" i="18"/>
  <c r="N22" i="18"/>
  <c r="P22" i="18"/>
  <c r="M23" i="18"/>
  <c r="O23" i="18"/>
  <c r="K25" i="18"/>
  <c r="L26" i="18"/>
  <c r="N26" i="18"/>
  <c r="P26" i="18"/>
  <c r="M27" i="18"/>
  <c r="O27" i="18"/>
  <c r="K29" i="18"/>
  <c r="L43" i="18"/>
  <c r="N43" i="18"/>
  <c r="P43" i="18"/>
  <c r="M44" i="18"/>
  <c r="O44" i="18"/>
  <c r="K46" i="18"/>
  <c r="P6" i="18"/>
  <c r="O7" i="18"/>
  <c r="N6" i="18"/>
  <c r="M7" i="18"/>
  <c r="L6" i="18"/>
  <c r="K9" i="18"/>
  <c r="T124" i="17"/>
  <c r="T123" i="17"/>
  <c r="T126" i="17" s="1"/>
  <c r="T122" i="17"/>
  <c r="T125" i="17" s="1"/>
  <c r="T121" i="17"/>
  <c r="T120" i="17"/>
  <c r="T118" i="17"/>
  <c r="T117" i="17"/>
  <c r="T116" i="17"/>
  <c r="T115" i="17"/>
  <c r="T114" i="17"/>
  <c r="T113" i="17"/>
  <c r="T112" i="17"/>
  <c r="T111" i="17"/>
  <c r="T110" i="17"/>
  <c r="T109" i="17"/>
  <c r="T108" i="17"/>
  <c r="T107" i="17"/>
  <c r="T100" i="17"/>
  <c r="T99" i="17"/>
  <c r="T98" i="17"/>
  <c r="T97" i="17"/>
  <c r="T96" i="17"/>
  <c r="T95" i="17"/>
  <c r="T94" i="17"/>
  <c r="T93" i="17"/>
  <c r="T91" i="17"/>
  <c r="T90" i="17"/>
  <c r="T89" i="17"/>
  <c r="T88" i="17"/>
  <c r="T87" i="17"/>
  <c r="T86" i="17"/>
  <c r="T85" i="17"/>
  <c r="T84" i="17"/>
  <c r="T82" i="17"/>
  <c r="T81" i="17"/>
  <c r="T80" i="17"/>
  <c r="T79" i="17"/>
  <c r="T78" i="17"/>
  <c r="T77" i="17"/>
  <c r="T76" i="17"/>
  <c r="T75" i="17"/>
  <c r="T73" i="17"/>
  <c r="T72" i="17"/>
  <c r="T71" i="17"/>
  <c r="T70" i="17"/>
  <c r="T69" i="17"/>
  <c r="T68" i="17"/>
  <c r="T67" i="17"/>
  <c r="T65" i="17"/>
  <c r="T64" i="17"/>
  <c r="T63" i="17"/>
  <c r="T62" i="17"/>
  <c r="T61" i="17"/>
  <c r="T60" i="17"/>
  <c r="T59" i="17"/>
  <c r="T57" i="17"/>
  <c r="T56" i="17"/>
  <c r="T55" i="17"/>
  <c r="T54" i="17"/>
  <c r="T53" i="17"/>
  <c r="T52" i="17"/>
  <c r="T51" i="17"/>
  <c r="T49" i="17"/>
  <c r="T48" i="17"/>
  <c r="T47" i="17"/>
  <c r="T46" i="17"/>
  <c r="T45" i="17"/>
  <c r="T44" i="17"/>
  <c r="T43" i="17"/>
  <c r="T41" i="17"/>
  <c r="T40" i="17"/>
  <c r="T39" i="17"/>
  <c r="T38" i="17"/>
  <c r="T37" i="17"/>
  <c r="T36" i="17"/>
  <c r="T35" i="17"/>
  <c r="T33" i="17"/>
  <c r="T32" i="17"/>
  <c r="T31" i="17"/>
  <c r="T30" i="17"/>
  <c r="T29" i="17"/>
  <c r="T28" i="17"/>
  <c r="T27" i="17"/>
  <c r="T25" i="17"/>
  <c r="T24" i="17"/>
  <c r="T23" i="17"/>
  <c r="T22" i="17"/>
  <c r="T21" i="17"/>
  <c r="T20" i="17"/>
  <c r="T19" i="17"/>
  <c r="T17" i="17"/>
  <c r="T16" i="17"/>
  <c r="T15" i="17"/>
  <c r="T14" i="17"/>
  <c r="T13" i="17"/>
  <c r="T12" i="17"/>
  <c r="T11" i="17"/>
  <c r="T9" i="17"/>
  <c r="T8" i="17"/>
  <c r="T7" i="17"/>
  <c r="T6" i="17"/>
  <c r="T5" i="17"/>
  <c r="T4" i="17"/>
  <c r="T3" i="17"/>
  <c r="X45" i="18"/>
  <c r="H29" i="18"/>
  <c r="X28" i="18"/>
  <c r="AF26" i="18"/>
  <c r="H25" i="18"/>
  <c r="X24" i="18"/>
  <c r="AF22" i="18"/>
  <c r="H42" i="18"/>
  <c r="X41" i="18"/>
  <c r="AF39" i="18"/>
  <c r="H21" i="18"/>
  <c r="X20" i="18"/>
  <c r="AF18" i="18"/>
  <c r="H17" i="18"/>
  <c r="X16" i="18"/>
  <c r="AF14" i="18"/>
  <c r="H13" i="18"/>
  <c r="X12" i="18"/>
  <c r="AF10" i="18"/>
  <c r="H38" i="18"/>
  <c r="X37" i="18"/>
  <c r="AF35" i="18"/>
  <c r="H34" i="18"/>
  <c r="X33" i="18"/>
  <c r="AF31" i="18"/>
  <c r="H9" i="18"/>
  <c r="X8" i="18"/>
  <c r="AF6" i="18"/>
  <c r="BL5" i="18"/>
  <c r="BL54" i="18" s="1"/>
  <c r="BK5" i="18"/>
  <c r="BK54" i="18" s="1"/>
  <c r="AZ5" i="18"/>
  <c r="AY5" i="18"/>
  <c r="AX5" i="18"/>
  <c r="BJ5" i="18"/>
  <c r="BI5" i="18"/>
  <c r="BH5" i="18"/>
  <c r="AW5" i="18"/>
  <c r="AV5" i="18"/>
  <c r="AU5" i="18"/>
  <c r="AT5" i="18"/>
  <c r="AS5" i="18"/>
  <c r="AR5" i="18"/>
  <c r="AQ5" i="18"/>
  <c r="BG5" i="18"/>
  <c r="BF5" i="18"/>
  <c r="BE5" i="18"/>
  <c r="BB5" i="18"/>
  <c r="BA5" i="18"/>
  <c r="AP5" i="18"/>
  <c r="AO5" i="18"/>
  <c r="AN5" i="18"/>
  <c r="AM5" i="18"/>
  <c r="AL5" i="18"/>
  <c r="AK5" i="18"/>
  <c r="AI3" i="18"/>
  <c r="C10" i="17"/>
  <c r="C18" i="17"/>
  <c r="C26" i="17"/>
  <c r="C34" i="17"/>
  <c r="C42" i="17"/>
  <c r="C50" i="17"/>
  <c r="C58" i="17"/>
  <c r="C66" i="17"/>
  <c r="C74" i="17"/>
  <c r="C83" i="17"/>
  <c r="C92" i="17"/>
  <c r="C101" i="17"/>
  <c r="S70" i="17"/>
  <c r="S27" i="17"/>
  <c r="S90" i="17"/>
  <c r="S99" i="17"/>
  <c r="S84" i="17"/>
  <c r="S93" i="17"/>
  <c r="S3" i="17"/>
  <c r="S11" i="17"/>
  <c r="S19" i="17"/>
  <c r="S35" i="17"/>
  <c r="S43" i="17"/>
  <c r="S51" i="17"/>
  <c r="S59" i="17"/>
  <c r="S67" i="17"/>
  <c r="S76" i="17"/>
  <c r="S85" i="17"/>
  <c r="S94" i="17"/>
  <c r="S4" i="17"/>
  <c r="S12" i="17"/>
  <c r="S20" i="17"/>
  <c r="S28" i="17"/>
  <c r="S36" i="17"/>
  <c r="S44" i="17"/>
  <c r="S52" i="17"/>
  <c r="S60" i="17"/>
  <c r="S68" i="17"/>
  <c r="S77" i="17"/>
  <c r="S86" i="17"/>
  <c r="S95" i="17"/>
  <c r="S5" i="17"/>
  <c r="S13" i="17"/>
  <c r="S21" i="17"/>
  <c r="S29" i="17"/>
  <c r="S37" i="17"/>
  <c r="S45" i="17"/>
  <c r="S53" i="17"/>
  <c r="S61" i="17"/>
  <c r="S69" i="17"/>
  <c r="S78" i="17"/>
  <c r="S87" i="17"/>
  <c r="S96" i="17"/>
  <c r="S6" i="17"/>
  <c r="S14" i="17"/>
  <c r="S22" i="17"/>
  <c r="S30" i="17"/>
  <c r="S38" i="17"/>
  <c r="S46" i="17"/>
  <c r="S54" i="17"/>
  <c r="S62" i="17"/>
  <c r="S79" i="17"/>
  <c r="S88" i="17"/>
  <c r="S97" i="17"/>
  <c r="S7" i="17"/>
  <c r="S15" i="17"/>
  <c r="S23" i="17"/>
  <c r="S31" i="17"/>
  <c r="S39" i="17"/>
  <c r="S47" i="17"/>
  <c r="S55" i="17"/>
  <c r="S63" i="17"/>
  <c r="S71" i="17"/>
  <c r="S80" i="17"/>
  <c r="S89" i="17"/>
  <c r="S98" i="17"/>
  <c r="S8" i="17"/>
  <c r="S16" i="17"/>
  <c r="S24" i="17"/>
  <c r="S32" i="17"/>
  <c r="S40" i="17"/>
  <c r="S48" i="17"/>
  <c r="S56" i="17"/>
  <c r="S64" i="17"/>
  <c r="S72" i="17"/>
  <c r="S81" i="17"/>
  <c r="S9" i="17"/>
  <c r="S17" i="17"/>
  <c r="S25" i="17"/>
  <c r="S33" i="17"/>
  <c r="S41" i="17"/>
  <c r="S49" i="17"/>
  <c r="S57" i="17"/>
  <c r="S65" i="17"/>
  <c r="S73" i="17"/>
  <c r="S82" i="17"/>
  <c r="S75" i="17"/>
  <c r="R84" i="17"/>
  <c r="R93" i="17"/>
  <c r="R3" i="17"/>
  <c r="R11" i="17"/>
  <c r="R19" i="17"/>
  <c r="R27" i="17"/>
  <c r="R35" i="17"/>
  <c r="R43" i="17"/>
  <c r="R51" i="17"/>
  <c r="R59" i="17"/>
  <c r="R67" i="17"/>
  <c r="R76" i="17"/>
  <c r="R85" i="17"/>
  <c r="R94" i="17"/>
  <c r="R4" i="17"/>
  <c r="R12" i="17"/>
  <c r="R20" i="17"/>
  <c r="R28" i="17"/>
  <c r="R36" i="17"/>
  <c r="R44" i="17"/>
  <c r="R52" i="17"/>
  <c r="R60" i="17"/>
  <c r="R68" i="17"/>
  <c r="R77" i="17"/>
  <c r="R86" i="17"/>
  <c r="R95" i="17"/>
  <c r="R5" i="17"/>
  <c r="R13" i="17"/>
  <c r="R21" i="17"/>
  <c r="R29" i="17"/>
  <c r="R37" i="17"/>
  <c r="R45" i="17"/>
  <c r="R53" i="17"/>
  <c r="R61" i="17"/>
  <c r="R69" i="17"/>
  <c r="R78" i="17"/>
  <c r="R87" i="17"/>
  <c r="R96" i="17"/>
  <c r="R6" i="17"/>
  <c r="R14" i="17"/>
  <c r="R22" i="17"/>
  <c r="R30" i="17"/>
  <c r="R38" i="17"/>
  <c r="R46" i="17"/>
  <c r="R54" i="17"/>
  <c r="R62" i="17"/>
  <c r="R70" i="17"/>
  <c r="R79" i="17"/>
  <c r="R88" i="17"/>
  <c r="R97" i="17"/>
  <c r="R7" i="17"/>
  <c r="R15" i="17"/>
  <c r="R23" i="17"/>
  <c r="R31" i="17"/>
  <c r="R39" i="17"/>
  <c r="R47" i="17"/>
  <c r="R55" i="17"/>
  <c r="R63" i="17"/>
  <c r="R71" i="17"/>
  <c r="R80" i="17"/>
  <c r="R89" i="17"/>
  <c r="R98" i="17"/>
  <c r="R8" i="17"/>
  <c r="R16" i="17"/>
  <c r="R24" i="17"/>
  <c r="R32" i="17"/>
  <c r="R40" i="17"/>
  <c r="R48" i="17"/>
  <c r="R56" i="17"/>
  <c r="R64" i="17"/>
  <c r="R72" i="17"/>
  <c r="R81" i="17"/>
  <c r="R90" i="17"/>
  <c r="R99" i="17"/>
  <c r="R9" i="17"/>
  <c r="R17" i="17"/>
  <c r="R25" i="17"/>
  <c r="R33" i="17"/>
  <c r="R41" i="17"/>
  <c r="R49" i="17"/>
  <c r="R57" i="17"/>
  <c r="R65" i="17"/>
  <c r="R73" i="17"/>
  <c r="R82" i="17"/>
  <c r="R75" i="17"/>
  <c r="Q49" i="17"/>
  <c r="Q57" i="17"/>
  <c r="Q65" i="17"/>
  <c r="Q73" i="17"/>
  <c r="Q82" i="17"/>
  <c r="Q84" i="17"/>
  <c r="U84" i="17" s="1"/>
  <c r="Q93" i="17"/>
  <c r="Q3" i="17"/>
  <c r="Q11" i="17"/>
  <c r="U11" i="17" s="1"/>
  <c r="Q19" i="17"/>
  <c r="Q27" i="17"/>
  <c r="U27" i="17" s="1"/>
  <c r="Q35" i="17"/>
  <c r="U35" i="17" s="1"/>
  <c r="Q43" i="17"/>
  <c r="Q51" i="17"/>
  <c r="U51" i="17" s="1"/>
  <c r="Q59" i="17"/>
  <c r="Q67" i="17"/>
  <c r="U67" i="17" s="1"/>
  <c r="Q76" i="17"/>
  <c r="Q85" i="17"/>
  <c r="U85" i="17" s="1"/>
  <c r="Q94" i="17"/>
  <c r="U94" i="17" s="1"/>
  <c r="Q4" i="17"/>
  <c r="Q12" i="17"/>
  <c r="U12" i="17" s="1"/>
  <c r="Q20" i="17"/>
  <c r="Q28" i="17"/>
  <c r="Q36" i="17"/>
  <c r="U36" i="17" s="1"/>
  <c r="Q44" i="17"/>
  <c r="Q52" i="17"/>
  <c r="U52" i="17" s="1"/>
  <c r="Q60" i="17"/>
  <c r="Q68" i="17"/>
  <c r="U68" i="17" s="1"/>
  <c r="Q77" i="17"/>
  <c r="Q86" i="17"/>
  <c r="U86" i="17" s="1"/>
  <c r="Q95" i="17"/>
  <c r="U95" i="17" s="1"/>
  <c r="Q5" i="17"/>
  <c r="Q13" i="17"/>
  <c r="U13" i="17" s="1"/>
  <c r="Q21" i="17"/>
  <c r="Q29" i="17"/>
  <c r="Q37" i="17"/>
  <c r="U37" i="17" s="1"/>
  <c r="Q45" i="17"/>
  <c r="Q53" i="17"/>
  <c r="U53" i="17" s="1"/>
  <c r="Q61" i="17"/>
  <c r="Q69" i="17"/>
  <c r="U69" i="17" s="1"/>
  <c r="Q78" i="17"/>
  <c r="Q87" i="17"/>
  <c r="U87" i="17" s="1"/>
  <c r="Q96" i="17"/>
  <c r="U96" i="17" s="1"/>
  <c r="Q6" i="17"/>
  <c r="Q14" i="17"/>
  <c r="U14" i="17" s="1"/>
  <c r="Q22" i="17"/>
  <c r="Q30" i="17"/>
  <c r="Q38" i="17"/>
  <c r="U38" i="17" s="1"/>
  <c r="Q46" i="17"/>
  <c r="Q54" i="17"/>
  <c r="U54" i="17" s="1"/>
  <c r="Q62" i="17"/>
  <c r="Q70" i="17"/>
  <c r="U70" i="17" s="1"/>
  <c r="Q79" i="17"/>
  <c r="Q88" i="17"/>
  <c r="U88" i="17" s="1"/>
  <c r="Q97" i="17"/>
  <c r="U97" i="17" s="1"/>
  <c r="Q7" i="17"/>
  <c r="Q15" i="17"/>
  <c r="Q23" i="17"/>
  <c r="Q31" i="17"/>
  <c r="U31" i="17" s="1"/>
  <c r="Q39" i="17"/>
  <c r="Q47" i="17"/>
  <c r="Q55" i="17"/>
  <c r="Q63" i="17"/>
  <c r="Q71" i="17"/>
  <c r="U71" i="17" s="1"/>
  <c r="Q80" i="17"/>
  <c r="Q89" i="17"/>
  <c r="U89" i="17" s="1"/>
  <c r="Q98" i="17"/>
  <c r="U98" i="17" s="1"/>
  <c r="Q8" i="17"/>
  <c r="Q16" i="17"/>
  <c r="Q24" i="17"/>
  <c r="Q32" i="17"/>
  <c r="U32" i="17" s="1"/>
  <c r="Q40" i="17"/>
  <c r="Q48" i="17"/>
  <c r="Q56" i="17"/>
  <c r="Q64" i="17"/>
  <c r="Q72" i="17"/>
  <c r="U72" i="17" s="1"/>
  <c r="Q81" i="17"/>
  <c r="Q90" i="17"/>
  <c r="U90" i="17" s="1"/>
  <c r="Q99" i="17"/>
  <c r="U99" i="17" s="1"/>
  <c r="Q9" i="17"/>
  <c r="Q17" i="17"/>
  <c r="U17" i="17" s="1"/>
  <c r="Q25" i="17"/>
  <c r="Q33" i="17"/>
  <c r="U33" i="17" s="1"/>
  <c r="Q41" i="17"/>
  <c r="U41" i="17" s="1"/>
  <c r="Q75" i="17"/>
  <c r="C100" i="17"/>
  <c r="C99" i="17"/>
  <c r="C98" i="17"/>
  <c r="C97" i="17"/>
  <c r="C96" i="17"/>
  <c r="C95" i="17"/>
  <c r="C94" i="17"/>
  <c r="C93" i="17"/>
  <c r="C91" i="17"/>
  <c r="C90" i="17"/>
  <c r="C89" i="17"/>
  <c r="C88" i="17"/>
  <c r="C87" i="17"/>
  <c r="C86" i="17"/>
  <c r="C85" i="17"/>
  <c r="C84" i="17"/>
  <c r="C82" i="17"/>
  <c r="C81" i="17"/>
  <c r="C80" i="17"/>
  <c r="C79" i="17"/>
  <c r="C78" i="17"/>
  <c r="C77" i="17"/>
  <c r="C76" i="17"/>
  <c r="C75" i="17"/>
  <c r="C73" i="17"/>
  <c r="C72" i="17"/>
  <c r="C71" i="17"/>
  <c r="C70" i="17"/>
  <c r="C69" i="17"/>
  <c r="C68" i="17"/>
  <c r="C67" i="17"/>
  <c r="C65" i="17"/>
  <c r="C64" i="17"/>
  <c r="C63" i="17"/>
  <c r="C62" i="17"/>
  <c r="C61" i="17"/>
  <c r="C60" i="17"/>
  <c r="C59" i="17"/>
  <c r="C57" i="17"/>
  <c r="C56" i="17"/>
  <c r="C55" i="17"/>
  <c r="C54" i="17"/>
  <c r="C53" i="17"/>
  <c r="C52" i="17"/>
  <c r="C51" i="17"/>
  <c r="C49" i="17"/>
  <c r="C48" i="17"/>
  <c r="C47" i="17"/>
  <c r="C46" i="17"/>
  <c r="C45" i="17"/>
  <c r="C44" i="17"/>
  <c r="C43" i="17"/>
  <c r="C41" i="17"/>
  <c r="C40" i="17"/>
  <c r="C39" i="17"/>
  <c r="C38" i="17"/>
  <c r="C37" i="17"/>
  <c r="C36" i="17"/>
  <c r="C35" i="17"/>
  <c r="C33" i="17"/>
  <c r="C32" i="17"/>
  <c r="C31" i="17"/>
  <c r="C30" i="17"/>
  <c r="C29" i="17"/>
  <c r="C28" i="17"/>
  <c r="C27" i="17"/>
  <c r="C25" i="17"/>
  <c r="C24" i="17"/>
  <c r="C23" i="17"/>
  <c r="C22" i="17"/>
  <c r="C21" i="17"/>
  <c r="C20" i="17"/>
  <c r="C19" i="17"/>
  <c r="C17" i="17"/>
  <c r="C16" i="17"/>
  <c r="C15" i="17"/>
  <c r="C14" i="17"/>
  <c r="C13" i="17"/>
  <c r="C12" i="17"/>
  <c r="C11" i="17"/>
  <c r="C9" i="17"/>
  <c r="C8" i="17"/>
  <c r="C7" i="17"/>
  <c r="C6" i="17"/>
  <c r="C5" i="17"/>
  <c r="C4" i="17"/>
  <c r="C3" i="17"/>
  <c r="H300" i="2"/>
  <c r="H299" i="2"/>
  <c r="H298" i="2"/>
  <c r="H297" i="2"/>
  <c r="H296" i="2"/>
  <c r="H295" i="2"/>
  <c r="H294" i="2"/>
  <c r="H293" i="2"/>
  <c r="H292" i="2"/>
  <c r="H291" i="2"/>
  <c r="H290" i="2"/>
  <c r="G300" i="2"/>
  <c r="G299" i="2"/>
  <c r="G298" i="2"/>
  <c r="G297" i="2"/>
  <c r="G296" i="2"/>
  <c r="G295" i="2"/>
  <c r="G294" i="2"/>
  <c r="G293" i="2"/>
  <c r="G292" i="2"/>
  <c r="G291" i="2"/>
  <c r="G290" i="2"/>
  <c r="F300" i="2"/>
  <c r="F299" i="2"/>
  <c r="F298" i="2"/>
  <c r="F297" i="2"/>
  <c r="F296" i="2"/>
  <c r="F295" i="2"/>
  <c r="F294" i="2"/>
  <c r="F293" i="2"/>
  <c r="F292" i="2"/>
  <c r="F291" i="2"/>
  <c r="F290" i="2"/>
  <c r="E300" i="2"/>
  <c r="E299" i="2"/>
  <c r="E298" i="2"/>
  <c r="E297" i="2"/>
  <c r="E296" i="2"/>
  <c r="E295" i="2"/>
  <c r="E294" i="2"/>
  <c r="E293" i="2"/>
  <c r="E292" i="2"/>
  <c r="E291" i="2"/>
  <c r="E290" i="2"/>
  <c r="D372" i="2"/>
  <c r="D371" i="2"/>
  <c r="D370" i="2"/>
  <c r="D369" i="2"/>
  <c r="D368" i="2"/>
  <c r="D367" i="2"/>
  <c r="D366" i="2"/>
  <c r="D365" i="2"/>
  <c r="D364" i="2"/>
  <c r="D363" i="2"/>
  <c r="D362" i="2"/>
  <c r="D360" i="2"/>
  <c r="D359" i="2"/>
  <c r="D358" i="2"/>
  <c r="D357" i="2"/>
  <c r="D356" i="2"/>
  <c r="D355" i="2"/>
  <c r="D354" i="2"/>
  <c r="D353" i="2"/>
  <c r="D352" i="2"/>
  <c r="D351" i="2"/>
  <c r="D350" i="2"/>
  <c r="D348" i="2"/>
  <c r="D347" i="2"/>
  <c r="D346" i="2"/>
  <c r="D345" i="2"/>
  <c r="D344" i="2"/>
  <c r="D343" i="2"/>
  <c r="D342" i="2"/>
  <c r="D341" i="2"/>
  <c r="D340" i="2"/>
  <c r="D339" i="2"/>
  <c r="D338" i="2"/>
  <c r="D336" i="2"/>
  <c r="D335" i="2"/>
  <c r="D334" i="2"/>
  <c r="D333" i="2"/>
  <c r="D332" i="2"/>
  <c r="D331" i="2"/>
  <c r="D330" i="2"/>
  <c r="D329" i="2"/>
  <c r="D328" i="2"/>
  <c r="D327" i="2"/>
  <c r="D326" i="2"/>
  <c r="D324" i="2"/>
  <c r="D323" i="2"/>
  <c r="D322" i="2"/>
  <c r="D321" i="2"/>
  <c r="D320" i="2"/>
  <c r="D319" i="2"/>
  <c r="D318" i="2"/>
  <c r="D317" i="2"/>
  <c r="D316" i="2"/>
  <c r="D315" i="2"/>
  <c r="D314" i="2"/>
  <c r="D312" i="2"/>
  <c r="D311" i="2"/>
  <c r="D310" i="2"/>
  <c r="D309" i="2"/>
  <c r="D308" i="2"/>
  <c r="D307" i="2"/>
  <c r="D306" i="2"/>
  <c r="D305" i="2"/>
  <c r="D304" i="2"/>
  <c r="D303" i="2"/>
  <c r="D302" i="2"/>
  <c r="D300" i="2"/>
  <c r="D299" i="2"/>
  <c r="D298" i="2"/>
  <c r="D297" i="2"/>
  <c r="D296" i="2"/>
  <c r="D295" i="2"/>
  <c r="D294" i="2"/>
  <c r="D293" i="2"/>
  <c r="D292" i="2"/>
  <c r="D291" i="2"/>
  <c r="D290" i="2"/>
  <c r="O290" i="2"/>
  <c r="N290" i="2"/>
  <c r="M290" i="2"/>
  <c r="L290" i="2"/>
  <c r="K290" i="2"/>
  <c r="J290" i="2"/>
  <c r="I290" i="2"/>
  <c r="I291" i="2"/>
  <c r="J291" i="2"/>
  <c r="K291" i="2"/>
  <c r="L291" i="2"/>
  <c r="M291" i="2"/>
  <c r="N291" i="2"/>
  <c r="O291" i="2"/>
  <c r="I292" i="2"/>
  <c r="J292" i="2"/>
  <c r="K292" i="2"/>
  <c r="L292" i="2"/>
  <c r="M292" i="2"/>
  <c r="N292" i="2"/>
  <c r="O292" i="2"/>
  <c r="I293" i="2"/>
  <c r="J293" i="2"/>
  <c r="K293" i="2"/>
  <c r="L293" i="2"/>
  <c r="M293" i="2"/>
  <c r="N293" i="2"/>
  <c r="O293" i="2"/>
  <c r="I294" i="2"/>
  <c r="J294" i="2"/>
  <c r="K294" i="2"/>
  <c r="L294" i="2"/>
  <c r="M294" i="2"/>
  <c r="N294" i="2"/>
  <c r="O294" i="2"/>
  <c r="I295" i="2"/>
  <c r="J295" i="2"/>
  <c r="K295" i="2"/>
  <c r="L295" i="2"/>
  <c r="M295" i="2"/>
  <c r="N295" i="2"/>
  <c r="O295" i="2"/>
  <c r="I296" i="2"/>
  <c r="J296" i="2"/>
  <c r="K296" i="2"/>
  <c r="L296" i="2"/>
  <c r="M296" i="2"/>
  <c r="N296" i="2"/>
  <c r="O296" i="2"/>
  <c r="I298" i="2"/>
  <c r="J298" i="2"/>
  <c r="K298" i="2"/>
  <c r="L298" i="2"/>
  <c r="M298" i="2"/>
  <c r="N298" i="2"/>
  <c r="O298" i="2"/>
  <c r="I299" i="2"/>
  <c r="J299" i="2"/>
  <c r="K299" i="2"/>
  <c r="L299" i="2"/>
  <c r="M299" i="2"/>
  <c r="N299" i="2"/>
  <c r="O299" i="2"/>
  <c r="I300" i="2"/>
  <c r="J300" i="2"/>
  <c r="K300" i="2"/>
  <c r="L300" i="2"/>
  <c r="M300" i="2"/>
  <c r="N300" i="2"/>
  <c r="O300" i="2"/>
  <c r="E302" i="2"/>
  <c r="F302" i="2"/>
  <c r="G302" i="2"/>
  <c r="H302" i="2"/>
  <c r="I302" i="2"/>
  <c r="J302" i="2"/>
  <c r="K302" i="2"/>
  <c r="L302" i="2"/>
  <c r="M302" i="2"/>
  <c r="N302" i="2"/>
  <c r="O302" i="2"/>
  <c r="E303" i="2"/>
  <c r="F303" i="2"/>
  <c r="G303" i="2"/>
  <c r="H303" i="2"/>
  <c r="I303" i="2"/>
  <c r="J303" i="2"/>
  <c r="K303" i="2"/>
  <c r="L303" i="2"/>
  <c r="M303" i="2"/>
  <c r="N303" i="2"/>
  <c r="O303" i="2"/>
  <c r="E304" i="2"/>
  <c r="F304" i="2"/>
  <c r="G304" i="2"/>
  <c r="H304" i="2"/>
  <c r="I304" i="2"/>
  <c r="J304" i="2"/>
  <c r="K304" i="2"/>
  <c r="L304" i="2"/>
  <c r="M304" i="2"/>
  <c r="N304" i="2"/>
  <c r="O304" i="2"/>
  <c r="E305" i="2"/>
  <c r="F305" i="2"/>
  <c r="G305" i="2"/>
  <c r="H305" i="2"/>
  <c r="I305" i="2"/>
  <c r="J305" i="2"/>
  <c r="K305" i="2"/>
  <c r="L305" i="2"/>
  <c r="M305" i="2"/>
  <c r="N305" i="2"/>
  <c r="O305" i="2"/>
  <c r="E306" i="2"/>
  <c r="F306" i="2"/>
  <c r="G306" i="2"/>
  <c r="H306" i="2"/>
  <c r="I306" i="2"/>
  <c r="J306" i="2"/>
  <c r="K306" i="2"/>
  <c r="L306" i="2"/>
  <c r="M306" i="2"/>
  <c r="N306" i="2"/>
  <c r="O306" i="2"/>
  <c r="E307" i="2"/>
  <c r="F307" i="2"/>
  <c r="G307" i="2"/>
  <c r="H307" i="2"/>
  <c r="I307" i="2"/>
  <c r="J307" i="2"/>
  <c r="K307" i="2"/>
  <c r="L307" i="2"/>
  <c r="M307" i="2"/>
  <c r="N307" i="2"/>
  <c r="O307" i="2"/>
  <c r="E308" i="2"/>
  <c r="F308" i="2"/>
  <c r="G308" i="2"/>
  <c r="H308" i="2"/>
  <c r="I308" i="2"/>
  <c r="J308" i="2"/>
  <c r="K308" i="2"/>
  <c r="L308" i="2"/>
  <c r="M308" i="2"/>
  <c r="N308" i="2"/>
  <c r="O308" i="2"/>
  <c r="E310" i="2"/>
  <c r="F310" i="2"/>
  <c r="G310" i="2"/>
  <c r="H310" i="2"/>
  <c r="I310" i="2"/>
  <c r="J310" i="2"/>
  <c r="K310" i="2"/>
  <c r="L310" i="2"/>
  <c r="M310" i="2"/>
  <c r="N310" i="2"/>
  <c r="O310" i="2"/>
  <c r="E311" i="2"/>
  <c r="F311" i="2"/>
  <c r="G311" i="2"/>
  <c r="H311" i="2"/>
  <c r="I311" i="2"/>
  <c r="J311" i="2"/>
  <c r="K311" i="2"/>
  <c r="L311" i="2"/>
  <c r="M311" i="2"/>
  <c r="N311" i="2"/>
  <c r="O311" i="2"/>
  <c r="E312" i="2"/>
  <c r="F312" i="2"/>
  <c r="G312" i="2"/>
  <c r="H312" i="2"/>
  <c r="I312" i="2"/>
  <c r="J312" i="2"/>
  <c r="K312" i="2"/>
  <c r="L312" i="2"/>
  <c r="M312" i="2"/>
  <c r="N312" i="2"/>
  <c r="O312" i="2"/>
  <c r="E314" i="2"/>
  <c r="F314" i="2"/>
  <c r="G314" i="2"/>
  <c r="H314" i="2"/>
  <c r="I314" i="2"/>
  <c r="J314" i="2"/>
  <c r="K314" i="2"/>
  <c r="L314" i="2"/>
  <c r="M314" i="2"/>
  <c r="N314" i="2"/>
  <c r="O314" i="2"/>
  <c r="E315" i="2"/>
  <c r="F315" i="2"/>
  <c r="G315" i="2"/>
  <c r="H315" i="2"/>
  <c r="I315" i="2"/>
  <c r="J315" i="2"/>
  <c r="K315" i="2"/>
  <c r="L315" i="2"/>
  <c r="M315" i="2"/>
  <c r="N315" i="2"/>
  <c r="O315" i="2"/>
  <c r="E316" i="2"/>
  <c r="F316" i="2"/>
  <c r="G316" i="2"/>
  <c r="H316" i="2"/>
  <c r="I316" i="2"/>
  <c r="J316" i="2"/>
  <c r="K316" i="2"/>
  <c r="L316" i="2"/>
  <c r="M316" i="2"/>
  <c r="N316" i="2"/>
  <c r="O316" i="2"/>
  <c r="E317" i="2"/>
  <c r="F317" i="2"/>
  <c r="G317" i="2"/>
  <c r="H317" i="2"/>
  <c r="I317" i="2"/>
  <c r="J317" i="2"/>
  <c r="K317" i="2"/>
  <c r="L317" i="2"/>
  <c r="M317" i="2"/>
  <c r="N317" i="2"/>
  <c r="O317" i="2"/>
  <c r="E318" i="2"/>
  <c r="F318" i="2"/>
  <c r="G318" i="2"/>
  <c r="H318" i="2"/>
  <c r="I318" i="2"/>
  <c r="J318" i="2"/>
  <c r="K318" i="2"/>
  <c r="L318" i="2"/>
  <c r="M318" i="2"/>
  <c r="N318" i="2"/>
  <c r="O318" i="2"/>
  <c r="E319" i="2"/>
  <c r="F319" i="2"/>
  <c r="G319" i="2"/>
  <c r="H319" i="2"/>
  <c r="I319" i="2"/>
  <c r="J319" i="2"/>
  <c r="K319" i="2"/>
  <c r="L319" i="2"/>
  <c r="M319" i="2"/>
  <c r="N319" i="2"/>
  <c r="O319" i="2"/>
  <c r="E320" i="2"/>
  <c r="F320" i="2"/>
  <c r="G320" i="2"/>
  <c r="H320" i="2"/>
  <c r="I320" i="2"/>
  <c r="J320" i="2"/>
  <c r="K320" i="2"/>
  <c r="L320" i="2"/>
  <c r="M320" i="2"/>
  <c r="N320" i="2"/>
  <c r="O320" i="2"/>
  <c r="E322" i="2"/>
  <c r="F322" i="2"/>
  <c r="G322" i="2"/>
  <c r="H322" i="2"/>
  <c r="I322" i="2"/>
  <c r="J322" i="2"/>
  <c r="K322" i="2"/>
  <c r="L322" i="2"/>
  <c r="M322" i="2"/>
  <c r="N322" i="2"/>
  <c r="O322" i="2"/>
  <c r="E323" i="2"/>
  <c r="F323" i="2"/>
  <c r="G323" i="2"/>
  <c r="H323" i="2"/>
  <c r="I323" i="2"/>
  <c r="J323" i="2"/>
  <c r="K323" i="2"/>
  <c r="L323" i="2"/>
  <c r="M323" i="2"/>
  <c r="N323" i="2"/>
  <c r="O323" i="2"/>
  <c r="E324" i="2"/>
  <c r="F324" i="2"/>
  <c r="G324" i="2"/>
  <c r="H324" i="2"/>
  <c r="I324" i="2"/>
  <c r="J324" i="2"/>
  <c r="K324" i="2"/>
  <c r="L324" i="2"/>
  <c r="M324" i="2"/>
  <c r="N324" i="2"/>
  <c r="O324" i="2"/>
  <c r="E326" i="2"/>
  <c r="F326" i="2"/>
  <c r="G326" i="2"/>
  <c r="H326" i="2"/>
  <c r="I326" i="2"/>
  <c r="J326" i="2"/>
  <c r="K326" i="2"/>
  <c r="L326" i="2"/>
  <c r="M326" i="2"/>
  <c r="N326" i="2"/>
  <c r="O326" i="2"/>
  <c r="E327" i="2"/>
  <c r="F327" i="2"/>
  <c r="G327" i="2"/>
  <c r="H327" i="2"/>
  <c r="I327" i="2"/>
  <c r="J327" i="2"/>
  <c r="K327" i="2"/>
  <c r="L327" i="2"/>
  <c r="M327" i="2"/>
  <c r="N327" i="2"/>
  <c r="O327" i="2"/>
  <c r="E328" i="2"/>
  <c r="F328" i="2"/>
  <c r="G328" i="2"/>
  <c r="H328" i="2"/>
  <c r="I328" i="2"/>
  <c r="J328" i="2"/>
  <c r="K328" i="2"/>
  <c r="L328" i="2"/>
  <c r="M328" i="2"/>
  <c r="N328" i="2"/>
  <c r="O328" i="2"/>
  <c r="E329" i="2"/>
  <c r="F329" i="2"/>
  <c r="G329" i="2"/>
  <c r="H329" i="2"/>
  <c r="I329" i="2"/>
  <c r="J329" i="2"/>
  <c r="K329" i="2"/>
  <c r="L329" i="2"/>
  <c r="M329" i="2"/>
  <c r="N329" i="2"/>
  <c r="O329" i="2"/>
  <c r="E330" i="2"/>
  <c r="F330" i="2"/>
  <c r="G330" i="2"/>
  <c r="H330" i="2"/>
  <c r="I330" i="2"/>
  <c r="J330" i="2"/>
  <c r="K330" i="2"/>
  <c r="L330" i="2"/>
  <c r="M330" i="2"/>
  <c r="N330" i="2"/>
  <c r="O330" i="2"/>
  <c r="E331" i="2"/>
  <c r="F331" i="2"/>
  <c r="G331" i="2"/>
  <c r="H331" i="2"/>
  <c r="I331" i="2"/>
  <c r="J331" i="2"/>
  <c r="K331" i="2"/>
  <c r="L331" i="2"/>
  <c r="M331" i="2"/>
  <c r="N331" i="2"/>
  <c r="O331" i="2"/>
  <c r="E332" i="2"/>
  <c r="F332" i="2"/>
  <c r="G332" i="2"/>
  <c r="H332" i="2"/>
  <c r="I332" i="2"/>
  <c r="J332" i="2"/>
  <c r="K332" i="2"/>
  <c r="L332" i="2"/>
  <c r="M332" i="2"/>
  <c r="N332" i="2"/>
  <c r="O332" i="2"/>
  <c r="E334" i="2"/>
  <c r="F334" i="2"/>
  <c r="G334" i="2"/>
  <c r="H334" i="2"/>
  <c r="I334" i="2"/>
  <c r="J334" i="2"/>
  <c r="K334" i="2"/>
  <c r="L334" i="2"/>
  <c r="M334" i="2"/>
  <c r="N334" i="2"/>
  <c r="O334" i="2"/>
  <c r="E335" i="2"/>
  <c r="F335" i="2"/>
  <c r="G335" i="2"/>
  <c r="H335" i="2"/>
  <c r="I335" i="2"/>
  <c r="J335" i="2"/>
  <c r="K335" i="2"/>
  <c r="L335" i="2"/>
  <c r="M335" i="2"/>
  <c r="N335" i="2"/>
  <c r="O335" i="2"/>
  <c r="E336" i="2"/>
  <c r="F336" i="2"/>
  <c r="G336" i="2"/>
  <c r="H336" i="2"/>
  <c r="I336" i="2"/>
  <c r="J336" i="2"/>
  <c r="K336" i="2"/>
  <c r="L336" i="2"/>
  <c r="M336" i="2"/>
  <c r="N336" i="2"/>
  <c r="O336" i="2"/>
  <c r="E338" i="2"/>
  <c r="F338" i="2"/>
  <c r="G338" i="2"/>
  <c r="H338" i="2"/>
  <c r="I338" i="2"/>
  <c r="J338" i="2"/>
  <c r="K338" i="2"/>
  <c r="L338" i="2"/>
  <c r="M338" i="2"/>
  <c r="N338" i="2"/>
  <c r="O338" i="2"/>
  <c r="E339" i="2"/>
  <c r="F339" i="2"/>
  <c r="G339" i="2"/>
  <c r="H339" i="2"/>
  <c r="I339" i="2"/>
  <c r="J339" i="2"/>
  <c r="K339" i="2"/>
  <c r="L339" i="2"/>
  <c r="M339" i="2"/>
  <c r="N339" i="2"/>
  <c r="O339" i="2"/>
  <c r="E340" i="2"/>
  <c r="F340" i="2"/>
  <c r="G340" i="2"/>
  <c r="H340" i="2"/>
  <c r="I340" i="2"/>
  <c r="J340" i="2"/>
  <c r="K340" i="2"/>
  <c r="L340" i="2"/>
  <c r="M340" i="2"/>
  <c r="N340" i="2"/>
  <c r="O340" i="2"/>
  <c r="E341" i="2"/>
  <c r="F341" i="2"/>
  <c r="G341" i="2"/>
  <c r="H341" i="2"/>
  <c r="I341" i="2"/>
  <c r="J341" i="2"/>
  <c r="K341" i="2"/>
  <c r="L341" i="2"/>
  <c r="M341" i="2"/>
  <c r="N341" i="2"/>
  <c r="O341" i="2"/>
  <c r="E342" i="2"/>
  <c r="F342" i="2"/>
  <c r="G342" i="2"/>
  <c r="H342" i="2"/>
  <c r="I342" i="2"/>
  <c r="J342" i="2"/>
  <c r="K342" i="2"/>
  <c r="L342" i="2"/>
  <c r="M342" i="2"/>
  <c r="N342" i="2"/>
  <c r="O342" i="2"/>
  <c r="E343" i="2"/>
  <c r="F343" i="2"/>
  <c r="G343" i="2"/>
  <c r="H343" i="2"/>
  <c r="I343" i="2"/>
  <c r="J343" i="2"/>
  <c r="K343" i="2"/>
  <c r="L343" i="2"/>
  <c r="M343" i="2"/>
  <c r="N343" i="2"/>
  <c r="O343" i="2"/>
  <c r="E344" i="2"/>
  <c r="F344" i="2"/>
  <c r="G344" i="2"/>
  <c r="H344" i="2"/>
  <c r="I344" i="2"/>
  <c r="J344" i="2"/>
  <c r="K344" i="2"/>
  <c r="L344" i="2"/>
  <c r="M344" i="2"/>
  <c r="N344" i="2"/>
  <c r="O344" i="2"/>
  <c r="E346" i="2"/>
  <c r="F346" i="2"/>
  <c r="G346" i="2"/>
  <c r="H346" i="2"/>
  <c r="I346" i="2"/>
  <c r="J346" i="2"/>
  <c r="K346" i="2"/>
  <c r="L346" i="2"/>
  <c r="M346" i="2"/>
  <c r="N346" i="2"/>
  <c r="O346" i="2"/>
  <c r="E347" i="2"/>
  <c r="F347" i="2"/>
  <c r="G347" i="2"/>
  <c r="H347" i="2"/>
  <c r="I347" i="2"/>
  <c r="J347" i="2"/>
  <c r="K347" i="2"/>
  <c r="L347" i="2"/>
  <c r="M347" i="2"/>
  <c r="N347" i="2"/>
  <c r="O347" i="2"/>
  <c r="E348" i="2"/>
  <c r="F348" i="2"/>
  <c r="G348" i="2"/>
  <c r="H348" i="2"/>
  <c r="I348" i="2"/>
  <c r="J348" i="2"/>
  <c r="K348" i="2"/>
  <c r="L348" i="2"/>
  <c r="M348" i="2"/>
  <c r="N348" i="2"/>
  <c r="O348" i="2"/>
  <c r="E350" i="2"/>
  <c r="F350" i="2"/>
  <c r="G350" i="2"/>
  <c r="H350" i="2"/>
  <c r="I350" i="2"/>
  <c r="J350" i="2"/>
  <c r="K350" i="2"/>
  <c r="L350" i="2"/>
  <c r="M350" i="2"/>
  <c r="N350" i="2"/>
  <c r="O350" i="2"/>
  <c r="E351" i="2"/>
  <c r="F351" i="2"/>
  <c r="G351" i="2"/>
  <c r="H351" i="2"/>
  <c r="I351" i="2"/>
  <c r="J351" i="2"/>
  <c r="K351" i="2"/>
  <c r="L351" i="2"/>
  <c r="M351" i="2"/>
  <c r="N351" i="2"/>
  <c r="O351" i="2"/>
  <c r="E352" i="2"/>
  <c r="F352" i="2"/>
  <c r="G352" i="2"/>
  <c r="H352" i="2"/>
  <c r="I352" i="2"/>
  <c r="J352" i="2"/>
  <c r="K352" i="2"/>
  <c r="L352" i="2"/>
  <c r="M352" i="2"/>
  <c r="N352" i="2"/>
  <c r="O352" i="2"/>
  <c r="E353" i="2"/>
  <c r="F353" i="2"/>
  <c r="G353" i="2"/>
  <c r="H353" i="2"/>
  <c r="I353" i="2"/>
  <c r="J353" i="2"/>
  <c r="K353" i="2"/>
  <c r="L353" i="2"/>
  <c r="M353" i="2"/>
  <c r="N353" i="2"/>
  <c r="O353" i="2"/>
  <c r="E354" i="2"/>
  <c r="F354" i="2"/>
  <c r="G354" i="2"/>
  <c r="H354" i="2"/>
  <c r="I354" i="2"/>
  <c r="J354" i="2"/>
  <c r="K354" i="2"/>
  <c r="L354" i="2"/>
  <c r="M354" i="2"/>
  <c r="N354" i="2"/>
  <c r="O354" i="2"/>
  <c r="E355" i="2"/>
  <c r="F355" i="2"/>
  <c r="G355" i="2"/>
  <c r="H355" i="2"/>
  <c r="I355" i="2"/>
  <c r="J355" i="2"/>
  <c r="K355" i="2"/>
  <c r="L355" i="2"/>
  <c r="M355" i="2"/>
  <c r="N355" i="2"/>
  <c r="O355" i="2"/>
  <c r="E356" i="2"/>
  <c r="F356" i="2"/>
  <c r="G356" i="2"/>
  <c r="H356" i="2"/>
  <c r="I356" i="2"/>
  <c r="J356" i="2"/>
  <c r="K356" i="2"/>
  <c r="L356" i="2"/>
  <c r="M356" i="2"/>
  <c r="N356" i="2"/>
  <c r="O356" i="2"/>
  <c r="E358" i="2"/>
  <c r="F358" i="2"/>
  <c r="G358" i="2"/>
  <c r="H358" i="2"/>
  <c r="I358" i="2"/>
  <c r="J358" i="2"/>
  <c r="K358" i="2"/>
  <c r="L358" i="2"/>
  <c r="M358" i="2"/>
  <c r="N358" i="2"/>
  <c r="O358" i="2"/>
  <c r="E359" i="2"/>
  <c r="F359" i="2"/>
  <c r="G359" i="2"/>
  <c r="H359" i="2"/>
  <c r="I359" i="2"/>
  <c r="J359" i="2"/>
  <c r="K359" i="2"/>
  <c r="L359" i="2"/>
  <c r="M359" i="2"/>
  <c r="N359" i="2"/>
  <c r="O359" i="2"/>
  <c r="E360" i="2"/>
  <c r="F360" i="2"/>
  <c r="G360" i="2"/>
  <c r="H360" i="2"/>
  <c r="I360" i="2"/>
  <c r="J360" i="2"/>
  <c r="K360" i="2"/>
  <c r="L360" i="2"/>
  <c r="M360" i="2"/>
  <c r="N360" i="2"/>
  <c r="O360" i="2"/>
  <c r="E362" i="2"/>
  <c r="F362" i="2"/>
  <c r="G362" i="2"/>
  <c r="H362" i="2"/>
  <c r="I362" i="2"/>
  <c r="J362" i="2"/>
  <c r="K362" i="2"/>
  <c r="L362" i="2"/>
  <c r="E363" i="2"/>
  <c r="F363" i="2"/>
  <c r="G363" i="2"/>
  <c r="H363" i="2"/>
  <c r="I363" i="2"/>
  <c r="J363" i="2"/>
  <c r="K363" i="2"/>
  <c r="L363" i="2"/>
  <c r="E364" i="2"/>
  <c r="F364" i="2"/>
  <c r="G364" i="2"/>
  <c r="H364" i="2"/>
  <c r="I364" i="2"/>
  <c r="J364" i="2"/>
  <c r="K364" i="2"/>
  <c r="L364" i="2"/>
  <c r="E365" i="2"/>
  <c r="F365" i="2"/>
  <c r="G365" i="2"/>
  <c r="H365" i="2"/>
  <c r="I365" i="2"/>
  <c r="J365" i="2"/>
  <c r="K365" i="2"/>
  <c r="L365" i="2"/>
  <c r="E366" i="2"/>
  <c r="F366" i="2"/>
  <c r="G366" i="2"/>
  <c r="H366" i="2"/>
  <c r="I366" i="2"/>
  <c r="J366" i="2"/>
  <c r="K366" i="2"/>
  <c r="L366" i="2"/>
  <c r="E367" i="2"/>
  <c r="F367" i="2"/>
  <c r="G367" i="2"/>
  <c r="H367" i="2"/>
  <c r="I367" i="2"/>
  <c r="J367" i="2"/>
  <c r="K367" i="2"/>
  <c r="L367" i="2"/>
  <c r="E368" i="2"/>
  <c r="F368" i="2"/>
  <c r="G368" i="2"/>
  <c r="H368" i="2"/>
  <c r="I368" i="2"/>
  <c r="J368" i="2"/>
  <c r="K368" i="2"/>
  <c r="L368" i="2"/>
  <c r="E370" i="2"/>
  <c r="F370" i="2"/>
  <c r="G370" i="2"/>
  <c r="H370" i="2"/>
  <c r="I370" i="2"/>
  <c r="J370" i="2"/>
  <c r="K370" i="2"/>
  <c r="L370" i="2"/>
  <c r="E371" i="2"/>
  <c r="F371" i="2"/>
  <c r="G371" i="2"/>
  <c r="H371" i="2"/>
  <c r="I371" i="2"/>
  <c r="J371" i="2"/>
  <c r="K371" i="2"/>
  <c r="L371" i="2"/>
  <c r="E372" i="2"/>
  <c r="F372" i="2"/>
  <c r="G372" i="2"/>
  <c r="H372" i="2"/>
  <c r="I372" i="2"/>
  <c r="J372" i="2"/>
  <c r="K372" i="2"/>
  <c r="L372" i="2"/>
  <c r="L288" i="2"/>
  <c r="M288" i="2"/>
  <c r="N288" i="2"/>
  <c r="O288" i="2"/>
  <c r="L287" i="2"/>
  <c r="M287" i="2"/>
  <c r="N287" i="2"/>
  <c r="O287" i="2"/>
  <c r="L286" i="2"/>
  <c r="M286" i="2"/>
  <c r="N286" i="2"/>
  <c r="O286" i="2"/>
  <c r="L285" i="2"/>
  <c r="M285" i="2"/>
  <c r="N285" i="2"/>
  <c r="L284" i="2"/>
  <c r="M284" i="2"/>
  <c r="N284" i="2"/>
  <c r="O284" i="2"/>
  <c r="L283" i="2"/>
  <c r="M283" i="2"/>
  <c r="N283" i="2"/>
  <c r="O283" i="2"/>
  <c r="L282" i="2"/>
  <c r="M282" i="2"/>
  <c r="N282" i="2"/>
  <c r="O282" i="2"/>
  <c r="L281" i="2"/>
  <c r="M281" i="2"/>
  <c r="N281" i="2"/>
  <c r="O281" i="2"/>
  <c r="L280" i="2"/>
  <c r="M280" i="2"/>
  <c r="N280" i="2"/>
  <c r="O280" i="2"/>
  <c r="L279" i="2"/>
  <c r="M279" i="2"/>
  <c r="N279" i="2"/>
  <c r="O279" i="2"/>
  <c r="L278" i="2"/>
  <c r="M278" i="2"/>
  <c r="N278" i="2"/>
  <c r="O278" i="2"/>
  <c r="A129" i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18" i="1"/>
  <c r="A19" i="1"/>
  <c r="A20" i="1"/>
  <c r="A21" i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7" i="1"/>
  <c r="AH106" i="1"/>
  <c r="AG106" i="1"/>
  <c r="AE106" i="1"/>
  <c r="AD106" i="1"/>
  <c r="AB106" i="1"/>
  <c r="AA106" i="1"/>
  <c r="Y106" i="1"/>
  <c r="X106" i="1"/>
  <c r="V106" i="1"/>
  <c r="U106" i="1"/>
  <c r="S106" i="1"/>
  <c r="R106" i="1"/>
  <c r="P106" i="1"/>
  <c r="O106" i="1"/>
  <c r="I106" i="1"/>
  <c r="H106" i="1"/>
  <c r="F106" i="1"/>
  <c r="E106" i="1"/>
  <c r="C16" i="1"/>
  <c r="C12" i="1"/>
  <c r="A11" i="9"/>
  <c r="A19" i="9"/>
  <c r="A27" i="9"/>
  <c r="A35" i="9"/>
  <c r="A43" i="9"/>
  <c r="A51" i="9"/>
  <c r="A59" i="9"/>
  <c r="A67" i="9"/>
  <c r="A75" i="9"/>
  <c r="A83" i="9"/>
  <c r="A91" i="9"/>
  <c r="A4" i="9"/>
  <c r="A12" i="9"/>
  <c r="A20" i="9"/>
  <c r="A28" i="9"/>
  <c r="A36" i="9"/>
  <c r="A44" i="9"/>
  <c r="A52" i="9"/>
  <c r="A60" i="9"/>
  <c r="A68" i="9"/>
  <c r="A76" i="9"/>
  <c r="A84" i="9"/>
  <c r="A92" i="9"/>
  <c r="A5" i="9"/>
  <c r="A13" i="9"/>
  <c r="A21" i="9"/>
  <c r="A29" i="9"/>
  <c r="A37" i="9"/>
  <c r="A45" i="9"/>
  <c r="A53" i="9"/>
  <c r="A61" i="9"/>
  <c r="A69" i="9"/>
  <c r="A77" i="9"/>
  <c r="A85" i="9"/>
  <c r="A93" i="9"/>
  <c r="A6" i="9"/>
  <c r="A14" i="9"/>
  <c r="A22" i="9"/>
  <c r="A30" i="9"/>
  <c r="A38" i="9"/>
  <c r="A46" i="9"/>
  <c r="A54" i="9"/>
  <c r="A62" i="9"/>
  <c r="A70" i="9"/>
  <c r="A78" i="9"/>
  <c r="A86" i="9"/>
  <c r="A94" i="9"/>
  <c r="A7" i="9"/>
  <c r="A15" i="9"/>
  <c r="A23" i="9"/>
  <c r="A31" i="9"/>
  <c r="A39" i="9"/>
  <c r="A47" i="9"/>
  <c r="A55" i="9"/>
  <c r="A63" i="9"/>
  <c r="A71" i="9"/>
  <c r="A79" i="9"/>
  <c r="A87" i="9"/>
  <c r="A95" i="9"/>
  <c r="A8" i="9"/>
  <c r="A16" i="9"/>
  <c r="A24" i="9"/>
  <c r="A32" i="9"/>
  <c r="A40" i="9"/>
  <c r="A48" i="9"/>
  <c r="A56" i="9"/>
  <c r="A64" i="9"/>
  <c r="A72" i="9"/>
  <c r="A80" i="9"/>
  <c r="A88" i="9"/>
  <c r="A96" i="9"/>
  <c r="A9" i="9"/>
  <c r="A17" i="9"/>
  <c r="A25" i="9"/>
  <c r="A33" i="9"/>
  <c r="A41" i="9"/>
  <c r="A49" i="9"/>
  <c r="A57" i="9"/>
  <c r="A65" i="9"/>
  <c r="A73" i="9"/>
  <c r="A81" i="9"/>
  <c r="A89" i="9"/>
  <c r="A97" i="9"/>
  <c r="A3" i="9"/>
  <c r="A10" i="7"/>
  <c r="A18" i="7"/>
  <c r="A26" i="7"/>
  <c r="A34" i="7"/>
  <c r="A42" i="7"/>
  <c r="A50" i="7"/>
  <c r="A58" i="7"/>
  <c r="A66" i="7"/>
  <c r="A74" i="7"/>
  <c r="A82" i="7"/>
  <c r="A90" i="7"/>
  <c r="A3" i="7"/>
  <c r="A11" i="7"/>
  <c r="A19" i="7"/>
  <c r="A27" i="7"/>
  <c r="A35" i="7"/>
  <c r="A43" i="7"/>
  <c r="A51" i="7"/>
  <c r="A59" i="7"/>
  <c r="A67" i="7"/>
  <c r="A75" i="7"/>
  <c r="A83" i="7"/>
  <c r="A91" i="7"/>
  <c r="A4" i="7"/>
  <c r="A12" i="7"/>
  <c r="A20" i="7"/>
  <c r="A28" i="7"/>
  <c r="A36" i="7"/>
  <c r="A44" i="7"/>
  <c r="A52" i="7"/>
  <c r="A60" i="7"/>
  <c r="A68" i="7"/>
  <c r="A76" i="7"/>
  <c r="A84" i="7"/>
  <c r="A92" i="7"/>
  <c r="A5" i="7"/>
  <c r="A13" i="7"/>
  <c r="A21" i="7"/>
  <c r="A29" i="7"/>
  <c r="A37" i="7"/>
  <c r="A45" i="7"/>
  <c r="A53" i="7"/>
  <c r="A61" i="7"/>
  <c r="A69" i="7"/>
  <c r="A77" i="7"/>
  <c r="A85" i="7"/>
  <c r="A93" i="7"/>
  <c r="A6" i="7"/>
  <c r="A14" i="7"/>
  <c r="A22" i="7"/>
  <c r="A30" i="7"/>
  <c r="A38" i="7"/>
  <c r="A46" i="7"/>
  <c r="A54" i="7"/>
  <c r="A62" i="7"/>
  <c r="A70" i="7"/>
  <c r="A78" i="7"/>
  <c r="A86" i="7"/>
  <c r="A94" i="7"/>
  <c r="A7" i="7"/>
  <c r="A15" i="7"/>
  <c r="A23" i="7"/>
  <c r="A31" i="7"/>
  <c r="A39" i="7"/>
  <c r="A47" i="7"/>
  <c r="A55" i="7"/>
  <c r="A63" i="7"/>
  <c r="A71" i="7"/>
  <c r="A79" i="7"/>
  <c r="A87" i="7"/>
  <c r="A95" i="7"/>
  <c r="A8" i="7"/>
  <c r="A16" i="7"/>
  <c r="A24" i="7"/>
  <c r="A32" i="7"/>
  <c r="A40" i="7"/>
  <c r="A48" i="7"/>
  <c r="A56" i="7"/>
  <c r="A64" i="7"/>
  <c r="A72" i="7"/>
  <c r="A80" i="7"/>
  <c r="A88" i="7"/>
  <c r="A96" i="7"/>
  <c r="A2" i="7"/>
  <c r="G24" i="8"/>
  <c r="G4" i="8"/>
  <c r="G90" i="9"/>
  <c r="C82" i="9"/>
  <c r="D66" i="9"/>
  <c r="E34" i="9"/>
  <c r="E26" i="9"/>
  <c r="G10" i="9"/>
  <c r="G74" i="9"/>
  <c r="G50" i="9"/>
  <c r="C42" i="9"/>
  <c r="F90" i="9"/>
  <c r="D74" i="9"/>
  <c r="I66" i="9"/>
  <c r="I50" i="9"/>
  <c r="F34" i="9"/>
  <c r="C26" i="9"/>
  <c r="E10" i="9"/>
  <c r="D34" i="9"/>
  <c r="G66" i="9"/>
  <c r="I10" i="9"/>
  <c r="E74" i="9"/>
  <c r="C66" i="9"/>
  <c r="D50" i="9"/>
  <c r="G34" i="9"/>
  <c r="E18" i="9"/>
  <c r="D10" i="9"/>
  <c r="F58" i="9"/>
  <c r="F26" i="9"/>
  <c r="I90" i="9"/>
  <c r="F74" i="9"/>
  <c r="D58" i="9"/>
  <c r="E50" i="9"/>
  <c r="F18" i="9"/>
  <c r="C10" i="9"/>
  <c r="G98" i="9"/>
  <c r="E98" i="9"/>
  <c r="D90" i="9"/>
  <c r="I74" i="9"/>
  <c r="E58" i="9"/>
  <c r="C50" i="9"/>
  <c r="I34" i="9"/>
  <c r="G18" i="9"/>
  <c r="C90" i="9"/>
  <c r="D42" i="9"/>
  <c r="F98" i="9"/>
  <c r="D82" i="9"/>
  <c r="G58" i="9"/>
  <c r="F42" i="9"/>
  <c r="C34" i="9"/>
  <c r="I18" i="9"/>
  <c r="C18" i="9"/>
  <c r="E42" i="9"/>
  <c r="E90" i="9"/>
  <c r="C74" i="9"/>
  <c r="G26" i="9"/>
  <c r="D18" i="9"/>
  <c r="C98" i="9"/>
  <c r="F50" i="9"/>
  <c r="D98" i="9"/>
  <c r="E82" i="9"/>
  <c r="E66" i="9"/>
  <c r="I58" i="9"/>
  <c r="G42" i="9"/>
  <c r="D26" i="9"/>
  <c r="I98" i="9"/>
  <c r="F82" i="9"/>
  <c r="F66" i="9"/>
  <c r="C58" i="9"/>
  <c r="I42" i="9"/>
  <c r="I26" i="9"/>
  <c r="F10" i="9"/>
  <c r="G82" i="9"/>
  <c r="I82" i="9"/>
  <c r="C97" i="7"/>
  <c r="C89" i="7"/>
  <c r="C57" i="7"/>
  <c r="C41" i="7"/>
  <c r="C25" i="7"/>
  <c r="C9" i="7"/>
  <c r="C81" i="7"/>
  <c r="C73" i="7"/>
  <c r="C65" i="7"/>
  <c r="C49" i="7"/>
  <c r="C33" i="7"/>
  <c r="C17" i="7"/>
  <c r="AG95" i="1"/>
  <c r="AG47" i="1"/>
  <c r="AE87" i="1"/>
  <c r="AE39" i="1"/>
  <c r="AA79" i="1"/>
  <c r="AA31" i="1"/>
  <c r="X71" i="1"/>
  <c r="X23" i="1"/>
  <c r="U63" i="1"/>
  <c r="R103" i="1"/>
  <c r="R55" i="1"/>
  <c r="O95" i="1"/>
  <c r="O47" i="1"/>
  <c r="H87" i="1"/>
  <c r="H39" i="1"/>
  <c r="AB79" i="1"/>
  <c r="I87" i="1"/>
  <c r="AH95" i="1"/>
  <c r="AH47" i="1"/>
  <c r="AD87" i="1"/>
  <c r="AD39" i="1"/>
  <c r="AB71" i="1"/>
  <c r="AB23" i="1"/>
  <c r="Y63" i="1"/>
  <c r="V103" i="1"/>
  <c r="V55" i="1"/>
  <c r="S95" i="1"/>
  <c r="S47" i="1"/>
  <c r="P87" i="1"/>
  <c r="P39" i="1"/>
  <c r="I79" i="1"/>
  <c r="I31" i="1"/>
  <c r="AD95" i="1"/>
  <c r="P47" i="1"/>
  <c r="AG87" i="1"/>
  <c r="AH39" i="1"/>
  <c r="AE79" i="1"/>
  <c r="AE31" i="1"/>
  <c r="AA71" i="1"/>
  <c r="AA23" i="1"/>
  <c r="X63" i="1"/>
  <c r="U103" i="1"/>
  <c r="U55" i="1"/>
  <c r="R95" i="1"/>
  <c r="R47" i="1"/>
  <c r="O87" i="1"/>
  <c r="O39" i="1"/>
  <c r="H79" i="1"/>
  <c r="H31" i="1"/>
  <c r="AD47" i="1"/>
  <c r="I39" i="1"/>
  <c r="AH87" i="1"/>
  <c r="AG39" i="1"/>
  <c r="AD79" i="1"/>
  <c r="AD31" i="1"/>
  <c r="AB63" i="1"/>
  <c r="Y103" i="1"/>
  <c r="Y55" i="1"/>
  <c r="V95" i="1"/>
  <c r="V47" i="1"/>
  <c r="S87" i="1"/>
  <c r="S39" i="1"/>
  <c r="P79" i="1"/>
  <c r="P31" i="1"/>
  <c r="I71" i="1"/>
  <c r="I23" i="1"/>
  <c r="V39" i="1"/>
  <c r="P71" i="1"/>
  <c r="I63" i="1"/>
  <c r="R31" i="1"/>
  <c r="H63" i="1"/>
  <c r="Y71" i="1"/>
  <c r="AG79" i="1"/>
  <c r="AH31" i="1"/>
  <c r="AE71" i="1"/>
  <c r="AE23" i="1"/>
  <c r="AA63" i="1"/>
  <c r="X103" i="1"/>
  <c r="X55" i="1"/>
  <c r="U95" i="1"/>
  <c r="U47" i="1"/>
  <c r="R87" i="1"/>
  <c r="R39" i="1"/>
  <c r="O79" i="1"/>
  <c r="O31" i="1"/>
  <c r="H71" i="1"/>
  <c r="H23" i="1"/>
  <c r="Y95" i="1"/>
  <c r="V87" i="1"/>
  <c r="S79" i="1"/>
  <c r="P23" i="1"/>
  <c r="R79" i="1"/>
  <c r="O23" i="1"/>
  <c r="AB31" i="1"/>
  <c r="AH79" i="1"/>
  <c r="AG31" i="1"/>
  <c r="AD71" i="1"/>
  <c r="AB103" i="1"/>
  <c r="AB55" i="1"/>
  <c r="Y47" i="1"/>
  <c r="S31" i="1"/>
  <c r="S55" i="1"/>
  <c r="AG71" i="1"/>
  <c r="AH23" i="1"/>
  <c r="AE63" i="1"/>
  <c r="AA103" i="1"/>
  <c r="AA55" i="1"/>
  <c r="X95" i="1"/>
  <c r="X47" i="1"/>
  <c r="U87" i="1"/>
  <c r="U39" i="1"/>
  <c r="O71" i="1"/>
  <c r="S103" i="1"/>
  <c r="AH71" i="1"/>
  <c r="AG23" i="1"/>
  <c r="AD63" i="1"/>
  <c r="AB95" i="1"/>
  <c r="AB47" i="1"/>
  <c r="Y87" i="1"/>
  <c r="Y39" i="1"/>
  <c r="V79" i="1"/>
  <c r="V31" i="1"/>
  <c r="S71" i="1"/>
  <c r="S23" i="1"/>
  <c r="P63" i="1"/>
  <c r="I103" i="1"/>
  <c r="I55" i="1"/>
  <c r="U79" i="1"/>
  <c r="R71" i="1"/>
  <c r="R23" i="1"/>
  <c r="O63" i="1"/>
  <c r="H55" i="1"/>
  <c r="AG63" i="1"/>
  <c r="AE103" i="1"/>
  <c r="AE55" i="1"/>
  <c r="AA95" i="1"/>
  <c r="AA47" i="1"/>
  <c r="X87" i="1"/>
  <c r="X39" i="1"/>
  <c r="U31" i="1"/>
  <c r="H103" i="1"/>
  <c r="P95" i="1"/>
  <c r="AH63" i="1"/>
  <c r="AD103" i="1"/>
  <c r="AD55" i="1"/>
  <c r="AB87" i="1"/>
  <c r="AB39" i="1"/>
  <c r="X79" i="1"/>
  <c r="Y31" i="1"/>
  <c r="V71" i="1"/>
  <c r="V23" i="1"/>
  <c r="S63" i="1"/>
  <c r="P103" i="1"/>
  <c r="P55" i="1"/>
  <c r="I95" i="1"/>
  <c r="I47" i="1"/>
  <c r="AH55" i="1"/>
  <c r="Y23" i="1"/>
  <c r="AG103" i="1"/>
  <c r="AG55" i="1"/>
  <c r="AE95" i="1"/>
  <c r="AE47" i="1"/>
  <c r="AA87" i="1"/>
  <c r="AA39" i="1"/>
  <c r="Y79" i="1"/>
  <c r="X31" i="1"/>
  <c r="U71" i="1"/>
  <c r="U23" i="1"/>
  <c r="R63" i="1"/>
  <c r="O103" i="1"/>
  <c r="O55" i="1"/>
  <c r="H95" i="1"/>
  <c r="H47" i="1"/>
  <c r="AH103" i="1"/>
  <c r="V63" i="1"/>
  <c r="E63" i="1"/>
  <c r="E11" i="1"/>
  <c r="F55" i="1"/>
  <c r="E12" i="1"/>
  <c r="I11" i="1"/>
  <c r="AE11" i="1"/>
  <c r="AB11" i="1"/>
  <c r="Y11" i="1"/>
  <c r="V11" i="1"/>
  <c r="S11" i="1"/>
  <c r="P11" i="1"/>
  <c r="E55" i="1"/>
  <c r="AH11" i="1"/>
  <c r="AD11" i="1"/>
  <c r="AA11" i="1"/>
  <c r="X11" i="1"/>
  <c r="U11" i="1"/>
  <c r="R11" i="1"/>
  <c r="O11" i="1"/>
  <c r="H11" i="1"/>
  <c r="F47" i="1"/>
  <c r="AG11" i="1"/>
  <c r="F103" i="1"/>
  <c r="E47" i="1"/>
  <c r="V12" i="1"/>
  <c r="E103" i="1"/>
  <c r="F39" i="1"/>
  <c r="V13" i="1"/>
  <c r="E13" i="1"/>
  <c r="F95" i="1"/>
  <c r="E39" i="1"/>
  <c r="O12" i="1"/>
  <c r="V14" i="1"/>
  <c r="E14" i="1"/>
  <c r="H12" i="1"/>
  <c r="E95" i="1"/>
  <c r="F31" i="1"/>
  <c r="O13" i="1"/>
  <c r="V15" i="1"/>
  <c r="E15" i="1"/>
  <c r="F11" i="1"/>
  <c r="F79" i="1"/>
  <c r="E31" i="1"/>
  <c r="I12" i="1"/>
  <c r="O14" i="1"/>
  <c r="U12" i="1"/>
  <c r="F63" i="1"/>
  <c r="E79" i="1"/>
  <c r="F23" i="1"/>
  <c r="I13" i="1"/>
  <c r="O15" i="1"/>
  <c r="E71" i="1"/>
  <c r="E23" i="1"/>
  <c r="I14" i="1"/>
  <c r="S12" i="1"/>
  <c r="T101" i="17"/>
  <c r="T92" i="17"/>
  <c r="T83" i="17"/>
  <c r="T74" i="17"/>
  <c r="T66" i="17"/>
  <c r="T58" i="17"/>
  <c r="T50" i="17"/>
  <c r="T42" i="17"/>
  <c r="T34" i="17"/>
  <c r="T26" i="17"/>
  <c r="T18" i="17"/>
  <c r="T10" i="17"/>
  <c r="U101" i="17"/>
  <c r="S101" i="17"/>
  <c r="R101" i="17"/>
  <c r="Q101" i="17"/>
  <c r="N101" i="17"/>
  <c r="M101" i="17"/>
  <c r="L101" i="17"/>
  <c r="K101" i="17"/>
  <c r="J101" i="17"/>
  <c r="H101" i="17"/>
  <c r="G101" i="17"/>
  <c r="F101" i="17"/>
  <c r="E101" i="17"/>
  <c r="D101" i="17"/>
  <c r="U92" i="17"/>
  <c r="S92" i="17"/>
  <c r="R92" i="17"/>
  <c r="Q92" i="17"/>
  <c r="N92" i="17"/>
  <c r="M92" i="17"/>
  <c r="L92" i="17"/>
  <c r="K92" i="17"/>
  <c r="J92" i="17"/>
  <c r="H92" i="17"/>
  <c r="G92" i="17"/>
  <c r="F92" i="17"/>
  <c r="E92" i="17"/>
  <c r="D92" i="17"/>
  <c r="S83" i="17"/>
  <c r="R83" i="17"/>
  <c r="Q83" i="17"/>
  <c r="N83" i="17"/>
  <c r="M83" i="17"/>
  <c r="L83" i="17"/>
  <c r="K83" i="17"/>
  <c r="J83" i="17"/>
  <c r="H83" i="17"/>
  <c r="G83" i="17"/>
  <c r="F83" i="17"/>
  <c r="E83" i="17"/>
  <c r="D83" i="17"/>
  <c r="S74" i="17"/>
  <c r="R74" i="17"/>
  <c r="Q74" i="17"/>
  <c r="N74" i="17"/>
  <c r="M74" i="17"/>
  <c r="L74" i="17"/>
  <c r="K74" i="17"/>
  <c r="J74" i="17"/>
  <c r="H74" i="17"/>
  <c r="G74" i="17"/>
  <c r="F74" i="17"/>
  <c r="E74" i="17"/>
  <c r="D74" i="17"/>
  <c r="S66" i="17"/>
  <c r="R66" i="17"/>
  <c r="Q66" i="17"/>
  <c r="N66" i="17"/>
  <c r="M66" i="17"/>
  <c r="L66" i="17"/>
  <c r="K66" i="17"/>
  <c r="J66" i="17"/>
  <c r="H66" i="17"/>
  <c r="G66" i="17"/>
  <c r="F66" i="17"/>
  <c r="E66" i="17"/>
  <c r="D66" i="17"/>
  <c r="S58" i="17"/>
  <c r="R58" i="17"/>
  <c r="Q58" i="17"/>
  <c r="N58" i="17"/>
  <c r="M58" i="17"/>
  <c r="L58" i="17"/>
  <c r="K58" i="17"/>
  <c r="J58" i="17"/>
  <c r="H58" i="17"/>
  <c r="G58" i="17"/>
  <c r="F58" i="17"/>
  <c r="E58" i="17"/>
  <c r="D58" i="17"/>
  <c r="S50" i="17"/>
  <c r="R50" i="17"/>
  <c r="Q50" i="17"/>
  <c r="N50" i="17"/>
  <c r="M50" i="17"/>
  <c r="L50" i="17"/>
  <c r="K50" i="17"/>
  <c r="J50" i="17"/>
  <c r="H50" i="17"/>
  <c r="G50" i="17"/>
  <c r="F50" i="17"/>
  <c r="E50" i="17"/>
  <c r="D50" i="17"/>
  <c r="S42" i="17"/>
  <c r="R42" i="17"/>
  <c r="Q42" i="17"/>
  <c r="N42" i="17"/>
  <c r="M42" i="17"/>
  <c r="L42" i="17"/>
  <c r="K42" i="17"/>
  <c r="J42" i="17"/>
  <c r="H42" i="17"/>
  <c r="G42" i="17"/>
  <c r="F42" i="17"/>
  <c r="E42" i="17"/>
  <c r="D42" i="17"/>
  <c r="S34" i="17"/>
  <c r="R34" i="17"/>
  <c r="Q34" i="17"/>
  <c r="N34" i="17"/>
  <c r="M34" i="17"/>
  <c r="L34" i="17"/>
  <c r="K34" i="17"/>
  <c r="J34" i="17"/>
  <c r="H34" i="17"/>
  <c r="G34" i="17"/>
  <c r="F34" i="17"/>
  <c r="E34" i="17"/>
  <c r="D34" i="17"/>
  <c r="S26" i="17"/>
  <c r="R26" i="17"/>
  <c r="Q26" i="17"/>
  <c r="N26" i="17"/>
  <c r="M26" i="17"/>
  <c r="L26" i="17"/>
  <c r="K26" i="17"/>
  <c r="J26" i="17"/>
  <c r="H26" i="17"/>
  <c r="G26" i="17"/>
  <c r="F26" i="17"/>
  <c r="E26" i="17"/>
  <c r="D26" i="17"/>
  <c r="S18" i="17"/>
  <c r="R18" i="17"/>
  <c r="Q18" i="17"/>
  <c r="N18" i="17"/>
  <c r="M18" i="17"/>
  <c r="L18" i="17"/>
  <c r="K18" i="17"/>
  <c r="J18" i="17"/>
  <c r="H18" i="17"/>
  <c r="G18" i="17"/>
  <c r="F18" i="17"/>
  <c r="E18" i="17"/>
  <c r="D18" i="17"/>
  <c r="S10" i="17"/>
  <c r="R10" i="17"/>
  <c r="Q10" i="17"/>
  <c r="N10" i="17"/>
  <c r="M10" i="17"/>
  <c r="L10" i="17"/>
  <c r="K10" i="17"/>
  <c r="J10" i="17"/>
  <c r="H10" i="17"/>
  <c r="G10" i="17"/>
  <c r="F10" i="17"/>
  <c r="E10" i="17"/>
  <c r="D10" i="17"/>
  <c r="P12" i="1"/>
  <c r="R12" i="1"/>
  <c r="H13" i="1"/>
  <c r="F12" i="1"/>
  <c r="U13" i="1"/>
  <c r="U14" i="1" s="1"/>
  <c r="U15" i="1"/>
  <c r="S13" i="1"/>
  <c r="P13" i="1"/>
  <c r="P14" i="1"/>
  <c r="P15" i="1" s="1"/>
  <c r="H14" i="1"/>
  <c r="H15" i="1" s="1"/>
  <c r="F13" i="1"/>
  <c r="F14" i="1"/>
  <c r="F15" i="1"/>
  <c r="H98" i="9"/>
  <c r="H90" i="9"/>
  <c r="H82" i="9"/>
  <c r="H74" i="9"/>
  <c r="H66" i="9"/>
  <c r="H58" i="9"/>
  <c r="H50" i="9"/>
  <c r="H42" i="9"/>
  <c r="H34" i="9"/>
  <c r="H26" i="9"/>
  <c r="H18" i="9"/>
  <c r="H10" i="9"/>
  <c r="Y12" i="18" l="1"/>
  <c r="Y28" i="18"/>
  <c r="Y16" i="18"/>
  <c r="Y45" i="18"/>
  <c r="Y37" i="18"/>
  <c r="Y24" i="18"/>
  <c r="Y33" i="18"/>
  <c r="Y8" i="18"/>
  <c r="Y41" i="18"/>
  <c r="Y20" i="18"/>
  <c r="U75" i="17"/>
  <c r="U25" i="17"/>
  <c r="U24" i="17"/>
  <c r="U23" i="17"/>
  <c r="U22" i="17"/>
  <c r="U21" i="17"/>
  <c r="U20" i="17"/>
  <c r="U16" i="17"/>
  <c r="U15" i="17"/>
  <c r="U9" i="17"/>
  <c r="U8" i="17"/>
  <c r="U7" i="17"/>
  <c r="U6" i="17"/>
  <c r="U5" i="17"/>
  <c r="U4" i="17"/>
  <c r="U3" i="17"/>
  <c r="U93" i="17"/>
  <c r="U81" i="17"/>
  <c r="U80" i="17"/>
  <c r="U79" i="17"/>
  <c r="U78" i="17"/>
  <c r="U77" i="17"/>
  <c r="U76" i="17"/>
  <c r="U82" i="17"/>
  <c r="U73" i="17"/>
  <c r="U64" i="17"/>
  <c r="U63" i="17"/>
  <c r="U62" i="17"/>
  <c r="U61" i="17"/>
  <c r="U60" i="17"/>
  <c r="U59" i="17"/>
  <c r="U65" i="17"/>
  <c r="U56" i="17"/>
  <c r="U55" i="17"/>
  <c r="U57" i="17"/>
  <c r="U48" i="17"/>
  <c r="U47" i="17"/>
  <c r="U46" i="17"/>
  <c r="U45" i="17"/>
  <c r="U44" i="17"/>
  <c r="U43" i="17"/>
  <c r="U49" i="17"/>
  <c r="U40" i="17"/>
  <c r="U39" i="17"/>
  <c r="U30" i="17"/>
  <c r="U29" i="17"/>
  <c r="U28" i="17"/>
  <c r="U19" i="17"/>
  <c r="U118" i="17"/>
  <c r="S118" i="17"/>
  <c r="R118" i="17"/>
  <c r="Q118" i="17"/>
  <c r="N118" i="17"/>
  <c r="M118" i="17"/>
  <c r="L118" i="17"/>
  <c r="K118" i="17"/>
  <c r="J118" i="17"/>
  <c r="U117" i="17"/>
  <c r="S117" i="17"/>
  <c r="R117" i="17"/>
  <c r="Q117" i="17"/>
  <c r="N117" i="17"/>
  <c r="M117" i="17"/>
  <c r="L117" i="17"/>
  <c r="K117" i="17"/>
  <c r="J117" i="17"/>
  <c r="S116" i="17"/>
  <c r="R116" i="17"/>
  <c r="Q116" i="17"/>
  <c r="N116" i="17"/>
  <c r="M116" i="17"/>
  <c r="L116" i="17"/>
  <c r="K116" i="17"/>
  <c r="J116" i="17"/>
  <c r="S115" i="17"/>
  <c r="R115" i="17"/>
  <c r="Q115" i="17"/>
  <c r="N115" i="17"/>
  <c r="M115" i="17"/>
  <c r="L115" i="17"/>
  <c r="K115" i="17"/>
  <c r="J115" i="17"/>
  <c r="S114" i="17"/>
  <c r="R114" i="17"/>
  <c r="Q114" i="17"/>
  <c r="N114" i="17"/>
  <c r="M114" i="17"/>
  <c r="L114" i="17"/>
  <c r="K114" i="17"/>
  <c r="J114" i="17"/>
  <c r="S113" i="17"/>
  <c r="R113" i="17"/>
  <c r="Q113" i="17"/>
  <c r="N113" i="17"/>
  <c r="M113" i="17"/>
  <c r="L113" i="17"/>
  <c r="K113" i="17"/>
  <c r="J113" i="17"/>
  <c r="S112" i="17"/>
  <c r="R112" i="17"/>
  <c r="Q112" i="17"/>
  <c r="N112" i="17"/>
  <c r="M112" i="17"/>
  <c r="L112" i="17"/>
  <c r="K112" i="17"/>
  <c r="J112" i="17"/>
  <c r="S111" i="17"/>
  <c r="R111" i="17"/>
  <c r="Q111" i="17"/>
  <c r="N111" i="17"/>
  <c r="M111" i="17"/>
  <c r="L111" i="17"/>
  <c r="K111" i="17"/>
  <c r="J111" i="17"/>
  <c r="S110" i="17"/>
  <c r="R110" i="17"/>
  <c r="Q110" i="17"/>
  <c r="N110" i="17"/>
  <c r="M110" i="17"/>
  <c r="L110" i="17"/>
  <c r="K110" i="17"/>
  <c r="J110" i="17"/>
  <c r="S109" i="17"/>
  <c r="R109" i="17"/>
  <c r="Q109" i="17"/>
  <c r="N109" i="17"/>
  <c r="M109" i="17"/>
  <c r="L109" i="17"/>
  <c r="K109" i="17"/>
  <c r="J109" i="17"/>
  <c r="S108" i="17"/>
  <c r="R108" i="17"/>
  <c r="Q108" i="17"/>
  <c r="N108" i="17"/>
  <c r="N121" i="17" s="1"/>
  <c r="M108" i="17"/>
  <c r="L108" i="17"/>
  <c r="K108" i="17"/>
  <c r="J108" i="17"/>
  <c r="S107" i="17"/>
  <c r="R107" i="17"/>
  <c r="Q107" i="17"/>
  <c r="N107" i="17"/>
  <c r="M107" i="17"/>
  <c r="L107" i="17"/>
  <c r="K107" i="17"/>
  <c r="J107" i="17"/>
  <c r="H107" i="17"/>
  <c r="D107" i="17"/>
  <c r="D108" i="17"/>
  <c r="D109" i="17"/>
  <c r="D110" i="17"/>
  <c r="D111" i="17"/>
  <c r="D112" i="17"/>
  <c r="D113" i="17"/>
  <c r="D114" i="17"/>
  <c r="D115" i="17"/>
  <c r="E107" i="17"/>
  <c r="E108" i="17"/>
  <c r="E109" i="17"/>
  <c r="E110" i="17"/>
  <c r="E111" i="17"/>
  <c r="E112" i="17"/>
  <c r="E113" i="17"/>
  <c r="E114" i="17"/>
  <c r="E115" i="17"/>
  <c r="D116" i="17"/>
  <c r="F107" i="17"/>
  <c r="F108" i="17"/>
  <c r="F109" i="17"/>
  <c r="F110" i="17"/>
  <c r="F111" i="17"/>
  <c r="F112" i="17"/>
  <c r="F113" i="17"/>
  <c r="F114" i="17"/>
  <c r="F115" i="17"/>
  <c r="E116" i="17"/>
  <c r="D117" i="17"/>
  <c r="G107" i="17"/>
  <c r="G108" i="17"/>
  <c r="G109" i="17"/>
  <c r="G110" i="17"/>
  <c r="G111" i="17"/>
  <c r="G112" i="17"/>
  <c r="G113" i="17"/>
  <c r="G114" i="17"/>
  <c r="G115" i="17"/>
  <c r="F116" i="17"/>
  <c r="E117" i="17"/>
  <c r="D118" i="17"/>
  <c r="H118" i="17"/>
  <c r="H108" i="17"/>
  <c r="H109" i="17"/>
  <c r="H110" i="17"/>
  <c r="H111" i="17"/>
  <c r="H112" i="17"/>
  <c r="H113" i="17"/>
  <c r="H114" i="17"/>
  <c r="H115" i="17"/>
  <c r="G116" i="17"/>
  <c r="F117" i="17"/>
  <c r="E118" i="17"/>
  <c r="H116" i="17"/>
  <c r="G117" i="17"/>
  <c r="F118" i="17"/>
  <c r="H117" i="17"/>
  <c r="G118" i="17"/>
  <c r="AG107" i="1"/>
  <c r="AH107" i="1"/>
  <c r="O107" i="1"/>
  <c r="P107" i="1"/>
  <c r="R107" i="1"/>
  <c r="S107" i="1"/>
  <c r="U107" i="1"/>
  <c r="V107" i="1"/>
  <c r="I107" i="1"/>
  <c r="H107" i="1"/>
  <c r="E107" i="1"/>
  <c r="F107" i="1"/>
  <c r="I113" i="9"/>
  <c r="G113" i="9"/>
  <c r="F104" i="9"/>
  <c r="I106" i="9"/>
  <c r="I108" i="9"/>
  <c r="C110" i="9"/>
  <c r="F111" i="9"/>
  <c r="F113" i="9"/>
  <c r="I115" i="9"/>
  <c r="D106" i="9"/>
  <c r="H106" i="9"/>
  <c r="G108" i="9"/>
  <c r="I110" i="9"/>
  <c r="E111" i="9"/>
  <c r="E113" i="9"/>
  <c r="D115" i="9"/>
  <c r="F109" i="9"/>
  <c r="C115" i="9"/>
  <c r="D105" i="9"/>
  <c r="G106" i="9"/>
  <c r="H108" i="9"/>
  <c r="H110" i="9"/>
  <c r="C112" i="9"/>
  <c r="H113" i="9"/>
  <c r="H115" i="9"/>
  <c r="E114" i="9"/>
  <c r="E108" i="9"/>
  <c r="C105" i="9"/>
  <c r="I105" i="9"/>
  <c r="C107" i="9"/>
  <c r="F108" i="9"/>
  <c r="G110" i="9"/>
  <c r="H112" i="9"/>
  <c r="D113" i="9"/>
  <c r="F115" i="9"/>
  <c r="H111" i="9"/>
  <c r="D108" i="9"/>
  <c r="H104" i="9"/>
  <c r="H105" i="9"/>
  <c r="C114" i="9"/>
  <c r="G105" i="9"/>
  <c r="I107" i="9"/>
  <c r="C109" i="9"/>
  <c r="E110" i="9"/>
  <c r="I112" i="9"/>
  <c r="D114" i="9"/>
  <c r="E115" i="9"/>
  <c r="G115" i="9"/>
  <c r="C104" i="9"/>
  <c r="F105" i="9"/>
  <c r="H107" i="9"/>
  <c r="E109" i="9"/>
  <c r="D110" i="9"/>
  <c r="F112" i="9"/>
  <c r="I114" i="9"/>
  <c r="F106" i="9"/>
  <c r="F110" i="9"/>
  <c r="D104" i="9"/>
  <c r="E105" i="9"/>
  <c r="G107" i="9"/>
  <c r="D109" i="9"/>
  <c r="C111" i="9"/>
  <c r="E112" i="9"/>
  <c r="H114" i="9"/>
  <c r="I104" i="9"/>
  <c r="G111" i="9"/>
  <c r="D107" i="9"/>
  <c r="E104" i="9"/>
  <c r="C106" i="9"/>
  <c r="F107" i="9"/>
  <c r="I109" i="9"/>
  <c r="I111" i="9"/>
  <c r="D112" i="9"/>
  <c r="F114" i="9"/>
  <c r="C108" i="9"/>
  <c r="G109" i="9"/>
  <c r="G112" i="9"/>
  <c r="G104" i="9"/>
  <c r="E106" i="9"/>
  <c r="E107" i="9"/>
  <c r="H109" i="9"/>
  <c r="D111" i="9"/>
  <c r="C113" i="9"/>
  <c r="G114" i="9"/>
  <c r="C101" i="7"/>
  <c r="C103" i="7"/>
  <c r="C105" i="7"/>
  <c r="C107" i="7"/>
  <c r="C108" i="7"/>
  <c r="C109" i="7"/>
  <c r="C100" i="7"/>
  <c r="C102" i="7"/>
  <c r="C104" i="7"/>
  <c r="C106" i="7"/>
  <c r="C110" i="7"/>
  <c r="C111" i="7"/>
  <c r="E128" i="2"/>
  <c r="F128" i="2"/>
  <c r="G128" i="2"/>
  <c r="H128" i="2"/>
  <c r="I128" i="2"/>
  <c r="J128" i="2"/>
  <c r="L128" i="2"/>
  <c r="M128" i="2"/>
  <c r="N128" i="2"/>
  <c r="E129" i="2"/>
  <c r="F129" i="2"/>
  <c r="G129" i="2"/>
  <c r="H129" i="2"/>
  <c r="I129" i="2"/>
  <c r="J129" i="2"/>
  <c r="L129" i="2"/>
  <c r="M129" i="2"/>
  <c r="N129" i="2"/>
  <c r="D129" i="2"/>
  <c r="D128" i="2"/>
  <c r="H144" i="1"/>
  <c r="I144" i="1"/>
  <c r="J144" i="1"/>
  <c r="K144" i="1"/>
  <c r="L144" i="1"/>
  <c r="M144" i="1"/>
  <c r="N144" i="1"/>
  <c r="O144" i="1"/>
  <c r="P144" i="1"/>
  <c r="Q144" i="1"/>
  <c r="R144" i="1"/>
  <c r="S144" i="1"/>
  <c r="T144" i="1"/>
  <c r="U144" i="1"/>
  <c r="V144" i="1"/>
  <c r="E144" i="1"/>
  <c r="F144" i="1"/>
  <c r="G144" i="1"/>
  <c r="G139" i="1"/>
  <c r="H139" i="1"/>
  <c r="I139" i="1"/>
  <c r="J139" i="1"/>
  <c r="K139" i="1"/>
  <c r="L139" i="1"/>
  <c r="M139" i="1"/>
  <c r="N139" i="1"/>
  <c r="O139" i="1"/>
  <c r="P139" i="1"/>
  <c r="Q139" i="1"/>
  <c r="R139" i="1"/>
  <c r="S139" i="1"/>
  <c r="T139" i="1"/>
  <c r="U139" i="1"/>
  <c r="V139" i="1"/>
  <c r="F139" i="1"/>
  <c r="E139" i="1"/>
  <c r="E184" i="2"/>
  <c r="F184" i="2"/>
  <c r="G184" i="2"/>
  <c r="H184" i="2"/>
  <c r="I184" i="2"/>
  <c r="J184" i="2"/>
  <c r="L184" i="2"/>
  <c r="M184" i="2"/>
  <c r="N184" i="2"/>
  <c r="E185" i="2"/>
  <c r="F185" i="2"/>
  <c r="G185" i="2"/>
  <c r="H185" i="2"/>
  <c r="I185" i="2"/>
  <c r="J185" i="2"/>
  <c r="L185" i="2"/>
  <c r="M185" i="2"/>
  <c r="N185" i="2"/>
  <c r="E186" i="2"/>
  <c r="F186" i="2"/>
  <c r="G186" i="2"/>
  <c r="H186" i="2"/>
  <c r="I186" i="2"/>
  <c r="J186" i="2"/>
  <c r="L186" i="2"/>
  <c r="M186" i="2"/>
  <c r="N186" i="2"/>
  <c r="E187" i="2"/>
  <c r="F187" i="2"/>
  <c r="G187" i="2"/>
  <c r="H187" i="2"/>
  <c r="I187" i="2"/>
  <c r="J187" i="2"/>
  <c r="L187" i="2"/>
  <c r="M187" i="2"/>
  <c r="N187" i="2"/>
  <c r="E188" i="2"/>
  <c r="F188" i="2"/>
  <c r="G188" i="2"/>
  <c r="H188" i="2"/>
  <c r="I188" i="2"/>
  <c r="J188" i="2"/>
  <c r="L188" i="2"/>
  <c r="M188" i="2"/>
  <c r="N188" i="2"/>
  <c r="E189" i="2"/>
  <c r="F189" i="2"/>
  <c r="G189" i="2"/>
  <c r="H189" i="2"/>
  <c r="I189" i="2"/>
  <c r="J189" i="2"/>
  <c r="L189" i="2"/>
  <c r="M189" i="2"/>
  <c r="N189" i="2"/>
  <c r="E190" i="2"/>
  <c r="F190" i="2"/>
  <c r="G190" i="2"/>
  <c r="H190" i="2"/>
  <c r="I190" i="2"/>
  <c r="J190" i="2"/>
  <c r="L190" i="2"/>
  <c r="M190" i="2"/>
  <c r="N190" i="2"/>
  <c r="E191" i="2"/>
  <c r="F191" i="2"/>
  <c r="G191" i="2"/>
  <c r="H191" i="2"/>
  <c r="I191" i="2"/>
  <c r="J191" i="2"/>
  <c r="L191" i="2"/>
  <c r="M191" i="2"/>
  <c r="N191" i="2"/>
  <c r="E192" i="2"/>
  <c r="F192" i="2"/>
  <c r="G192" i="2"/>
  <c r="H192" i="2"/>
  <c r="I192" i="2"/>
  <c r="J192" i="2"/>
  <c r="L192" i="2"/>
  <c r="M192" i="2"/>
  <c r="N192" i="2"/>
  <c r="E193" i="2"/>
  <c r="F193" i="2"/>
  <c r="G193" i="2"/>
  <c r="H193" i="2"/>
  <c r="I193" i="2"/>
  <c r="J193" i="2"/>
  <c r="L193" i="2"/>
  <c r="M193" i="2"/>
  <c r="N193" i="2"/>
  <c r="E194" i="2"/>
  <c r="F194" i="2"/>
  <c r="G194" i="2"/>
  <c r="H194" i="2"/>
  <c r="I194" i="2"/>
  <c r="J194" i="2"/>
  <c r="L194" i="2"/>
  <c r="M194" i="2"/>
  <c r="N194" i="2"/>
  <c r="E195" i="2"/>
  <c r="F195" i="2"/>
  <c r="G195" i="2"/>
  <c r="H195" i="2"/>
  <c r="I195" i="2"/>
  <c r="J195" i="2"/>
  <c r="L195" i="2"/>
  <c r="M195" i="2"/>
  <c r="N195" i="2"/>
  <c r="E196" i="2"/>
  <c r="F196" i="2"/>
  <c r="G196" i="2"/>
  <c r="H196" i="2"/>
  <c r="I196" i="2"/>
  <c r="J196" i="2"/>
  <c r="L196" i="2"/>
  <c r="M196" i="2"/>
  <c r="N196" i="2"/>
  <c r="E197" i="2"/>
  <c r="F197" i="2"/>
  <c r="G197" i="2"/>
  <c r="H197" i="2"/>
  <c r="I197" i="2"/>
  <c r="J197" i="2"/>
  <c r="L197" i="2"/>
  <c r="M197" i="2"/>
  <c r="N197" i="2"/>
  <c r="E198" i="2"/>
  <c r="F198" i="2"/>
  <c r="G198" i="2"/>
  <c r="H198" i="2"/>
  <c r="I198" i="2"/>
  <c r="J198" i="2"/>
  <c r="L198" i="2"/>
  <c r="M198" i="2"/>
  <c r="N198" i="2"/>
  <c r="E199" i="2"/>
  <c r="F199" i="2"/>
  <c r="G199" i="2"/>
  <c r="H199" i="2"/>
  <c r="I199" i="2"/>
  <c r="J199" i="2"/>
  <c r="L199" i="2"/>
  <c r="M199" i="2"/>
  <c r="N199" i="2"/>
  <c r="E200" i="2"/>
  <c r="F200" i="2"/>
  <c r="G200" i="2"/>
  <c r="H200" i="2"/>
  <c r="I200" i="2"/>
  <c r="J200" i="2"/>
  <c r="L200" i="2"/>
  <c r="M200" i="2"/>
  <c r="N200" i="2"/>
  <c r="E201" i="2"/>
  <c r="F201" i="2"/>
  <c r="G201" i="2"/>
  <c r="H201" i="2"/>
  <c r="I201" i="2"/>
  <c r="J201" i="2"/>
  <c r="L201" i="2"/>
  <c r="M201" i="2"/>
  <c r="N201" i="2"/>
  <c r="E202" i="2"/>
  <c r="F202" i="2"/>
  <c r="G202" i="2"/>
  <c r="H202" i="2"/>
  <c r="I202" i="2"/>
  <c r="J202" i="2"/>
  <c r="L202" i="2"/>
  <c r="M202" i="2"/>
  <c r="N202" i="2"/>
  <c r="E203" i="2"/>
  <c r="F203" i="2"/>
  <c r="G203" i="2"/>
  <c r="H203" i="2"/>
  <c r="I203" i="2"/>
  <c r="J203" i="2"/>
  <c r="L203" i="2"/>
  <c r="M203" i="2"/>
  <c r="N203" i="2"/>
  <c r="E204" i="2"/>
  <c r="F204" i="2"/>
  <c r="G204" i="2"/>
  <c r="H204" i="2"/>
  <c r="I204" i="2"/>
  <c r="J204" i="2"/>
  <c r="L204" i="2"/>
  <c r="M204" i="2"/>
  <c r="N204" i="2"/>
  <c r="E205" i="2"/>
  <c r="F205" i="2"/>
  <c r="G205" i="2"/>
  <c r="H205" i="2"/>
  <c r="I205" i="2"/>
  <c r="J205" i="2"/>
  <c r="L205" i="2"/>
  <c r="M205" i="2"/>
  <c r="N205" i="2"/>
  <c r="E206" i="2"/>
  <c r="F206" i="2"/>
  <c r="G206" i="2"/>
  <c r="H206" i="2"/>
  <c r="I206" i="2"/>
  <c r="J206" i="2"/>
  <c r="L206" i="2"/>
  <c r="M206" i="2"/>
  <c r="N206" i="2"/>
  <c r="E207" i="2"/>
  <c r="F207" i="2"/>
  <c r="G207" i="2"/>
  <c r="H207" i="2"/>
  <c r="I207" i="2"/>
  <c r="J207" i="2"/>
  <c r="L207" i="2"/>
  <c r="M207" i="2"/>
  <c r="N207" i="2"/>
  <c r="E208" i="2"/>
  <c r="F208" i="2"/>
  <c r="G208" i="2"/>
  <c r="H208" i="2"/>
  <c r="I208" i="2"/>
  <c r="J208" i="2"/>
  <c r="L208" i="2"/>
  <c r="M208" i="2"/>
  <c r="N208" i="2"/>
  <c r="E209" i="2"/>
  <c r="F209" i="2"/>
  <c r="G209" i="2"/>
  <c r="H209" i="2"/>
  <c r="I209" i="2"/>
  <c r="J209" i="2"/>
  <c r="L209" i="2"/>
  <c r="M209" i="2"/>
  <c r="N209" i="2"/>
  <c r="E210" i="2"/>
  <c r="F210" i="2"/>
  <c r="G210" i="2"/>
  <c r="H210" i="2"/>
  <c r="I210" i="2"/>
  <c r="J210" i="2"/>
  <c r="L210" i="2"/>
  <c r="M210" i="2"/>
  <c r="N210" i="2"/>
  <c r="E211" i="2"/>
  <c r="F211" i="2"/>
  <c r="G211" i="2"/>
  <c r="H211" i="2"/>
  <c r="I211" i="2"/>
  <c r="J211" i="2"/>
  <c r="L211" i="2"/>
  <c r="M211" i="2"/>
  <c r="N211" i="2"/>
  <c r="E212" i="2"/>
  <c r="F212" i="2"/>
  <c r="G212" i="2"/>
  <c r="H212" i="2"/>
  <c r="I212" i="2"/>
  <c r="J212" i="2"/>
  <c r="L212" i="2"/>
  <c r="M212" i="2"/>
  <c r="N212" i="2"/>
  <c r="E213" i="2"/>
  <c r="F213" i="2"/>
  <c r="G213" i="2"/>
  <c r="H213" i="2"/>
  <c r="I213" i="2"/>
  <c r="J213" i="2"/>
  <c r="L213" i="2"/>
  <c r="M213" i="2"/>
  <c r="N213" i="2"/>
  <c r="E214" i="2"/>
  <c r="F214" i="2"/>
  <c r="G214" i="2"/>
  <c r="H214" i="2"/>
  <c r="I214" i="2"/>
  <c r="J214" i="2"/>
  <c r="L214" i="2"/>
  <c r="M214" i="2"/>
  <c r="N214" i="2"/>
  <c r="E215" i="2"/>
  <c r="F215" i="2"/>
  <c r="G215" i="2"/>
  <c r="H215" i="2"/>
  <c r="I215" i="2"/>
  <c r="J215" i="2"/>
  <c r="L215" i="2"/>
  <c r="M215" i="2"/>
  <c r="N215" i="2"/>
  <c r="E216" i="2"/>
  <c r="F216" i="2"/>
  <c r="G216" i="2"/>
  <c r="H216" i="2"/>
  <c r="I216" i="2"/>
  <c r="J216" i="2"/>
  <c r="L216" i="2"/>
  <c r="M216" i="2"/>
  <c r="N216" i="2"/>
  <c r="E217" i="2"/>
  <c r="F217" i="2"/>
  <c r="G217" i="2"/>
  <c r="H217" i="2"/>
  <c r="I217" i="2"/>
  <c r="J217" i="2"/>
  <c r="L217" i="2"/>
  <c r="M217" i="2"/>
  <c r="N217" i="2"/>
  <c r="E218" i="2"/>
  <c r="F218" i="2"/>
  <c r="G218" i="2"/>
  <c r="H218" i="2"/>
  <c r="I218" i="2"/>
  <c r="J218" i="2"/>
  <c r="L218" i="2"/>
  <c r="M218" i="2"/>
  <c r="N218" i="2"/>
  <c r="E219" i="2"/>
  <c r="F219" i="2"/>
  <c r="G219" i="2"/>
  <c r="H219" i="2"/>
  <c r="I219" i="2"/>
  <c r="J219" i="2"/>
  <c r="L219" i="2"/>
  <c r="M219" i="2"/>
  <c r="N219" i="2"/>
  <c r="E220" i="2"/>
  <c r="F220" i="2"/>
  <c r="G220" i="2"/>
  <c r="H220" i="2"/>
  <c r="I220" i="2"/>
  <c r="J220" i="2"/>
  <c r="L220" i="2"/>
  <c r="M220" i="2"/>
  <c r="N220" i="2"/>
  <c r="E221" i="2"/>
  <c r="F221" i="2"/>
  <c r="G221" i="2"/>
  <c r="H221" i="2"/>
  <c r="I221" i="2"/>
  <c r="J221" i="2"/>
  <c r="L221" i="2"/>
  <c r="M221" i="2"/>
  <c r="N221" i="2"/>
  <c r="E222" i="2"/>
  <c r="F222" i="2"/>
  <c r="G222" i="2"/>
  <c r="H222" i="2"/>
  <c r="I222" i="2"/>
  <c r="J222" i="2"/>
  <c r="L222" i="2"/>
  <c r="M222" i="2"/>
  <c r="N222" i="2"/>
  <c r="E223" i="2"/>
  <c r="F223" i="2"/>
  <c r="G223" i="2"/>
  <c r="H223" i="2"/>
  <c r="I223" i="2"/>
  <c r="J223" i="2"/>
  <c r="L223" i="2"/>
  <c r="M223" i="2"/>
  <c r="N223" i="2"/>
  <c r="E224" i="2"/>
  <c r="F224" i="2"/>
  <c r="G224" i="2"/>
  <c r="H224" i="2"/>
  <c r="I224" i="2"/>
  <c r="J224" i="2"/>
  <c r="L224" i="2"/>
  <c r="M224" i="2"/>
  <c r="N224" i="2"/>
  <c r="E225" i="2"/>
  <c r="F225" i="2"/>
  <c r="G225" i="2"/>
  <c r="H225" i="2"/>
  <c r="I225" i="2"/>
  <c r="J225" i="2"/>
  <c r="L225" i="2"/>
  <c r="M225" i="2"/>
  <c r="N225" i="2"/>
  <c r="E226" i="2"/>
  <c r="F226" i="2"/>
  <c r="G226" i="2"/>
  <c r="H226" i="2"/>
  <c r="I226" i="2"/>
  <c r="J226" i="2"/>
  <c r="L226" i="2"/>
  <c r="M226" i="2"/>
  <c r="N226" i="2"/>
  <c r="E227" i="2"/>
  <c r="F227" i="2"/>
  <c r="G227" i="2"/>
  <c r="H227" i="2"/>
  <c r="I227" i="2"/>
  <c r="J227" i="2"/>
  <c r="L227" i="2"/>
  <c r="M227" i="2"/>
  <c r="N227" i="2"/>
  <c r="E228" i="2"/>
  <c r="F228" i="2"/>
  <c r="G228" i="2"/>
  <c r="H228" i="2"/>
  <c r="I228" i="2"/>
  <c r="J228" i="2"/>
  <c r="L228" i="2"/>
  <c r="M228" i="2"/>
  <c r="N228" i="2"/>
  <c r="E229" i="2"/>
  <c r="F229" i="2"/>
  <c r="G229" i="2"/>
  <c r="H229" i="2"/>
  <c r="I229" i="2"/>
  <c r="J229" i="2"/>
  <c r="L229" i="2"/>
  <c r="M229" i="2"/>
  <c r="N229" i="2"/>
  <c r="E230" i="2"/>
  <c r="F230" i="2"/>
  <c r="G230" i="2"/>
  <c r="H230" i="2"/>
  <c r="I230" i="2"/>
  <c r="J230" i="2"/>
  <c r="L230" i="2"/>
  <c r="M230" i="2"/>
  <c r="N230" i="2"/>
  <c r="E231" i="2"/>
  <c r="F231" i="2"/>
  <c r="G231" i="2"/>
  <c r="H231" i="2"/>
  <c r="I231" i="2"/>
  <c r="J231" i="2"/>
  <c r="L231" i="2"/>
  <c r="M231" i="2"/>
  <c r="N231" i="2"/>
  <c r="E232" i="2"/>
  <c r="F232" i="2"/>
  <c r="G232" i="2"/>
  <c r="H232" i="2"/>
  <c r="I232" i="2"/>
  <c r="J232" i="2"/>
  <c r="L232" i="2"/>
  <c r="M232" i="2"/>
  <c r="N232" i="2"/>
  <c r="E233" i="2"/>
  <c r="F233" i="2"/>
  <c r="G233" i="2"/>
  <c r="H233" i="2"/>
  <c r="I233" i="2"/>
  <c r="J233" i="2"/>
  <c r="L233" i="2"/>
  <c r="M233" i="2"/>
  <c r="N233" i="2"/>
  <c r="E234" i="2"/>
  <c r="F234" i="2"/>
  <c r="G234" i="2"/>
  <c r="H234" i="2"/>
  <c r="I234" i="2"/>
  <c r="J234" i="2"/>
  <c r="L234" i="2"/>
  <c r="M234" i="2"/>
  <c r="N234" i="2"/>
  <c r="E235" i="2"/>
  <c r="F235" i="2"/>
  <c r="G235" i="2"/>
  <c r="H235" i="2"/>
  <c r="I235" i="2"/>
  <c r="J235" i="2"/>
  <c r="L235" i="2"/>
  <c r="M235" i="2"/>
  <c r="N235" i="2"/>
  <c r="E236" i="2"/>
  <c r="F236" i="2"/>
  <c r="G236" i="2"/>
  <c r="H236" i="2"/>
  <c r="I236" i="2"/>
  <c r="J236" i="2"/>
  <c r="L236" i="2"/>
  <c r="M236" i="2"/>
  <c r="N236" i="2"/>
  <c r="E237" i="2"/>
  <c r="F237" i="2"/>
  <c r="G237" i="2"/>
  <c r="H237" i="2"/>
  <c r="I237" i="2"/>
  <c r="J237" i="2"/>
  <c r="L237" i="2"/>
  <c r="M237" i="2"/>
  <c r="N237" i="2"/>
  <c r="E238" i="2"/>
  <c r="F238" i="2"/>
  <c r="G238" i="2"/>
  <c r="H238" i="2"/>
  <c r="I238" i="2"/>
  <c r="J238" i="2"/>
  <c r="L238" i="2"/>
  <c r="M238" i="2"/>
  <c r="N238" i="2"/>
  <c r="E239" i="2"/>
  <c r="F239" i="2"/>
  <c r="G239" i="2"/>
  <c r="H239" i="2"/>
  <c r="I239" i="2"/>
  <c r="J239" i="2"/>
  <c r="L239" i="2"/>
  <c r="M239" i="2"/>
  <c r="N239" i="2"/>
  <c r="E240" i="2"/>
  <c r="F240" i="2"/>
  <c r="G240" i="2"/>
  <c r="H240" i="2"/>
  <c r="I240" i="2"/>
  <c r="J240" i="2"/>
  <c r="K240" i="2"/>
  <c r="L240" i="2"/>
  <c r="M240" i="2"/>
  <c r="N240" i="2"/>
  <c r="E241" i="2"/>
  <c r="F241" i="2"/>
  <c r="G241" i="2"/>
  <c r="H241" i="2"/>
  <c r="I241" i="2"/>
  <c r="J241" i="2"/>
  <c r="L241" i="2"/>
  <c r="M241" i="2"/>
  <c r="N241" i="2"/>
  <c r="E242" i="2"/>
  <c r="F242" i="2"/>
  <c r="G242" i="2"/>
  <c r="H242" i="2"/>
  <c r="I242" i="2"/>
  <c r="J242" i="2"/>
  <c r="L242" i="2"/>
  <c r="M242" i="2"/>
  <c r="N242" i="2"/>
  <c r="E243" i="2"/>
  <c r="F243" i="2"/>
  <c r="G243" i="2"/>
  <c r="H243" i="2"/>
  <c r="I243" i="2"/>
  <c r="J243" i="2"/>
  <c r="L243" i="2"/>
  <c r="M243" i="2"/>
  <c r="N243" i="2"/>
  <c r="E244" i="2"/>
  <c r="F244" i="2"/>
  <c r="G244" i="2"/>
  <c r="H244" i="2"/>
  <c r="I244" i="2"/>
  <c r="J244" i="2"/>
  <c r="L244" i="2"/>
  <c r="M244" i="2"/>
  <c r="N244" i="2"/>
  <c r="E245" i="2"/>
  <c r="F245" i="2"/>
  <c r="G245" i="2"/>
  <c r="H245" i="2"/>
  <c r="I245" i="2"/>
  <c r="J245" i="2"/>
  <c r="L245" i="2"/>
  <c r="M245" i="2"/>
  <c r="N245" i="2"/>
  <c r="E246" i="2"/>
  <c r="F246" i="2"/>
  <c r="G246" i="2"/>
  <c r="H246" i="2"/>
  <c r="I246" i="2"/>
  <c r="J246" i="2"/>
  <c r="L246" i="2"/>
  <c r="M246" i="2"/>
  <c r="N246" i="2"/>
  <c r="E247" i="2"/>
  <c r="F247" i="2"/>
  <c r="G247" i="2"/>
  <c r="H247" i="2"/>
  <c r="I247" i="2"/>
  <c r="J247" i="2"/>
  <c r="L247" i="2"/>
  <c r="M247" i="2"/>
  <c r="N247" i="2"/>
  <c r="E248" i="2"/>
  <c r="F248" i="2"/>
  <c r="G248" i="2"/>
  <c r="H248" i="2"/>
  <c r="I248" i="2"/>
  <c r="J248" i="2"/>
  <c r="K248" i="2"/>
  <c r="L248" i="2"/>
  <c r="M248" i="2"/>
  <c r="N248" i="2"/>
  <c r="E249" i="2"/>
  <c r="F249" i="2"/>
  <c r="G249" i="2"/>
  <c r="H249" i="2"/>
  <c r="I249" i="2"/>
  <c r="J249" i="2"/>
  <c r="L249" i="2"/>
  <c r="M249" i="2"/>
  <c r="N249" i="2"/>
  <c r="E250" i="2"/>
  <c r="F250" i="2"/>
  <c r="G250" i="2"/>
  <c r="H250" i="2"/>
  <c r="I250" i="2"/>
  <c r="J250" i="2"/>
  <c r="L250" i="2"/>
  <c r="M250" i="2"/>
  <c r="N250" i="2"/>
  <c r="E251" i="2"/>
  <c r="F251" i="2"/>
  <c r="G251" i="2"/>
  <c r="H251" i="2"/>
  <c r="I251" i="2"/>
  <c r="J251" i="2"/>
  <c r="L251" i="2"/>
  <c r="M251" i="2"/>
  <c r="N251" i="2"/>
  <c r="E252" i="2"/>
  <c r="F252" i="2"/>
  <c r="G252" i="2"/>
  <c r="H252" i="2"/>
  <c r="I252" i="2"/>
  <c r="J252" i="2"/>
  <c r="L252" i="2"/>
  <c r="M252" i="2"/>
  <c r="N252" i="2"/>
  <c r="E253" i="2"/>
  <c r="F253" i="2"/>
  <c r="G253" i="2"/>
  <c r="H253" i="2"/>
  <c r="I253" i="2"/>
  <c r="J253" i="2"/>
  <c r="L253" i="2"/>
  <c r="M253" i="2"/>
  <c r="N253" i="2"/>
  <c r="E254" i="2"/>
  <c r="F254" i="2"/>
  <c r="G254" i="2"/>
  <c r="H254" i="2"/>
  <c r="I254" i="2"/>
  <c r="J254" i="2"/>
  <c r="L254" i="2"/>
  <c r="M254" i="2"/>
  <c r="N254" i="2"/>
  <c r="E255" i="2"/>
  <c r="F255" i="2"/>
  <c r="G255" i="2"/>
  <c r="H255" i="2"/>
  <c r="I255" i="2"/>
  <c r="J255" i="2"/>
  <c r="K255" i="2"/>
  <c r="L255" i="2"/>
  <c r="M255" i="2"/>
  <c r="N255" i="2"/>
  <c r="E256" i="2"/>
  <c r="F256" i="2"/>
  <c r="G256" i="2"/>
  <c r="H256" i="2"/>
  <c r="I256" i="2"/>
  <c r="J256" i="2"/>
  <c r="L256" i="2"/>
  <c r="M256" i="2"/>
  <c r="N256" i="2"/>
  <c r="E257" i="2"/>
  <c r="F257" i="2"/>
  <c r="G257" i="2"/>
  <c r="H257" i="2"/>
  <c r="I257" i="2"/>
  <c r="J257" i="2"/>
  <c r="L257" i="2"/>
  <c r="M257" i="2"/>
  <c r="N257" i="2"/>
  <c r="E258" i="2"/>
  <c r="F258" i="2"/>
  <c r="G258" i="2"/>
  <c r="H258" i="2"/>
  <c r="I258" i="2"/>
  <c r="J258" i="2"/>
  <c r="L258" i="2"/>
  <c r="M258" i="2"/>
  <c r="N258" i="2"/>
  <c r="E259" i="2"/>
  <c r="F259" i="2"/>
  <c r="G259" i="2"/>
  <c r="H259" i="2"/>
  <c r="I259" i="2"/>
  <c r="J259" i="2"/>
  <c r="L259" i="2"/>
  <c r="M259" i="2"/>
  <c r="N259" i="2"/>
  <c r="E260" i="2"/>
  <c r="F260" i="2"/>
  <c r="G260" i="2"/>
  <c r="H260" i="2"/>
  <c r="I260" i="2"/>
  <c r="J260" i="2"/>
  <c r="L260" i="2"/>
  <c r="M260" i="2"/>
  <c r="N260" i="2"/>
  <c r="E261" i="2"/>
  <c r="F261" i="2"/>
  <c r="G261" i="2"/>
  <c r="H261" i="2"/>
  <c r="I261" i="2"/>
  <c r="J261" i="2"/>
  <c r="L261" i="2"/>
  <c r="M261" i="2"/>
  <c r="N261" i="2"/>
  <c r="E262" i="2"/>
  <c r="F262" i="2"/>
  <c r="G262" i="2"/>
  <c r="H262" i="2"/>
  <c r="I262" i="2"/>
  <c r="J262" i="2"/>
  <c r="L262" i="2"/>
  <c r="M262" i="2"/>
  <c r="N262" i="2"/>
  <c r="E263" i="2"/>
  <c r="F263" i="2"/>
  <c r="G263" i="2"/>
  <c r="H263" i="2"/>
  <c r="I263" i="2"/>
  <c r="J263" i="2"/>
  <c r="L263" i="2"/>
  <c r="M263" i="2"/>
  <c r="N263" i="2"/>
  <c r="E264" i="2"/>
  <c r="F264" i="2"/>
  <c r="G264" i="2"/>
  <c r="H264" i="2"/>
  <c r="I264" i="2"/>
  <c r="J264" i="2"/>
  <c r="L264" i="2"/>
  <c r="M264" i="2"/>
  <c r="N264" i="2"/>
  <c r="E265" i="2"/>
  <c r="F265" i="2"/>
  <c r="G265" i="2"/>
  <c r="H265" i="2"/>
  <c r="I265" i="2"/>
  <c r="J265" i="2"/>
  <c r="L265" i="2"/>
  <c r="M265" i="2"/>
  <c r="N265" i="2"/>
  <c r="E266" i="2"/>
  <c r="F266" i="2"/>
  <c r="G266" i="2"/>
  <c r="H266" i="2"/>
  <c r="I266" i="2"/>
  <c r="J266" i="2"/>
  <c r="L266" i="2"/>
  <c r="M266" i="2"/>
  <c r="N266" i="2"/>
  <c r="E267" i="2"/>
  <c r="F267" i="2"/>
  <c r="G267" i="2"/>
  <c r="H267" i="2"/>
  <c r="I267" i="2"/>
  <c r="J267" i="2"/>
  <c r="L267" i="2"/>
  <c r="M267" i="2"/>
  <c r="N267" i="2"/>
  <c r="E268" i="2"/>
  <c r="F268" i="2"/>
  <c r="G268" i="2"/>
  <c r="H268" i="2"/>
  <c r="I268" i="2"/>
  <c r="J268" i="2"/>
  <c r="L268" i="2"/>
  <c r="M268" i="2"/>
  <c r="N268" i="2"/>
  <c r="D185" i="2"/>
  <c r="D186" i="2"/>
  <c r="D187" i="2"/>
  <c r="D188" i="2"/>
  <c r="D189" i="2"/>
  <c r="D190" i="2"/>
  <c r="D191" i="2"/>
  <c r="D192" i="2"/>
  <c r="D193" i="2"/>
  <c r="D194" i="2"/>
  <c r="D195" i="2"/>
  <c r="D196" i="2"/>
  <c r="D197" i="2"/>
  <c r="D198" i="2"/>
  <c r="D199" i="2"/>
  <c r="D200" i="2"/>
  <c r="D201" i="2"/>
  <c r="D202" i="2"/>
  <c r="D203" i="2"/>
  <c r="D204" i="2"/>
  <c r="D205" i="2"/>
  <c r="D206" i="2"/>
  <c r="D207" i="2"/>
  <c r="D208" i="2"/>
  <c r="D209" i="2"/>
  <c r="D210" i="2"/>
  <c r="D211" i="2"/>
  <c r="D212" i="2"/>
  <c r="D213" i="2"/>
  <c r="D214" i="2"/>
  <c r="D215" i="2"/>
  <c r="D216" i="2"/>
  <c r="D217" i="2"/>
  <c r="D218" i="2"/>
  <c r="D219" i="2"/>
  <c r="D220" i="2"/>
  <c r="D221" i="2"/>
  <c r="D222" i="2"/>
  <c r="D223" i="2"/>
  <c r="D224" i="2"/>
  <c r="D225" i="2"/>
  <c r="D226" i="2"/>
  <c r="D227" i="2"/>
  <c r="D228" i="2"/>
  <c r="D229" i="2"/>
  <c r="D230" i="2"/>
  <c r="D231" i="2"/>
  <c r="D232" i="2"/>
  <c r="D233" i="2"/>
  <c r="D234" i="2"/>
  <c r="D235" i="2"/>
  <c r="D236" i="2"/>
  <c r="D237" i="2"/>
  <c r="D238" i="2"/>
  <c r="D239" i="2"/>
  <c r="D240" i="2"/>
  <c r="D241" i="2"/>
  <c r="D242" i="2"/>
  <c r="D243" i="2"/>
  <c r="D244" i="2"/>
  <c r="D245" i="2"/>
  <c r="D246" i="2"/>
  <c r="D247" i="2"/>
  <c r="D248" i="2"/>
  <c r="D249" i="2"/>
  <c r="D250" i="2"/>
  <c r="D251" i="2"/>
  <c r="D252" i="2"/>
  <c r="D253" i="2"/>
  <c r="D254" i="2"/>
  <c r="D255" i="2"/>
  <c r="D256" i="2"/>
  <c r="D257" i="2"/>
  <c r="D258" i="2"/>
  <c r="D259" i="2"/>
  <c r="D260" i="2"/>
  <c r="D261" i="2"/>
  <c r="D262" i="2"/>
  <c r="D263" i="2"/>
  <c r="D264" i="2"/>
  <c r="D265" i="2"/>
  <c r="D266" i="2"/>
  <c r="D267" i="2"/>
  <c r="D268" i="2"/>
  <c r="D184" i="2"/>
  <c r="I104" i="2"/>
  <c r="J104" i="2"/>
  <c r="J148" i="2" s="1"/>
  <c r="I105" i="2"/>
  <c r="J105" i="2"/>
  <c r="J149" i="2" s="1"/>
  <c r="I106" i="2"/>
  <c r="I150" i="2" s="1"/>
  <c r="J106" i="2"/>
  <c r="J150" i="2" s="1"/>
  <c r="I107" i="2"/>
  <c r="I151" i="2" s="1"/>
  <c r="J107" i="2"/>
  <c r="J151" i="2" s="1"/>
  <c r="I108" i="2"/>
  <c r="I135" i="2" s="1"/>
  <c r="J108" i="2"/>
  <c r="J135" i="2" s="1"/>
  <c r="I109" i="2"/>
  <c r="I136" i="2" s="1"/>
  <c r="J109" i="2"/>
  <c r="J136" i="2" s="1"/>
  <c r="I110" i="2"/>
  <c r="I137" i="2" s="1"/>
  <c r="J110" i="2"/>
  <c r="J137" i="2" s="1"/>
  <c r="I111" i="2"/>
  <c r="I138" i="2" s="1"/>
  <c r="J111" i="2"/>
  <c r="J138" i="2" s="1"/>
  <c r="I112" i="2"/>
  <c r="I152" i="2" s="1"/>
  <c r="J112" i="2"/>
  <c r="J152" i="2" s="1"/>
  <c r="I113" i="2"/>
  <c r="I153" i="2" s="1"/>
  <c r="J113" i="2"/>
  <c r="J153" i="2" s="1"/>
  <c r="I114" i="2"/>
  <c r="I154" i="2" s="1"/>
  <c r="J114" i="2"/>
  <c r="J154" i="2" s="1"/>
  <c r="I115" i="2"/>
  <c r="I155" i="2" s="1"/>
  <c r="J115" i="2"/>
  <c r="J155" i="2" s="1"/>
  <c r="K2" i="2"/>
  <c r="K10" i="2"/>
  <c r="K18" i="2"/>
  <c r="K26" i="2"/>
  <c r="K34" i="2"/>
  <c r="K42" i="2"/>
  <c r="K50" i="2"/>
  <c r="K58" i="2"/>
  <c r="K67" i="2"/>
  <c r="K76" i="2"/>
  <c r="K84" i="2"/>
  <c r="K92" i="2"/>
  <c r="K3" i="2"/>
  <c r="K11" i="2"/>
  <c r="K19" i="2"/>
  <c r="K27" i="2"/>
  <c r="K35" i="2"/>
  <c r="K43" i="2"/>
  <c r="K51" i="2"/>
  <c r="K59" i="2"/>
  <c r="K68" i="2"/>
  <c r="K77" i="2"/>
  <c r="K85" i="2"/>
  <c r="K93" i="2"/>
  <c r="K4" i="2"/>
  <c r="K12" i="2"/>
  <c r="K20" i="2"/>
  <c r="K28" i="2"/>
  <c r="K36" i="2"/>
  <c r="K44" i="2"/>
  <c r="K52" i="2"/>
  <c r="K60" i="2"/>
  <c r="K69" i="2"/>
  <c r="K78" i="2"/>
  <c r="K86" i="2"/>
  <c r="K94" i="2"/>
  <c r="K5" i="2"/>
  <c r="K13" i="2"/>
  <c r="K21" i="2"/>
  <c r="K29" i="2"/>
  <c r="K37" i="2"/>
  <c r="K45" i="2"/>
  <c r="K53" i="2"/>
  <c r="K61" i="2"/>
  <c r="K70" i="2"/>
  <c r="K79" i="2"/>
  <c r="K87" i="2"/>
  <c r="K95" i="2"/>
  <c r="K6" i="2"/>
  <c r="K14" i="2"/>
  <c r="K22" i="2"/>
  <c r="K30" i="2"/>
  <c r="K38" i="2"/>
  <c r="K46" i="2"/>
  <c r="K54" i="2"/>
  <c r="K62" i="2"/>
  <c r="K71" i="2"/>
  <c r="K80" i="2"/>
  <c r="K88" i="2"/>
  <c r="K96" i="2"/>
  <c r="K7" i="2"/>
  <c r="K15" i="2"/>
  <c r="K23" i="2"/>
  <c r="K31" i="2"/>
  <c r="K39" i="2"/>
  <c r="K47" i="2"/>
  <c r="K55" i="2"/>
  <c r="K63" i="2"/>
  <c r="K72" i="2"/>
  <c r="K81" i="2"/>
  <c r="K89" i="2"/>
  <c r="K97" i="2"/>
  <c r="K8" i="2"/>
  <c r="K16" i="2"/>
  <c r="K24" i="2"/>
  <c r="K32" i="2"/>
  <c r="K40" i="2"/>
  <c r="K48" i="2"/>
  <c r="K56" i="2"/>
  <c r="K64" i="2"/>
  <c r="K73" i="2"/>
  <c r="K99" i="2"/>
  <c r="K100" i="2"/>
  <c r="K91" i="2"/>
  <c r="C75" i="2"/>
  <c r="C83" i="2"/>
  <c r="C91" i="2"/>
  <c r="C2" i="2"/>
  <c r="C10" i="2"/>
  <c r="C18" i="2"/>
  <c r="C26" i="2"/>
  <c r="C34" i="2"/>
  <c r="C42" i="2"/>
  <c r="C50" i="2"/>
  <c r="C58" i="2"/>
  <c r="C67" i="2"/>
  <c r="C76" i="2"/>
  <c r="C84" i="2"/>
  <c r="C92" i="2"/>
  <c r="C3" i="2"/>
  <c r="C11" i="2"/>
  <c r="C19" i="2"/>
  <c r="C27" i="2"/>
  <c r="C35" i="2"/>
  <c r="C43" i="2"/>
  <c r="C51" i="2"/>
  <c r="C59" i="2"/>
  <c r="C68" i="2"/>
  <c r="C77" i="2"/>
  <c r="C85" i="2"/>
  <c r="C93" i="2"/>
  <c r="C4" i="2"/>
  <c r="C12" i="2"/>
  <c r="C20" i="2"/>
  <c r="C28" i="2"/>
  <c r="C36" i="2"/>
  <c r="C44" i="2"/>
  <c r="C52" i="2"/>
  <c r="C60" i="2"/>
  <c r="C69" i="2"/>
  <c r="C78" i="2"/>
  <c r="C86" i="2"/>
  <c r="C94" i="2"/>
  <c r="C5" i="2"/>
  <c r="C13" i="2"/>
  <c r="C21" i="2"/>
  <c r="C29" i="2"/>
  <c r="C37" i="2"/>
  <c r="C45" i="2"/>
  <c r="C53" i="2"/>
  <c r="C61" i="2"/>
  <c r="C70" i="2"/>
  <c r="C79" i="2"/>
  <c r="C87" i="2"/>
  <c r="C95" i="2"/>
  <c r="C6" i="2"/>
  <c r="C14" i="2"/>
  <c r="C22" i="2"/>
  <c r="C30" i="2"/>
  <c r="C38" i="2"/>
  <c r="C46" i="2"/>
  <c r="C54" i="2"/>
  <c r="C62" i="2"/>
  <c r="C71" i="2"/>
  <c r="C80" i="2"/>
  <c r="C88" i="2"/>
  <c r="C96" i="2"/>
  <c r="C7" i="2"/>
  <c r="C15" i="2"/>
  <c r="C23" i="2"/>
  <c r="C31" i="2"/>
  <c r="C39" i="2"/>
  <c r="C47" i="2"/>
  <c r="C55" i="2"/>
  <c r="C63" i="2"/>
  <c r="C72" i="2"/>
  <c r="C81" i="2"/>
  <c r="C89" i="2"/>
  <c r="C97" i="2"/>
  <c r="C8" i="2"/>
  <c r="C16" i="2"/>
  <c r="C24" i="2"/>
  <c r="C32" i="2"/>
  <c r="C40" i="2"/>
  <c r="C48" i="2"/>
  <c r="C56" i="2"/>
  <c r="C64" i="2"/>
  <c r="C73" i="2"/>
  <c r="C66" i="2"/>
  <c r="V111" i="1"/>
  <c r="U111" i="1"/>
  <c r="T111" i="1"/>
  <c r="S111" i="1"/>
  <c r="R111" i="1"/>
  <c r="Q111" i="1"/>
  <c r="P111" i="1"/>
  <c r="O111" i="1"/>
  <c r="N111" i="1"/>
  <c r="M111" i="1"/>
  <c r="L111" i="1"/>
  <c r="K111" i="1"/>
  <c r="J111" i="1"/>
  <c r="I111" i="1"/>
  <c r="H111" i="1"/>
  <c r="G111" i="1"/>
  <c r="C113" i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F111" i="1"/>
  <c r="E111" i="1"/>
  <c r="D123" i="1"/>
  <c r="D122" i="1"/>
  <c r="D121" i="1"/>
  <c r="D120" i="1"/>
  <c r="D119" i="1"/>
  <c r="D118" i="1"/>
  <c r="D117" i="1"/>
  <c r="D116" i="1"/>
  <c r="D115" i="1"/>
  <c r="D114" i="1"/>
  <c r="D113" i="1"/>
  <c r="D112" i="1"/>
  <c r="G7" i="8"/>
  <c r="G19" i="8"/>
  <c r="G23" i="8"/>
  <c r="G14" i="8"/>
  <c r="G16" i="8"/>
  <c r="G6" i="8"/>
  <c r="G8" i="8"/>
  <c r="G20" i="8"/>
  <c r="G22" i="8"/>
  <c r="G12" i="8"/>
  <c r="G15" i="8"/>
  <c r="G18" i="8"/>
  <c r="G9" i="8"/>
  <c r="G21" i="8"/>
  <c r="G11" i="8"/>
  <c r="G13" i="8"/>
  <c r="G5" i="8"/>
  <c r="G10" i="8"/>
  <c r="G17" i="8"/>
  <c r="AS39" i="1"/>
  <c r="AM31" i="1"/>
  <c r="AN39" i="1"/>
  <c r="AP31" i="1"/>
  <c r="AS47" i="1"/>
  <c r="AO47" i="1"/>
  <c r="AR39" i="1"/>
  <c r="AR31" i="1"/>
  <c r="AP47" i="1"/>
  <c r="AS31" i="1"/>
  <c r="AO31" i="1"/>
  <c r="AN31" i="1"/>
  <c r="E87" i="1"/>
  <c r="AM39" i="1"/>
  <c r="AN47" i="1"/>
  <c r="F87" i="1"/>
  <c r="AQ47" i="1"/>
  <c r="AP39" i="1"/>
  <c r="AM47" i="1"/>
  <c r="F71" i="1"/>
  <c r="AO39" i="1"/>
  <c r="AQ39" i="1"/>
  <c r="AQ31" i="1"/>
  <c r="AR47" i="1"/>
  <c r="M57" i="2"/>
  <c r="E57" i="2"/>
  <c r="M49" i="2"/>
  <c r="N49" i="2"/>
  <c r="G9" i="2"/>
  <c r="E41" i="2"/>
  <c r="H9" i="2"/>
  <c r="G82" i="2"/>
  <c r="L65" i="2"/>
  <c r="E74" i="2"/>
  <c r="G57" i="2"/>
  <c r="F49" i="2"/>
  <c r="N57" i="2"/>
  <c r="D65" i="2"/>
  <c r="S14" i="1"/>
  <c r="S15" i="1" s="1"/>
  <c r="R13" i="1"/>
  <c r="I15" i="1"/>
  <c r="U10" i="17"/>
  <c r="U18" i="17"/>
  <c r="U83" i="17"/>
  <c r="U74" i="17"/>
  <c r="U50" i="17"/>
  <c r="U66" i="17"/>
  <c r="U42" i="17"/>
  <c r="U58" i="17"/>
  <c r="U26" i="17"/>
  <c r="U34" i="17"/>
  <c r="R14" i="1"/>
  <c r="R15" i="1"/>
  <c r="U116" i="17" l="1"/>
  <c r="U108" i="17"/>
  <c r="U107" i="17"/>
  <c r="Q123" i="17"/>
  <c r="Q126" i="17" s="1"/>
  <c r="M123" i="17"/>
  <c r="D123" i="17"/>
  <c r="D126" i="17" s="1"/>
  <c r="J123" i="17"/>
  <c r="R120" i="17"/>
  <c r="U110" i="17"/>
  <c r="U109" i="17"/>
  <c r="U113" i="17"/>
  <c r="U111" i="17"/>
  <c r="U120" i="17" s="1"/>
  <c r="U114" i="17"/>
  <c r="U112" i="17"/>
  <c r="U115" i="17"/>
  <c r="N122" i="17"/>
  <c r="N125" i="17" s="1"/>
  <c r="M124" i="17"/>
  <c r="K120" i="17"/>
  <c r="L120" i="17"/>
  <c r="J121" i="17"/>
  <c r="J122" i="17"/>
  <c r="J125" i="17" s="1"/>
  <c r="L121" i="17"/>
  <c r="N123" i="17"/>
  <c r="M122" i="17"/>
  <c r="M125" i="17" s="1"/>
  <c r="R123" i="17"/>
  <c r="R126" i="17" s="1"/>
  <c r="R121" i="17"/>
  <c r="Q122" i="17"/>
  <c r="Q125" i="17" s="1"/>
  <c r="Q120" i="17"/>
  <c r="S120" i="17"/>
  <c r="Q124" i="17"/>
  <c r="N120" i="17"/>
  <c r="S124" i="17"/>
  <c r="Q121" i="17"/>
  <c r="L122" i="17"/>
  <c r="L125" i="17" s="1"/>
  <c r="L124" i="17"/>
  <c r="K121" i="17"/>
  <c r="M120" i="17"/>
  <c r="K122" i="17"/>
  <c r="K125" i="17" s="1"/>
  <c r="K123" i="17"/>
  <c r="R122" i="17"/>
  <c r="R125" i="17" s="1"/>
  <c r="M121" i="17"/>
  <c r="K124" i="17"/>
  <c r="N124" i="17"/>
  <c r="L123" i="17"/>
  <c r="J120" i="17"/>
  <c r="S123" i="17"/>
  <c r="S126" i="17" s="1"/>
  <c r="S122" i="17"/>
  <c r="S125" i="17" s="1"/>
  <c r="S121" i="17"/>
  <c r="U123" i="17"/>
  <c r="U122" i="17"/>
  <c r="U125" i="17" s="1"/>
  <c r="U121" i="17"/>
  <c r="R124" i="17"/>
  <c r="J124" i="17"/>
  <c r="D120" i="17"/>
  <c r="E124" i="17"/>
  <c r="E121" i="17"/>
  <c r="E122" i="17"/>
  <c r="E125" i="17" s="1"/>
  <c r="E123" i="17"/>
  <c r="E126" i="17" s="1"/>
  <c r="E120" i="17"/>
  <c r="H121" i="17"/>
  <c r="H123" i="17"/>
  <c r="H126" i="17" s="1"/>
  <c r="H120" i="17"/>
  <c r="H122" i="17"/>
  <c r="H125" i="17" s="1"/>
  <c r="H124" i="17"/>
  <c r="F124" i="17"/>
  <c r="F121" i="17"/>
  <c r="F123" i="17"/>
  <c r="F126" i="17" s="1"/>
  <c r="F120" i="17"/>
  <c r="F122" i="17"/>
  <c r="F125" i="17" s="1"/>
  <c r="G121" i="17"/>
  <c r="G123" i="17"/>
  <c r="G126" i="17" s="1"/>
  <c r="G120" i="17"/>
  <c r="G122" i="17"/>
  <c r="G125" i="17" s="1"/>
  <c r="G124" i="17"/>
  <c r="D122" i="17"/>
  <c r="D125" i="17" s="1"/>
  <c r="D124" i="17"/>
  <c r="D121" i="17"/>
  <c r="K199" i="2"/>
  <c r="F309" i="2"/>
  <c r="K197" i="2"/>
  <c r="E369" i="2"/>
  <c r="K196" i="2"/>
  <c r="E357" i="2"/>
  <c r="K195" i="2"/>
  <c r="E345" i="2"/>
  <c r="K194" i="2"/>
  <c r="E333" i="2"/>
  <c r="K193" i="2"/>
  <c r="E321" i="2"/>
  <c r="K192" i="2"/>
  <c r="E309" i="2"/>
  <c r="K191" i="2"/>
  <c r="K198" i="2"/>
  <c r="K185" i="2"/>
  <c r="K262" i="2"/>
  <c r="O285" i="2"/>
  <c r="K268" i="2"/>
  <c r="O357" i="2"/>
  <c r="K267" i="2"/>
  <c r="O345" i="2"/>
  <c r="K266" i="2"/>
  <c r="O333" i="2"/>
  <c r="K265" i="2"/>
  <c r="O321" i="2"/>
  <c r="K264" i="2"/>
  <c r="O309" i="2"/>
  <c r="K263" i="2"/>
  <c r="O297" i="2"/>
  <c r="K186" i="2"/>
  <c r="K261" i="2"/>
  <c r="N357" i="2"/>
  <c r="K260" i="2"/>
  <c r="N345" i="2"/>
  <c r="K259" i="2"/>
  <c r="N333" i="2"/>
  <c r="K258" i="2"/>
  <c r="N321" i="2"/>
  <c r="K257" i="2"/>
  <c r="N309" i="2"/>
  <c r="K256" i="2"/>
  <c r="N297" i="2"/>
  <c r="K202" i="2"/>
  <c r="F345" i="2"/>
  <c r="K184" i="2"/>
  <c r="K254" i="2"/>
  <c r="M357" i="2"/>
  <c r="K253" i="2"/>
  <c r="M345" i="2"/>
  <c r="K252" i="2"/>
  <c r="M333" i="2"/>
  <c r="K251" i="2"/>
  <c r="M321" i="2"/>
  <c r="K250" i="2"/>
  <c r="M309" i="2"/>
  <c r="K249" i="2"/>
  <c r="M297" i="2"/>
  <c r="K204" i="2"/>
  <c r="F369" i="2"/>
  <c r="K187" i="2"/>
  <c r="K247" i="2"/>
  <c r="L369" i="2"/>
  <c r="K246" i="2"/>
  <c r="L357" i="2"/>
  <c r="K245" i="2"/>
  <c r="L345" i="2"/>
  <c r="K244" i="2"/>
  <c r="L333" i="2"/>
  <c r="K243" i="2"/>
  <c r="L321" i="2"/>
  <c r="K242" i="2"/>
  <c r="L309" i="2"/>
  <c r="K241" i="2"/>
  <c r="L297" i="2"/>
  <c r="K189" i="2"/>
  <c r="K239" i="2"/>
  <c r="K369" i="2"/>
  <c r="K238" i="2"/>
  <c r="K357" i="2"/>
  <c r="K237" i="2"/>
  <c r="K345" i="2"/>
  <c r="K236" i="2"/>
  <c r="K333" i="2"/>
  <c r="K235" i="2"/>
  <c r="K321" i="2"/>
  <c r="K234" i="2"/>
  <c r="K309" i="2"/>
  <c r="K233" i="2"/>
  <c r="K297" i="2"/>
  <c r="K200" i="2"/>
  <c r="F321" i="2"/>
  <c r="K188" i="2"/>
  <c r="K232" i="2"/>
  <c r="J369" i="2"/>
  <c r="K231" i="2"/>
  <c r="J357" i="2"/>
  <c r="K230" i="2"/>
  <c r="J345" i="2"/>
  <c r="K229" i="2"/>
  <c r="J333" i="2"/>
  <c r="K228" i="2"/>
  <c r="J321" i="2"/>
  <c r="K227" i="2"/>
  <c r="J309" i="2"/>
  <c r="K226" i="2"/>
  <c r="J297" i="2"/>
  <c r="K203" i="2"/>
  <c r="F357" i="2"/>
  <c r="K190" i="2"/>
  <c r="K225" i="2"/>
  <c r="I369" i="2"/>
  <c r="K224" i="2"/>
  <c r="I357" i="2"/>
  <c r="K223" i="2"/>
  <c r="I345" i="2"/>
  <c r="K222" i="2"/>
  <c r="I333" i="2"/>
  <c r="K221" i="2"/>
  <c r="I321" i="2"/>
  <c r="K220" i="2"/>
  <c r="I309" i="2"/>
  <c r="K219" i="2"/>
  <c r="I297" i="2"/>
  <c r="K201" i="2"/>
  <c r="F333" i="2"/>
  <c r="K218" i="2"/>
  <c r="H369" i="2"/>
  <c r="K217" i="2"/>
  <c r="H357" i="2"/>
  <c r="K216" i="2"/>
  <c r="H345" i="2"/>
  <c r="K215" i="2"/>
  <c r="H333" i="2"/>
  <c r="K214" i="2"/>
  <c r="H321" i="2"/>
  <c r="K213" i="2"/>
  <c r="H309" i="2"/>
  <c r="K212" i="2"/>
  <c r="K211" i="2"/>
  <c r="G369" i="2"/>
  <c r="K210" i="2"/>
  <c r="G357" i="2"/>
  <c r="K209" i="2"/>
  <c r="G345" i="2"/>
  <c r="K208" i="2"/>
  <c r="G333" i="2"/>
  <c r="K207" i="2"/>
  <c r="G321" i="2"/>
  <c r="K206" i="2"/>
  <c r="G309" i="2"/>
  <c r="K205" i="2"/>
  <c r="N25" i="2"/>
  <c r="K65" i="2"/>
  <c r="K98" i="2"/>
  <c r="M98" i="2"/>
  <c r="E98" i="2"/>
  <c r="M74" i="2"/>
  <c r="L17" i="2"/>
  <c r="M90" i="2"/>
  <c r="K17" i="2"/>
  <c r="H65" i="2"/>
  <c r="L98" i="2"/>
  <c r="G90" i="2"/>
  <c r="N98" i="2"/>
  <c r="D90" i="2"/>
  <c r="E65" i="2"/>
  <c r="N9" i="2"/>
  <c r="G41" i="2"/>
  <c r="E25" i="2"/>
  <c r="M9" i="2"/>
  <c r="K90" i="2"/>
  <c r="D82" i="2"/>
  <c r="N41" i="2"/>
  <c r="F57" i="2"/>
  <c r="L9" i="2"/>
  <c r="F74" i="2"/>
  <c r="H49" i="2"/>
  <c r="K74" i="2"/>
  <c r="L25" i="2"/>
  <c r="G25" i="2"/>
  <c r="G65" i="2"/>
  <c r="K49" i="2"/>
  <c r="E49" i="2"/>
  <c r="L49" i="2"/>
  <c r="G74" i="2"/>
  <c r="N74" i="2"/>
  <c r="K33" i="2"/>
  <c r="N17" i="2"/>
  <c r="N82" i="2"/>
  <c r="F82" i="2"/>
  <c r="D33" i="2"/>
  <c r="M33" i="2"/>
  <c r="K57" i="2"/>
  <c r="N33" i="2"/>
  <c r="F25" i="2"/>
  <c r="F33" i="2"/>
  <c r="L90" i="2"/>
  <c r="G98" i="2"/>
  <c r="E9" i="2"/>
  <c r="M82" i="2"/>
  <c r="K41" i="2"/>
  <c r="H74" i="2"/>
  <c r="N90" i="2"/>
  <c r="L41" i="2"/>
  <c r="M65" i="2"/>
  <c r="F41" i="2"/>
  <c r="G17" i="2"/>
  <c r="F90" i="2"/>
  <c r="D41" i="2"/>
  <c r="E33" i="2"/>
  <c r="K25" i="2"/>
  <c r="H41" i="2"/>
  <c r="E82" i="2"/>
  <c r="D9" i="2"/>
  <c r="L74" i="2"/>
  <c r="H98" i="2"/>
  <c r="N65" i="2"/>
  <c r="M41" i="2"/>
  <c r="G33" i="2"/>
  <c r="H33" i="2"/>
  <c r="F17" i="2"/>
  <c r="F9" i="2"/>
  <c r="E90" i="2"/>
  <c r="D74" i="2"/>
  <c r="H90" i="2"/>
  <c r="E17" i="2"/>
  <c r="L82" i="2"/>
  <c r="K9" i="2"/>
  <c r="G49" i="2"/>
  <c r="D98" i="2"/>
  <c r="H82" i="2"/>
  <c r="L57" i="2"/>
  <c r="F65" i="2"/>
  <c r="F98" i="2"/>
  <c r="L33" i="2"/>
  <c r="H57" i="2"/>
  <c r="K82" i="2"/>
  <c r="M17" i="2"/>
  <c r="M25" i="2"/>
  <c r="D49" i="2"/>
  <c r="H25" i="2"/>
  <c r="D57" i="2"/>
  <c r="H17" i="2"/>
  <c r="D17" i="2"/>
  <c r="D25" i="2"/>
  <c r="U126" i="17" l="1"/>
  <c r="U124" i="17"/>
  <c r="J126" i="17"/>
  <c r="N126" i="17"/>
  <c r="M126" i="17"/>
  <c r="K126" i="17"/>
  <c r="L126" i="17"/>
  <c r="E123" i="2"/>
  <c r="D123" i="2"/>
  <c r="AI106" i="1"/>
  <c r="J106" i="1"/>
  <c r="W106" i="1"/>
  <c r="T106" i="1"/>
  <c r="Q106" i="1"/>
  <c r="G106" i="1"/>
  <c r="D117" i="9"/>
  <c r="D119" i="9"/>
  <c r="D116" i="9"/>
  <c r="D118" i="9"/>
  <c r="D121" i="9" s="1"/>
  <c r="D120" i="9"/>
  <c r="E117" i="9"/>
  <c r="E119" i="9"/>
  <c r="E116" i="9"/>
  <c r="E118" i="9"/>
  <c r="E121" i="9" s="1"/>
  <c r="E120" i="9"/>
  <c r="G117" i="9"/>
  <c r="G119" i="9"/>
  <c r="G116" i="9"/>
  <c r="G118" i="9"/>
  <c r="G121" i="9" s="1"/>
  <c r="G120" i="9"/>
  <c r="I116" i="9"/>
  <c r="I118" i="9"/>
  <c r="I121" i="9" s="1"/>
  <c r="I120" i="9"/>
  <c r="I119" i="9"/>
  <c r="I117" i="9"/>
  <c r="F117" i="9"/>
  <c r="F119" i="9"/>
  <c r="F116" i="9"/>
  <c r="F118" i="9"/>
  <c r="F121" i="9" s="1"/>
  <c r="F120" i="9"/>
  <c r="H117" i="9"/>
  <c r="H119" i="9"/>
  <c r="H120" i="9"/>
  <c r="H116" i="9"/>
  <c r="H118" i="9"/>
  <c r="H121" i="9" s="1"/>
  <c r="C118" i="9"/>
  <c r="C121" i="9" s="1"/>
  <c r="C117" i="9"/>
  <c r="C116" i="9"/>
  <c r="C119" i="9"/>
  <c r="C120" i="9"/>
  <c r="C114" i="7"/>
  <c r="C117" i="7" s="1"/>
  <c r="C113" i="7"/>
  <c r="C112" i="7"/>
  <c r="C116" i="7"/>
  <c r="C115" i="7"/>
  <c r="K128" i="2"/>
  <c r="K129" i="2"/>
  <c r="H121" i="2"/>
  <c r="M123" i="2"/>
  <c r="L123" i="2"/>
  <c r="J123" i="2"/>
  <c r="N121" i="2"/>
  <c r="K123" i="2"/>
  <c r="H123" i="2"/>
  <c r="G121" i="2"/>
  <c r="I123" i="2"/>
  <c r="F123" i="2"/>
  <c r="G123" i="2"/>
  <c r="N123" i="2"/>
  <c r="J121" i="2"/>
  <c r="E121" i="2"/>
  <c r="L121" i="2"/>
  <c r="M121" i="2"/>
  <c r="I121" i="2"/>
  <c r="F121" i="2"/>
  <c r="D121" i="2"/>
  <c r="K121" i="2"/>
  <c r="I144" i="2"/>
  <c r="I145" i="2" s="1"/>
  <c r="J142" i="2"/>
  <c r="J160" i="2"/>
  <c r="J161" i="2" s="1"/>
  <c r="J144" i="2"/>
  <c r="J145" i="2" s="1"/>
  <c r="J141" i="2"/>
  <c r="I141" i="2"/>
  <c r="I140" i="2"/>
  <c r="I143" i="2"/>
  <c r="I142" i="2"/>
  <c r="J143" i="2"/>
  <c r="J140" i="2"/>
  <c r="J159" i="2"/>
  <c r="J158" i="2"/>
  <c r="I117" i="2"/>
  <c r="I149" i="2"/>
  <c r="J124" i="2"/>
  <c r="J125" i="2" s="1"/>
  <c r="I124" i="2"/>
  <c r="I125" i="2" s="1"/>
  <c r="J156" i="2"/>
  <c r="J157" i="2"/>
  <c r="I148" i="2"/>
  <c r="D104" i="2"/>
  <c r="N104" i="2"/>
  <c r="N148" i="2" s="1"/>
  <c r="M104" i="2"/>
  <c r="M148" i="2" s="1"/>
  <c r="L104" i="2"/>
  <c r="L148" i="2" s="1"/>
  <c r="K104" i="2"/>
  <c r="K148" i="2" s="1"/>
  <c r="H104" i="2"/>
  <c r="H148" i="2" s="1"/>
  <c r="G104" i="2"/>
  <c r="G148" i="2" s="1"/>
  <c r="F104" i="2"/>
  <c r="F148" i="2" s="1"/>
  <c r="E104" i="2"/>
  <c r="E148" i="2" s="1"/>
  <c r="D105" i="2"/>
  <c r="N105" i="2"/>
  <c r="N149" i="2" s="1"/>
  <c r="L105" i="2"/>
  <c r="L149" i="2" s="1"/>
  <c r="M105" i="2"/>
  <c r="M149" i="2" s="1"/>
  <c r="K105" i="2"/>
  <c r="K149" i="2" s="1"/>
  <c r="H105" i="2"/>
  <c r="H149" i="2" s="1"/>
  <c r="G105" i="2"/>
  <c r="G149" i="2" s="1"/>
  <c r="F105" i="2"/>
  <c r="F149" i="2" s="1"/>
  <c r="E105" i="2"/>
  <c r="E149" i="2" s="1"/>
  <c r="D106" i="2"/>
  <c r="F106" i="2"/>
  <c r="F150" i="2" s="1"/>
  <c r="E106" i="2"/>
  <c r="E150" i="2" s="1"/>
  <c r="N106" i="2"/>
  <c r="N150" i="2" s="1"/>
  <c r="M106" i="2"/>
  <c r="M150" i="2" s="1"/>
  <c r="L106" i="2"/>
  <c r="L150" i="2" s="1"/>
  <c r="K106" i="2"/>
  <c r="K150" i="2" s="1"/>
  <c r="H106" i="2"/>
  <c r="H150" i="2" s="1"/>
  <c r="G106" i="2"/>
  <c r="G150" i="2" s="1"/>
  <c r="D107" i="2"/>
  <c r="F107" i="2"/>
  <c r="F151" i="2" s="1"/>
  <c r="H107" i="2"/>
  <c r="H151" i="2" s="1"/>
  <c r="G107" i="2"/>
  <c r="G151" i="2" s="1"/>
  <c r="E107" i="2"/>
  <c r="E151" i="2" s="1"/>
  <c r="N107" i="2"/>
  <c r="N151" i="2" s="1"/>
  <c r="M107" i="2"/>
  <c r="M151" i="2" s="1"/>
  <c r="L107" i="2"/>
  <c r="L151" i="2" s="1"/>
  <c r="K107" i="2"/>
  <c r="K151" i="2" s="1"/>
  <c r="D108" i="2"/>
  <c r="H108" i="2"/>
  <c r="H135" i="2" s="1"/>
  <c r="E108" i="2"/>
  <c r="E135" i="2" s="1"/>
  <c r="G108" i="2"/>
  <c r="G135" i="2" s="1"/>
  <c r="F108" i="2"/>
  <c r="F135" i="2" s="1"/>
  <c r="N108" i="2"/>
  <c r="N135" i="2" s="1"/>
  <c r="M108" i="2"/>
  <c r="M135" i="2" s="1"/>
  <c r="L108" i="2"/>
  <c r="L135" i="2" s="1"/>
  <c r="K108" i="2"/>
  <c r="K135" i="2" s="1"/>
  <c r="D109" i="2"/>
  <c r="E109" i="2"/>
  <c r="E136" i="2" s="1"/>
  <c r="N109" i="2"/>
  <c r="N136" i="2" s="1"/>
  <c r="F109" i="2"/>
  <c r="F136" i="2" s="1"/>
  <c r="M109" i="2"/>
  <c r="M136" i="2" s="1"/>
  <c r="G109" i="2"/>
  <c r="G136" i="2" s="1"/>
  <c r="L109" i="2"/>
  <c r="L136" i="2" s="1"/>
  <c r="K109" i="2"/>
  <c r="K136" i="2" s="1"/>
  <c r="H109" i="2"/>
  <c r="H136" i="2" s="1"/>
  <c r="D110" i="2"/>
  <c r="F110" i="2"/>
  <c r="F137" i="2" s="1"/>
  <c r="G110" i="2"/>
  <c r="G137" i="2" s="1"/>
  <c r="E110" i="2"/>
  <c r="E137" i="2" s="1"/>
  <c r="N110" i="2"/>
  <c r="N137" i="2" s="1"/>
  <c r="K110" i="2"/>
  <c r="K137" i="2" s="1"/>
  <c r="L110" i="2"/>
  <c r="L137" i="2" s="1"/>
  <c r="M110" i="2"/>
  <c r="M137" i="2" s="1"/>
  <c r="H110" i="2"/>
  <c r="H137" i="2" s="1"/>
  <c r="D111" i="2"/>
  <c r="E111" i="2"/>
  <c r="E138" i="2" s="1"/>
  <c r="M111" i="2"/>
  <c r="M138" i="2" s="1"/>
  <c r="N111" i="2"/>
  <c r="N138" i="2" s="1"/>
  <c r="L111" i="2"/>
  <c r="L138" i="2" s="1"/>
  <c r="K111" i="2"/>
  <c r="K138" i="2" s="1"/>
  <c r="H111" i="2"/>
  <c r="H138" i="2" s="1"/>
  <c r="F111" i="2"/>
  <c r="F138" i="2" s="1"/>
  <c r="G111" i="2"/>
  <c r="G138" i="2" s="1"/>
  <c r="D112" i="2"/>
  <c r="E112" i="2"/>
  <c r="E152" i="2" s="1"/>
  <c r="F112" i="2"/>
  <c r="F152" i="2" s="1"/>
  <c r="N112" i="2"/>
  <c r="N152" i="2" s="1"/>
  <c r="M112" i="2"/>
  <c r="M152" i="2" s="1"/>
  <c r="L112" i="2"/>
  <c r="L152" i="2" s="1"/>
  <c r="K112" i="2"/>
  <c r="K152" i="2" s="1"/>
  <c r="G112" i="2"/>
  <c r="G152" i="2" s="1"/>
  <c r="H112" i="2"/>
  <c r="H152" i="2" s="1"/>
  <c r="D113" i="2"/>
  <c r="N113" i="2"/>
  <c r="N153" i="2" s="1"/>
  <c r="L113" i="2"/>
  <c r="L153" i="2" s="1"/>
  <c r="K113" i="2"/>
  <c r="K153" i="2" s="1"/>
  <c r="M113" i="2"/>
  <c r="M153" i="2" s="1"/>
  <c r="H113" i="2"/>
  <c r="H153" i="2" s="1"/>
  <c r="G113" i="2"/>
  <c r="G153" i="2" s="1"/>
  <c r="F113" i="2"/>
  <c r="F153" i="2" s="1"/>
  <c r="E113" i="2"/>
  <c r="E153" i="2" s="1"/>
  <c r="D114" i="2"/>
  <c r="G114" i="2"/>
  <c r="G154" i="2" s="1"/>
  <c r="N114" i="2"/>
  <c r="N154" i="2" s="1"/>
  <c r="K114" i="2"/>
  <c r="K154" i="2" s="1"/>
  <c r="M114" i="2"/>
  <c r="M154" i="2" s="1"/>
  <c r="L114" i="2"/>
  <c r="L154" i="2" s="1"/>
  <c r="H114" i="2"/>
  <c r="H154" i="2" s="1"/>
  <c r="F114" i="2"/>
  <c r="F154" i="2" s="1"/>
  <c r="E114" i="2"/>
  <c r="E154" i="2" s="1"/>
  <c r="D115" i="2"/>
  <c r="F115" i="2"/>
  <c r="F155" i="2" s="1"/>
  <c r="E115" i="2"/>
  <c r="E155" i="2" s="1"/>
  <c r="M115" i="2"/>
  <c r="M155" i="2" s="1"/>
  <c r="L115" i="2"/>
  <c r="L155" i="2" s="1"/>
  <c r="K115" i="2"/>
  <c r="K155" i="2" s="1"/>
  <c r="N115" i="2"/>
  <c r="N155" i="2" s="1"/>
  <c r="H115" i="2"/>
  <c r="H155" i="2" s="1"/>
  <c r="G115" i="2"/>
  <c r="G155" i="2" s="1"/>
  <c r="I119" i="2"/>
  <c r="I130" i="2" s="1"/>
  <c r="J117" i="2"/>
  <c r="J119" i="2"/>
  <c r="J130" i="2" s="1"/>
  <c r="I116" i="2"/>
  <c r="I118" i="2"/>
  <c r="J116" i="2"/>
  <c r="J118" i="2"/>
  <c r="L113" i="1"/>
  <c r="Q121" i="1"/>
  <c r="J113" i="1"/>
  <c r="F114" i="1"/>
  <c r="E115" i="1"/>
  <c r="S116" i="1"/>
  <c r="O117" i="1"/>
  <c r="P118" i="1"/>
  <c r="S118" i="1"/>
  <c r="Q119" i="1"/>
  <c r="S120" i="1"/>
  <c r="R120" i="1"/>
  <c r="L121" i="1"/>
  <c r="R122" i="1"/>
  <c r="N122" i="1"/>
  <c r="L123" i="1"/>
  <c r="U116" i="1"/>
  <c r="N119" i="1"/>
  <c r="N113" i="1"/>
  <c r="R113" i="1"/>
  <c r="V114" i="1"/>
  <c r="M115" i="1"/>
  <c r="P113" i="1"/>
  <c r="H114" i="1"/>
  <c r="O114" i="1"/>
  <c r="F115" i="1"/>
  <c r="U115" i="1"/>
  <c r="R116" i="1"/>
  <c r="P117" i="1"/>
  <c r="N118" i="1"/>
  <c r="L118" i="1"/>
  <c r="T119" i="1"/>
  <c r="P120" i="1"/>
  <c r="N120" i="1"/>
  <c r="T121" i="1"/>
  <c r="O122" i="1"/>
  <c r="V122" i="1"/>
  <c r="T123" i="1"/>
  <c r="E116" i="1"/>
  <c r="J118" i="1"/>
  <c r="O113" i="1"/>
  <c r="K113" i="1"/>
  <c r="G114" i="1"/>
  <c r="J114" i="1"/>
  <c r="H115" i="1"/>
  <c r="I115" i="1"/>
  <c r="T116" i="1"/>
  <c r="E117" i="1"/>
  <c r="Q117" i="1"/>
  <c r="O118" i="1"/>
  <c r="E119" i="1"/>
  <c r="J119" i="1"/>
  <c r="T120" i="1"/>
  <c r="E121" i="1"/>
  <c r="M121" i="1"/>
  <c r="Q122" i="1"/>
  <c r="E123" i="1"/>
  <c r="O123" i="1"/>
  <c r="I117" i="1"/>
  <c r="S113" i="1"/>
  <c r="N114" i="1"/>
  <c r="S114" i="1"/>
  <c r="G115" i="1"/>
  <c r="R115" i="1"/>
  <c r="O116" i="1"/>
  <c r="F117" i="1"/>
  <c r="R117" i="1"/>
  <c r="I118" i="1"/>
  <c r="F119" i="1"/>
  <c r="L119" i="1"/>
  <c r="O120" i="1"/>
  <c r="F121" i="1"/>
  <c r="U121" i="1"/>
  <c r="K122" i="1"/>
  <c r="F123" i="1"/>
  <c r="U123" i="1"/>
  <c r="Q114" i="1"/>
  <c r="P114" i="1"/>
  <c r="P115" i="1"/>
  <c r="L116" i="1"/>
  <c r="H117" i="1"/>
  <c r="S117" i="1"/>
  <c r="Q118" i="1"/>
  <c r="G119" i="1"/>
  <c r="M119" i="1"/>
  <c r="L120" i="1"/>
  <c r="H121" i="1"/>
  <c r="P121" i="1"/>
  <c r="S122" i="1"/>
  <c r="H123" i="1"/>
  <c r="N123" i="1"/>
  <c r="Q113" i="1"/>
  <c r="L114" i="1"/>
  <c r="N115" i="1"/>
  <c r="T113" i="1"/>
  <c r="M114" i="1"/>
  <c r="S115" i="1"/>
  <c r="V115" i="1"/>
  <c r="M116" i="1"/>
  <c r="G117" i="1"/>
  <c r="T117" i="1"/>
  <c r="U118" i="1"/>
  <c r="H119" i="1"/>
  <c r="U119" i="1"/>
  <c r="I120" i="1"/>
  <c r="G121" i="1"/>
  <c r="J121" i="1"/>
  <c r="L122" i="1"/>
  <c r="G123" i="1"/>
  <c r="J123" i="1"/>
  <c r="M123" i="1"/>
  <c r="T122" i="1"/>
  <c r="U114" i="1"/>
  <c r="F116" i="1"/>
  <c r="P116" i="1"/>
  <c r="J117" i="1"/>
  <c r="V117" i="1"/>
  <c r="K118" i="1"/>
  <c r="P119" i="1"/>
  <c r="V119" i="1"/>
  <c r="U120" i="1"/>
  <c r="I121" i="1"/>
  <c r="V121" i="1"/>
  <c r="I122" i="1"/>
  <c r="Q123" i="1"/>
  <c r="V123" i="1"/>
  <c r="M120" i="1"/>
  <c r="H113" i="1"/>
  <c r="T115" i="1"/>
  <c r="U113" i="1"/>
  <c r="J115" i="1"/>
  <c r="H116" i="1"/>
  <c r="Q116" i="1"/>
  <c r="L117" i="1"/>
  <c r="E118" i="1"/>
  <c r="T118" i="1"/>
  <c r="R119" i="1"/>
  <c r="E120" i="1"/>
  <c r="J120" i="1"/>
  <c r="R121" i="1"/>
  <c r="E122" i="1"/>
  <c r="M122" i="1"/>
  <c r="R123" i="1"/>
  <c r="U117" i="1"/>
  <c r="P123" i="1"/>
  <c r="M113" i="1"/>
  <c r="G113" i="1"/>
  <c r="I114" i="1"/>
  <c r="I113" i="1"/>
  <c r="V113" i="1"/>
  <c r="R114" i="1"/>
  <c r="K115" i="1"/>
  <c r="G116" i="1"/>
  <c r="K116" i="1"/>
  <c r="K117" i="1"/>
  <c r="F118" i="1"/>
  <c r="M118" i="1"/>
  <c r="I119" i="1"/>
  <c r="F120" i="1"/>
  <c r="K120" i="1"/>
  <c r="K121" i="1"/>
  <c r="F122" i="1"/>
  <c r="U122" i="1"/>
  <c r="K123" i="1"/>
  <c r="O119" i="1"/>
  <c r="K114" i="1"/>
  <c r="L115" i="1"/>
  <c r="J116" i="1"/>
  <c r="N116" i="1"/>
  <c r="M117" i="1"/>
  <c r="H118" i="1"/>
  <c r="V118" i="1"/>
  <c r="K119" i="1"/>
  <c r="H120" i="1"/>
  <c r="V120" i="1"/>
  <c r="S121" i="1"/>
  <c r="H122" i="1"/>
  <c r="P122" i="1"/>
  <c r="S123" i="1"/>
  <c r="Q115" i="1"/>
  <c r="N121" i="1"/>
  <c r="E114" i="1"/>
  <c r="T114" i="1"/>
  <c r="O115" i="1"/>
  <c r="I116" i="1"/>
  <c r="V116" i="1"/>
  <c r="N117" i="1"/>
  <c r="G118" i="1"/>
  <c r="R118" i="1"/>
  <c r="S119" i="1"/>
  <c r="G120" i="1"/>
  <c r="Q120" i="1"/>
  <c r="O121" i="1"/>
  <c r="G122" i="1"/>
  <c r="J122" i="1"/>
  <c r="I123" i="1"/>
  <c r="AC103" i="1"/>
  <c r="T103" i="1"/>
  <c r="AF103" i="1"/>
  <c r="Q103" i="1"/>
  <c r="Z103" i="1"/>
  <c r="AI103" i="1"/>
  <c r="W103" i="1"/>
  <c r="J103" i="1"/>
  <c r="G103" i="1"/>
  <c r="Z95" i="1"/>
  <c r="AC95" i="1"/>
  <c r="T95" i="1"/>
  <c r="AF95" i="1"/>
  <c r="Q95" i="1"/>
  <c r="W95" i="1"/>
  <c r="AI95" i="1"/>
  <c r="J95" i="1"/>
  <c r="G95" i="1"/>
  <c r="AC87" i="1"/>
  <c r="Q87" i="1"/>
  <c r="T87" i="1"/>
  <c r="AF87" i="1"/>
  <c r="Z87" i="1"/>
  <c r="W87" i="1"/>
  <c r="AI87" i="1"/>
  <c r="J87" i="1"/>
  <c r="G87" i="1"/>
  <c r="AF79" i="1"/>
  <c r="Z79" i="1"/>
  <c r="Q79" i="1"/>
  <c r="W79" i="1"/>
  <c r="AI79" i="1"/>
  <c r="T79" i="1"/>
  <c r="AC79" i="1"/>
  <c r="J79" i="1"/>
  <c r="G79" i="1"/>
  <c r="Z71" i="1"/>
  <c r="Q71" i="1"/>
  <c r="T71" i="1"/>
  <c r="AF71" i="1"/>
  <c r="AC71" i="1"/>
  <c r="W71" i="1"/>
  <c r="AI71" i="1"/>
  <c r="J71" i="1"/>
  <c r="G71" i="1"/>
  <c r="Z63" i="1"/>
  <c r="Q63" i="1"/>
  <c r="AC63" i="1"/>
  <c r="AI63" i="1"/>
  <c r="T63" i="1"/>
  <c r="W63" i="1"/>
  <c r="AF63" i="1"/>
  <c r="J63" i="1"/>
  <c r="G63" i="1"/>
  <c r="AI55" i="1"/>
  <c r="AF55" i="1"/>
  <c r="AC55" i="1"/>
  <c r="Z55" i="1"/>
  <c r="W55" i="1"/>
  <c r="T55" i="1"/>
  <c r="Q55" i="1"/>
  <c r="J55" i="1"/>
  <c r="G55" i="1"/>
  <c r="Q47" i="1"/>
  <c r="AF47" i="1"/>
  <c r="Z47" i="1"/>
  <c r="W47" i="1"/>
  <c r="AI47" i="1"/>
  <c r="AC47" i="1"/>
  <c r="T47" i="1"/>
  <c r="J47" i="1"/>
  <c r="G47" i="1"/>
  <c r="AF39" i="1"/>
  <c r="AC39" i="1"/>
  <c r="T39" i="1"/>
  <c r="Z39" i="1"/>
  <c r="W39" i="1"/>
  <c r="AI39" i="1"/>
  <c r="Q39" i="1"/>
  <c r="J39" i="1"/>
  <c r="G39" i="1"/>
  <c r="W31" i="1"/>
  <c r="AC31" i="1"/>
  <c r="AI31" i="1"/>
  <c r="Q31" i="1"/>
  <c r="T31" i="1"/>
  <c r="Z31" i="1"/>
  <c r="AF31" i="1"/>
  <c r="J31" i="1"/>
  <c r="G31" i="1"/>
  <c r="Q23" i="1"/>
  <c r="Z23" i="1"/>
  <c r="T23" i="1"/>
  <c r="AF23" i="1"/>
  <c r="AC23" i="1"/>
  <c r="W23" i="1"/>
  <c r="AI23" i="1"/>
  <c r="J23" i="1"/>
  <c r="G53" i="1"/>
  <c r="G52" i="1"/>
  <c r="G51" i="1"/>
  <c r="G50" i="1"/>
  <c r="G49" i="1"/>
  <c r="G48" i="1"/>
  <c r="G46" i="1"/>
  <c r="G45" i="1"/>
  <c r="G44" i="1"/>
  <c r="G43" i="1"/>
  <c r="G42" i="1"/>
  <c r="G41" i="1"/>
  <c r="G40" i="1"/>
  <c r="G38" i="1"/>
  <c r="G37" i="1"/>
  <c r="G36" i="1"/>
  <c r="G35" i="1"/>
  <c r="G34" i="1"/>
  <c r="G33" i="1"/>
  <c r="G32" i="1"/>
  <c r="G30" i="1"/>
  <c r="G29" i="1"/>
  <c r="G28" i="1"/>
  <c r="G27" i="1"/>
  <c r="G26" i="1"/>
  <c r="G25" i="1"/>
  <c r="G24" i="1"/>
  <c r="G22" i="1"/>
  <c r="G21" i="1"/>
  <c r="G20" i="1"/>
  <c r="G19" i="1"/>
  <c r="G18" i="1"/>
  <c r="G17" i="1"/>
  <c r="G16" i="1"/>
  <c r="AI10" i="1"/>
  <c r="AI9" i="1"/>
  <c r="AI8" i="1"/>
  <c r="AI7" i="1"/>
  <c r="AI6" i="1"/>
  <c r="AI5" i="1"/>
  <c r="AI4" i="1"/>
  <c r="AF10" i="1"/>
  <c r="AF9" i="1"/>
  <c r="AF8" i="1"/>
  <c r="AF7" i="1"/>
  <c r="AF6" i="1"/>
  <c r="AF5" i="1"/>
  <c r="AF4" i="1"/>
  <c r="AC10" i="1"/>
  <c r="AC9" i="1"/>
  <c r="AC8" i="1"/>
  <c r="AC7" i="1"/>
  <c r="AC6" i="1"/>
  <c r="AC5" i="1"/>
  <c r="AC4" i="1"/>
  <c r="Z10" i="1"/>
  <c r="Z9" i="1"/>
  <c r="Z8" i="1"/>
  <c r="Z7" i="1"/>
  <c r="Z6" i="1"/>
  <c r="Z5" i="1"/>
  <c r="Z4" i="1"/>
  <c r="W10" i="1"/>
  <c r="W9" i="1"/>
  <c r="W8" i="1"/>
  <c r="W7" i="1"/>
  <c r="W6" i="1"/>
  <c r="W5" i="1"/>
  <c r="W4" i="1"/>
  <c r="T10" i="1"/>
  <c r="T9" i="1"/>
  <c r="T8" i="1"/>
  <c r="T7" i="1"/>
  <c r="T6" i="1"/>
  <c r="T5" i="1"/>
  <c r="T4" i="1"/>
  <c r="Q10" i="1"/>
  <c r="Q9" i="1"/>
  <c r="Q8" i="1"/>
  <c r="Q7" i="1"/>
  <c r="Q6" i="1"/>
  <c r="Q5" i="1"/>
  <c r="Q4" i="1"/>
  <c r="J10" i="1"/>
  <c r="J9" i="1"/>
  <c r="J8" i="1"/>
  <c r="J7" i="1"/>
  <c r="J6" i="1"/>
  <c r="J5" i="1"/>
  <c r="J4" i="1"/>
  <c r="G5" i="1"/>
  <c r="G6" i="1"/>
  <c r="G7" i="1"/>
  <c r="G8" i="1"/>
  <c r="G9" i="1"/>
  <c r="G10" i="1"/>
  <c r="G4" i="1"/>
  <c r="C24" i="1"/>
  <c r="C32" i="1"/>
  <c r="C40" i="1"/>
  <c r="C48" i="1"/>
  <c r="C56" i="1"/>
  <c r="C64" i="1"/>
  <c r="C72" i="1"/>
  <c r="C80" i="1"/>
  <c r="C88" i="1"/>
  <c r="C96" i="1"/>
  <c r="C5" i="1"/>
  <c r="C17" i="1"/>
  <c r="C25" i="1"/>
  <c r="C33" i="1"/>
  <c r="C41" i="1"/>
  <c r="C49" i="1"/>
  <c r="C57" i="1"/>
  <c r="C65" i="1"/>
  <c r="C73" i="1"/>
  <c r="C81" i="1"/>
  <c r="C89" i="1"/>
  <c r="C97" i="1"/>
  <c r="C6" i="1"/>
  <c r="C18" i="1"/>
  <c r="C26" i="1"/>
  <c r="C34" i="1"/>
  <c r="C42" i="1"/>
  <c r="C50" i="1"/>
  <c r="C58" i="1"/>
  <c r="C66" i="1"/>
  <c r="C74" i="1"/>
  <c r="C82" i="1"/>
  <c r="C90" i="1"/>
  <c r="C98" i="1"/>
  <c r="C7" i="1"/>
  <c r="C19" i="1"/>
  <c r="C27" i="1"/>
  <c r="C35" i="1"/>
  <c r="C43" i="1"/>
  <c r="C51" i="1"/>
  <c r="C59" i="1"/>
  <c r="C67" i="1"/>
  <c r="C75" i="1"/>
  <c r="C83" i="1"/>
  <c r="C91" i="1"/>
  <c r="C99" i="1"/>
  <c r="C8" i="1"/>
  <c r="C20" i="1"/>
  <c r="C28" i="1"/>
  <c r="C36" i="1"/>
  <c r="C44" i="1"/>
  <c r="C52" i="1"/>
  <c r="C60" i="1"/>
  <c r="C68" i="1"/>
  <c r="C76" i="1"/>
  <c r="C84" i="1"/>
  <c r="C92" i="1"/>
  <c r="C100" i="1"/>
  <c r="C9" i="1"/>
  <c r="C21" i="1"/>
  <c r="C29" i="1"/>
  <c r="C37" i="1"/>
  <c r="C45" i="1"/>
  <c r="C53" i="1"/>
  <c r="C61" i="1"/>
  <c r="C69" i="1"/>
  <c r="C77" i="1"/>
  <c r="C85" i="1"/>
  <c r="C93" i="1"/>
  <c r="C101" i="1"/>
  <c r="C10" i="1"/>
  <c r="C22" i="1"/>
  <c r="C30" i="1"/>
  <c r="C38" i="1"/>
  <c r="C46" i="1"/>
  <c r="C54" i="1"/>
  <c r="C62" i="1"/>
  <c r="C70" i="1"/>
  <c r="C78" i="1"/>
  <c r="C86" i="1"/>
  <c r="C94" i="1"/>
  <c r="C102" i="1"/>
  <c r="C11" i="1"/>
  <c r="C23" i="1"/>
  <c r="C31" i="1"/>
  <c r="C39" i="1"/>
  <c r="C47" i="1"/>
  <c r="C55" i="1"/>
  <c r="C63" i="1"/>
  <c r="C71" i="1"/>
  <c r="C79" i="1"/>
  <c r="C87" i="1"/>
  <c r="C95" i="1"/>
  <c r="C103" i="1"/>
  <c r="C4" i="1"/>
  <c r="AP11" i="1"/>
  <c r="AM23" i="1"/>
  <c r="AP23" i="1"/>
  <c r="AQ11" i="1"/>
  <c r="AS11" i="1"/>
  <c r="AO23" i="1"/>
  <c r="AM11" i="1"/>
  <c r="AQ23" i="1"/>
  <c r="AO11" i="1"/>
  <c r="AR23" i="1"/>
  <c r="AN11" i="1"/>
  <c r="AN23" i="1"/>
  <c r="AR11" i="1"/>
  <c r="AS23" i="1"/>
  <c r="D119" i="2" l="1"/>
  <c r="AE107" i="1"/>
  <c r="AD107" i="1"/>
  <c r="AA107" i="1"/>
  <c r="Y107" i="1"/>
  <c r="X107" i="1"/>
  <c r="AB107" i="1"/>
  <c r="G15" i="1"/>
  <c r="G14" i="1"/>
  <c r="G13" i="1"/>
  <c r="G12" i="1"/>
  <c r="C122" i="9"/>
  <c r="F122" i="9"/>
  <c r="I122" i="9"/>
  <c r="E122" i="9"/>
  <c r="G122" i="9"/>
  <c r="H122" i="9"/>
  <c r="D122" i="9"/>
  <c r="C118" i="7"/>
  <c r="J122" i="2"/>
  <c r="I122" i="2"/>
  <c r="E160" i="2"/>
  <c r="E161" i="2" s="1"/>
  <c r="D137" i="2"/>
  <c r="D150" i="2"/>
  <c r="D155" i="2"/>
  <c r="D138" i="2"/>
  <c r="G144" i="2"/>
  <c r="G145" i="2" s="1"/>
  <c r="D151" i="2"/>
  <c r="L160" i="2"/>
  <c r="L161" i="2" s="1"/>
  <c r="D152" i="2"/>
  <c r="D135" i="2"/>
  <c r="D148" i="2"/>
  <c r="I160" i="2"/>
  <c r="I161" i="2" s="1"/>
  <c r="D153" i="2"/>
  <c r="D136" i="2"/>
  <c r="D149" i="2"/>
  <c r="D154" i="2"/>
  <c r="N144" i="2"/>
  <c r="N145" i="2" s="1"/>
  <c r="H160" i="2"/>
  <c r="H161" i="2" s="1"/>
  <c r="F144" i="2"/>
  <c r="F145" i="2" s="1"/>
  <c r="K160" i="2"/>
  <c r="K161" i="2" s="1"/>
  <c r="H144" i="2"/>
  <c r="H145" i="2" s="1"/>
  <c r="M160" i="2"/>
  <c r="M161" i="2" s="1"/>
  <c r="E144" i="2"/>
  <c r="E145" i="2" s="1"/>
  <c r="N160" i="2"/>
  <c r="N161" i="2" s="1"/>
  <c r="K144" i="2"/>
  <c r="K145" i="2" s="1"/>
  <c r="L144" i="2"/>
  <c r="L145" i="2" s="1"/>
  <c r="F160" i="2"/>
  <c r="F161" i="2" s="1"/>
  <c r="M144" i="2"/>
  <c r="M145" i="2" s="1"/>
  <c r="G160" i="2"/>
  <c r="G161" i="2" s="1"/>
  <c r="L143" i="2"/>
  <c r="L142" i="2"/>
  <c r="L141" i="2"/>
  <c r="L140" i="2"/>
  <c r="M143" i="2"/>
  <c r="M142" i="2"/>
  <c r="M141" i="2"/>
  <c r="M140" i="2"/>
  <c r="N143" i="2"/>
  <c r="N142" i="2"/>
  <c r="N141" i="2"/>
  <c r="N140" i="2"/>
  <c r="F140" i="2"/>
  <c r="F143" i="2"/>
  <c r="F142" i="2"/>
  <c r="F141" i="2"/>
  <c r="K142" i="2"/>
  <c r="K141" i="2"/>
  <c r="K140" i="2"/>
  <c r="K143" i="2"/>
  <c r="G140" i="2"/>
  <c r="G143" i="2"/>
  <c r="G166" i="2" s="1"/>
  <c r="G142" i="2"/>
  <c r="G141" i="2"/>
  <c r="E142" i="2"/>
  <c r="E143" i="2"/>
  <c r="E141" i="2"/>
  <c r="E140" i="2"/>
  <c r="H141" i="2"/>
  <c r="H140" i="2"/>
  <c r="H143" i="2"/>
  <c r="H142" i="2"/>
  <c r="G157" i="2"/>
  <c r="G156" i="2"/>
  <c r="G159" i="2"/>
  <c r="G158" i="2"/>
  <c r="H157" i="2"/>
  <c r="H156" i="2"/>
  <c r="H158" i="2"/>
  <c r="H159" i="2"/>
  <c r="K159" i="2"/>
  <c r="K158" i="2"/>
  <c r="K157" i="2"/>
  <c r="K156" i="2"/>
  <c r="L159" i="2"/>
  <c r="L158" i="2"/>
  <c r="L157" i="2"/>
  <c r="L156" i="2"/>
  <c r="M159" i="2"/>
  <c r="M158" i="2"/>
  <c r="M157" i="2"/>
  <c r="M156" i="2"/>
  <c r="N159" i="2"/>
  <c r="N158" i="2"/>
  <c r="N157" i="2"/>
  <c r="N156" i="2"/>
  <c r="I158" i="2"/>
  <c r="I157" i="2"/>
  <c r="I156" i="2"/>
  <c r="I159" i="2"/>
  <c r="E156" i="2"/>
  <c r="E159" i="2"/>
  <c r="E158" i="2"/>
  <c r="E157" i="2"/>
  <c r="F156" i="2"/>
  <c r="F159" i="2"/>
  <c r="F158" i="2"/>
  <c r="F157" i="2"/>
  <c r="N119" i="2"/>
  <c r="N130" i="2" s="1"/>
  <c r="N117" i="2"/>
  <c r="N124" i="2"/>
  <c r="N125" i="2" s="1"/>
  <c r="N118" i="2"/>
  <c r="N116" i="2"/>
  <c r="G124" i="2"/>
  <c r="G125" i="2" s="1"/>
  <c r="G118" i="2"/>
  <c r="G116" i="2"/>
  <c r="G119" i="2"/>
  <c r="G130" i="2" s="1"/>
  <c r="G117" i="2"/>
  <c r="E119" i="2"/>
  <c r="E130" i="2" s="1"/>
  <c r="E117" i="2"/>
  <c r="E124" i="2"/>
  <c r="E125" i="2" s="1"/>
  <c r="E118" i="2"/>
  <c r="E116" i="2"/>
  <c r="F119" i="2"/>
  <c r="F130" i="2" s="1"/>
  <c r="F117" i="2"/>
  <c r="F116" i="2"/>
  <c r="F118" i="2"/>
  <c r="F124" i="2"/>
  <c r="F125" i="2" s="1"/>
  <c r="H124" i="2"/>
  <c r="H125" i="2" s="1"/>
  <c r="H118" i="2"/>
  <c r="H122" i="2" s="1"/>
  <c r="H116" i="2"/>
  <c r="H119" i="2"/>
  <c r="H130" i="2" s="1"/>
  <c r="H117" i="2"/>
  <c r="K124" i="2"/>
  <c r="K125" i="2" s="1"/>
  <c r="K118" i="2"/>
  <c r="K116" i="2"/>
  <c r="K119" i="2"/>
  <c r="K130" i="2" s="1"/>
  <c r="K117" i="2"/>
  <c r="L124" i="2"/>
  <c r="L125" i="2" s="1"/>
  <c r="L118" i="2"/>
  <c r="L122" i="2" s="1"/>
  <c r="L116" i="2"/>
  <c r="L117" i="2"/>
  <c r="L119" i="2"/>
  <c r="L130" i="2" s="1"/>
  <c r="M119" i="2"/>
  <c r="M130" i="2" s="1"/>
  <c r="M117" i="2"/>
  <c r="M124" i="2"/>
  <c r="M125" i="2" s="1"/>
  <c r="M118" i="2"/>
  <c r="M122" i="2" s="1"/>
  <c r="M116" i="2"/>
  <c r="D130" i="2"/>
  <c r="D117" i="2"/>
  <c r="D124" i="2"/>
  <c r="D118" i="2"/>
  <c r="D116" i="2"/>
  <c r="L112" i="1"/>
  <c r="N112" i="1"/>
  <c r="F113" i="1"/>
  <c r="E113" i="1"/>
  <c r="P112" i="1"/>
  <c r="K112" i="1"/>
  <c r="E112" i="1"/>
  <c r="R112" i="1"/>
  <c r="Q112" i="1"/>
  <c r="S112" i="1"/>
  <c r="O112" i="1"/>
  <c r="G112" i="1"/>
  <c r="T112" i="1"/>
  <c r="H112" i="1"/>
  <c r="I112" i="1"/>
  <c r="V112" i="1"/>
  <c r="M112" i="1"/>
  <c r="F112" i="1"/>
  <c r="J112" i="1"/>
  <c r="U112" i="1"/>
  <c r="G11" i="1"/>
  <c r="J11" i="1"/>
  <c r="Q11" i="1"/>
  <c r="T11" i="1"/>
  <c r="W11" i="1"/>
  <c r="Z11" i="1"/>
  <c r="AC11" i="1"/>
  <c r="AF11" i="1"/>
  <c r="AI11" i="1"/>
  <c r="G23" i="1"/>
  <c r="AC106" i="1" l="1"/>
  <c r="AF106" i="1"/>
  <c r="Z106" i="1"/>
  <c r="F131" i="2"/>
  <c r="D131" i="2"/>
  <c r="N131" i="2"/>
  <c r="M131" i="2"/>
  <c r="H131" i="2"/>
  <c r="E131" i="2"/>
  <c r="L131" i="2"/>
  <c r="K131" i="2"/>
  <c r="G131" i="2"/>
  <c r="L166" i="2"/>
  <c r="L167" i="2"/>
  <c r="N166" i="2"/>
  <c r="K166" i="2"/>
  <c r="H166" i="2"/>
  <c r="F167" i="2"/>
  <c r="I166" i="2"/>
  <c r="N167" i="2"/>
  <c r="K167" i="2"/>
  <c r="M166" i="2"/>
  <c r="I165" i="2"/>
  <c r="H167" i="2"/>
  <c r="J165" i="2"/>
  <c r="F166" i="2"/>
  <c r="M167" i="2"/>
  <c r="I167" i="2"/>
  <c r="J166" i="2"/>
  <c r="E167" i="2"/>
  <c r="E166" i="2"/>
  <c r="G167" i="2"/>
  <c r="G168" i="2" s="1"/>
  <c r="J167" i="2"/>
  <c r="U127" i="1"/>
  <c r="D122" i="2"/>
  <c r="M165" i="2"/>
  <c r="H165" i="2"/>
  <c r="L165" i="2"/>
  <c r="K165" i="2"/>
  <c r="K122" i="2"/>
  <c r="F165" i="2"/>
  <c r="F122" i="2"/>
  <c r="N165" i="2"/>
  <c r="N122" i="2"/>
  <c r="E165" i="2"/>
  <c r="E122" i="2"/>
  <c r="G165" i="2"/>
  <c r="G122" i="2"/>
  <c r="D157" i="2"/>
  <c r="D144" i="2"/>
  <c r="D160" i="2"/>
  <c r="D158" i="2"/>
  <c r="D156" i="2"/>
  <c r="D159" i="2"/>
  <c r="D140" i="2"/>
  <c r="D125" i="2"/>
  <c r="D141" i="2"/>
  <c r="D142" i="2"/>
  <c r="D165" i="2"/>
  <c r="D143" i="2"/>
  <c r="D120" i="2"/>
  <c r="K120" i="2"/>
  <c r="H120" i="2"/>
  <c r="E120" i="2"/>
  <c r="N120" i="2"/>
  <c r="M120" i="2"/>
  <c r="L120" i="2"/>
  <c r="G120" i="2"/>
  <c r="F120" i="2"/>
  <c r="H128" i="1"/>
  <c r="H126" i="1"/>
  <c r="N128" i="1"/>
  <c r="N126" i="1"/>
  <c r="O128" i="1"/>
  <c r="O126" i="1"/>
  <c r="Q128" i="1"/>
  <c r="Q126" i="1"/>
  <c r="U128" i="1"/>
  <c r="U126" i="1"/>
  <c r="R128" i="1"/>
  <c r="R126" i="1"/>
  <c r="L128" i="1"/>
  <c r="L126" i="1"/>
  <c r="E128" i="1"/>
  <c r="E126" i="1"/>
  <c r="I128" i="1"/>
  <c r="I126" i="1"/>
  <c r="T128" i="1"/>
  <c r="T126" i="1"/>
  <c r="G128" i="1"/>
  <c r="G126" i="1"/>
  <c r="S128" i="1"/>
  <c r="S126" i="1"/>
  <c r="J128" i="1"/>
  <c r="J126" i="1"/>
  <c r="F128" i="1"/>
  <c r="F126" i="1"/>
  <c r="K128" i="1"/>
  <c r="K126" i="1"/>
  <c r="M128" i="1"/>
  <c r="M126" i="1"/>
  <c r="P128" i="1"/>
  <c r="P126" i="1"/>
  <c r="V128" i="1"/>
  <c r="V126" i="1"/>
  <c r="H127" i="1"/>
  <c r="H125" i="1"/>
  <c r="H124" i="1"/>
  <c r="I36" i="18" s="1"/>
  <c r="T127" i="1"/>
  <c r="T125" i="1"/>
  <c r="T124" i="1"/>
  <c r="I40" i="18" s="1"/>
  <c r="X40" i="18" s="1"/>
  <c r="Y40" i="18" s="1"/>
  <c r="L124" i="1"/>
  <c r="I11" i="18" s="1"/>
  <c r="L127" i="1"/>
  <c r="L125" i="1"/>
  <c r="G127" i="1"/>
  <c r="G125" i="1"/>
  <c r="G124" i="1"/>
  <c r="I35" i="18" s="1"/>
  <c r="O124" i="1"/>
  <c r="I18" i="18" s="1"/>
  <c r="O127" i="1"/>
  <c r="O125" i="1"/>
  <c r="N124" i="1"/>
  <c r="I15" i="18" s="1"/>
  <c r="N127" i="1"/>
  <c r="N125" i="1"/>
  <c r="S127" i="1"/>
  <c r="S125" i="1"/>
  <c r="S124" i="1"/>
  <c r="I39" i="18" s="1"/>
  <c r="Q124" i="1"/>
  <c r="I26" i="18" s="1"/>
  <c r="Q127" i="1"/>
  <c r="Q125" i="1"/>
  <c r="U125" i="1"/>
  <c r="U124" i="1"/>
  <c r="I22" i="18" s="1"/>
  <c r="R124" i="1"/>
  <c r="I27" i="18" s="1"/>
  <c r="R127" i="1"/>
  <c r="R125" i="1"/>
  <c r="P124" i="1"/>
  <c r="I19" i="18" s="1"/>
  <c r="P127" i="1"/>
  <c r="P125" i="1"/>
  <c r="J127" i="1"/>
  <c r="J125" i="1"/>
  <c r="J124" i="1"/>
  <c r="F127" i="1"/>
  <c r="F124" i="1"/>
  <c r="I32" i="18" s="1"/>
  <c r="F125" i="1"/>
  <c r="M124" i="1"/>
  <c r="I14" i="18" s="1"/>
  <c r="M127" i="1"/>
  <c r="M125" i="1"/>
  <c r="V127" i="1"/>
  <c r="V125" i="1"/>
  <c r="V124" i="1"/>
  <c r="I23" i="18" s="1"/>
  <c r="E125" i="1"/>
  <c r="E127" i="1"/>
  <c r="E124" i="1"/>
  <c r="I31" i="18" s="1"/>
  <c r="K127" i="1"/>
  <c r="K125" i="1"/>
  <c r="K124" i="1"/>
  <c r="I10" i="18" s="1"/>
  <c r="I127" i="1"/>
  <c r="I125" i="1"/>
  <c r="I124" i="1"/>
  <c r="J14" i="18" l="1"/>
  <c r="X17" i="18"/>
  <c r="X14" i="18"/>
  <c r="V14" i="18"/>
  <c r="J27" i="18"/>
  <c r="I44" i="18" s="1"/>
  <c r="X27" i="18"/>
  <c r="Y27" i="18" s="1"/>
  <c r="X36" i="18"/>
  <c r="Y36" i="18" s="1"/>
  <c r="J36" i="18"/>
  <c r="J22" i="18"/>
  <c r="X22" i="18"/>
  <c r="X25" i="18"/>
  <c r="V22" i="18"/>
  <c r="X18" i="18"/>
  <c r="V18" i="18"/>
  <c r="X21" i="18"/>
  <c r="J18" i="18"/>
  <c r="J32" i="18"/>
  <c r="X32" i="18"/>
  <c r="Y32" i="18" s="1"/>
  <c r="J35" i="18"/>
  <c r="V35" i="18"/>
  <c r="X35" i="18"/>
  <c r="X38" i="18"/>
  <c r="J31" i="18"/>
  <c r="X31" i="18"/>
  <c r="V31" i="18"/>
  <c r="X34" i="18"/>
  <c r="I7" i="18"/>
  <c r="X26" i="18"/>
  <c r="J26" i="18"/>
  <c r="I43" i="18" s="1"/>
  <c r="J43" i="18" s="1"/>
  <c r="X29" i="18"/>
  <c r="V26" i="18"/>
  <c r="J15" i="18"/>
  <c r="X15" i="18"/>
  <c r="Y15" i="18" s="1"/>
  <c r="X23" i="18"/>
  <c r="Y23" i="18" s="1"/>
  <c r="J23" i="18"/>
  <c r="J10" i="18"/>
  <c r="V10" i="18"/>
  <c r="X13" i="18"/>
  <c r="X10" i="18"/>
  <c r="X11" i="18"/>
  <c r="Y11" i="18" s="1"/>
  <c r="J11" i="18"/>
  <c r="I6" i="18"/>
  <c r="J19" i="18"/>
  <c r="X19" i="18"/>
  <c r="Y19" i="18" s="1"/>
  <c r="X42" i="18"/>
  <c r="X39" i="18"/>
  <c r="V39" i="18"/>
  <c r="J40" i="18"/>
  <c r="J39" i="18"/>
  <c r="N140" i="1"/>
  <c r="K140" i="1"/>
  <c r="U140" i="1"/>
  <c r="M140" i="1"/>
  <c r="H140" i="1"/>
  <c r="F140" i="1"/>
  <c r="O140" i="1"/>
  <c r="G140" i="1"/>
  <c r="Q140" i="1"/>
  <c r="I140" i="1"/>
  <c r="R140" i="1"/>
  <c r="E140" i="1"/>
  <c r="J140" i="1"/>
  <c r="S140" i="1"/>
  <c r="V140" i="1"/>
  <c r="L140" i="1"/>
  <c r="P140" i="1"/>
  <c r="T140" i="1"/>
  <c r="Q141" i="1"/>
  <c r="G141" i="1"/>
  <c r="J141" i="1"/>
  <c r="E141" i="1"/>
  <c r="L141" i="1"/>
  <c r="P141" i="1"/>
  <c r="S141" i="1"/>
  <c r="F141" i="1"/>
  <c r="V141" i="1"/>
  <c r="N141" i="1"/>
  <c r="R141" i="1"/>
  <c r="T141" i="1"/>
  <c r="M141" i="1"/>
  <c r="I141" i="1"/>
  <c r="O141" i="1"/>
  <c r="H141" i="1"/>
  <c r="K141" i="1"/>
  <c r="U141" i="1"/>
  <c r="E168" i="2"/>
  <c r="E169" i="2" s="1"/>
  <c r="M168" i="2"/>
  <c r="M169" i="2" s="1"/>
  <c r="H168" i="2"/>
  <c r="H169" i="2" s="1"/>
  <c r="K168" i="2"/>
  <c r="K169" i="2" s="1"/>
  <c r="N168" i="2"/>
  <c r="N169" i="2" s="1"/>
  <c r="L168" i="2"/>
  <c r="L169" i="2" s="1"/>
  <c r="F168" i="2"/>
  <c r="F169" i="2" s="1"/>
  <c r="U130" i="1"/>
  <c r="I168" i="2"/>
  <c r="I169" i="2" s="1"/>
  <c r="J168" i="2"/>
  <c r="J169" i="2" s="1"/>
  <c r="U143" i="1"/>
  <c r="K130" i="1"/>
  <c r="K143" i="1"/>
  <c r="F130" i="1"/>
  <c r="F143" i="1"/>
  <c r="H130" i="1"/>
  <c r="H143" i="1"/>
  <c r="V129" i="1"/>
  <c r="V142" i="1"/>
  <c r="S129" i="1"/>
  <c r="S142" i="1"/>
  <c r="R142" i="1"/>
  <c r="R129" i="1"/>
  <c r="M130" i="1"/>
  <c r="M143" i="1"/>
  <c r="E130" i="1"/>
  <c r="E143" i="1"/>
  <c r="Q130" i="1"/>
  <c r="Q143" i="1"/>
  <c r="J130" i="1"/>
  <c r="J143" i="1"/>
  <c r="G130" i="1"/>
  <c r="G143" i="1"/>
  <c r="P142" i="1"/>
  <c r="P129" i="1"/>
  <c r="G129" i="1"/>
  <c r="G142" i="1"/>
  <c r="U129" i="1"/>
  <c r="U142" i="1"/>
  <c r="P130" i="1"/>
  <c r="P143" i="1"/>
  <c r="L130" i="1"/>
  <c r="L143" i="1"/>
  <c r="M129" i="1"/>
  <c r="M142" i="1"/>
  <c r="T129" i="1"/>
  <c r="T142" i="1"/>
  <c r="Q129" i="1"/>
  <c r="Q142" i="1"/>
  <c r="S130" i="1"/>
  <c r="S143" i="1"/>
  <c r="R130" i="1"/>
  <c r="R143" i="1"/>
  <c r="V130" i="1"/>
  <c r="V143" i="1"/>
  <c r="K129" i="1"/>
  <c r="K142" i="1"/>
  <c r="I129" i="1"/>
  <c r="I142" i="1"/>
  <c r="O129" i="1"/>
  <c r="O142" i="1"/>
  <c r="I130" i="1"/>
  <c r="I143" i="1"/>
  <c r="T130" i="1"/>
  <c r="T143" i="1"/>
  <c r="F129" i="1"/>
  <c r="F142" i="1"/>
  <c r="E142" i="1"/>
  <c r="E129" i="1"/>
  <c r="N129" i="1"/>
  <c r="N142" i="1"/>
  <c r="N130" i="1"/>
  <c r="N143" i="1"/>
  <c r="O130" i="1"/>
  <c r="O143" i="1"/>
  <c r="J129" i="1"/>
  <c r="J142" i="1"/>
  <c r="L129" i="1"/>
  <c r="L142" i="1"/>
  <c r="H129" i="1"/>
  <c r="H142" i="1"/>
  <c r="G169" i="2"/>
  <c r="D166" i="2"/>
  <c r="D167" i="2"/>
  <c r="D145" i="2"/>
  <c r="D161" i="2"/>
  <c r="J44" i="18" l="1"/>
  <c r="AR10" i="18"/>
  <c r="Y25" i="18"/>
  <c r="Y38" i="18"/>
  <c r="Y22" i="18"/>
  <c r="Y35" i="18"/>
  <c r="Y31" i="18"/>
  <c r="V6" i="18"/>
  <c r="X9" i="18"/>
  <c r="J6" i="18"/>
  <c r="X6" i="18"/>
  <c r="Y29" i="18"/>
  <c r="X46" i="18"/>
  <c r="V43" i="18"/>
  <c r="X43" i="18"/>
  <c r="Y26" i="18"/>
  <c r="X44" i="18"/>
  <c r="Y44" i="18" s="1"/>
  <c r="Y10" i="18"/>
  <c r="Y13" i="18"/>
  <c r="J7" i="18"/>
  <c r="X7" i="18"/>
  <c r="Y7" i="18" s="1"/>
  <c r="Y21" i="18"/>
  <c r="Y14" i="18"/>
  <c r="Y34" i="18"/>
  <c r="Y17" i="18"/>
  <c r="Y18" i="18"/>
  <c r="Y42" i="18"/>
  <c r="Y39" i="18"/>
  <c r="D168" i="2"/>
  <c r="BD31" i="18" l="1"/>
  <c r="BC31" i="18"/>
  <c r="AI10" i="18"/>
  <c r="AG10" i="18"/>
  <c r="AQ10" i="18"/>
  <c r="AG35" i="18"/>
  <c r="BF35" i="18"/>
  <c r="BG35" i="18"/>
  <c r="BE35" i="18"/>
  <c r="AI35" i="18"/>
  <c r="Y43" i="18"/>
  <c r="AG26" i="18"/>
  <c r="AZ26" i="18"/>
  <c r="AI26" i="18"/>
  <c r="AY26" i="18"/>
  <c r="AG22" i="18"/>
  <c r="AI22" i="18"/>
  <c r="AX22" i="18"/>
  <c r="AC50" i="18"/>
  <c r="Y6" i="18"/>
  <c r="AE50" i="18"/>
  <c r="Y46" i="18"/>
  <c r="AB50" i="18"/>
  <c r="Y9" i="18"/>
  <c r="AQ14" i="18"/>
  <c r="AG14" i="18"/>
  <c r="AR14" i="18"/>
  <c r="AI14" i="18"/>
  <c r="AI18" i="18"/>
  <c r="AG18" i="18"/>
  <c r="AV18" i="18"/>
  <c r="AS18" i="18"/>
  <c r="D68" i="18" s="1"/>
  <c r="AW18" i="18"/>
  <c r="AT18" i="18"/>
  <c r="AU18" i="18"/>
  <c r="BA31" i="18"/>
  <c r="BB31" i="18"/>
  <c r="AI31" i="18"/>
  <c r="AG31" i="18"/>
  <c r="BJ39" i="18"/>
  <c r="AG39" i="18"/>
  <c r="AI39" i="18"/>
  <c r="BI39" i="18"/>
  <c r="BH39" i="18"/>
  <c r="D169" i="2"/>
  <c r="D67" i="18" l="1"/>
  <c r="C67" i="18" s="1"/>
  <c r="D69" i="18"/>
  <c r="C69" i="18" s="1"/>
  <c r="D70" i="18"/>
  <c r="C70" i="18" s="1"/>
  <c r="D71" i="18"/>
  <c r="C71" i="18" s="1"/>
  <c r="D65" i="18"/>
  <c r="C65" i="18" s="1"/>
  <c r="D66" i="18"/>
  <c r="C66" i="18" s="1"/>
  <c r="AH3" i="18"/>
  <c r="AJ3" i="18" s="1"/>
  <c r="C68" i="18"/>
  <c r="AI6" i="18"/>
  <c r="AJ6" i="18" s="1"/>
  <c r="AP6" i="18"/>
  <c r="D63" i="18" s="1"/>
  <c r="AM6" i="18"/>
  <c r="D60" i="18" s="1"/>
  <c r="C60" i="18" s="1"/>
  <c r="AK6" i="18"/>
  <c r="AG6" i="18"/>
  <c r="AN6" i="18"/>
  <c r="AO6" i="18"/>
  <c r="AL6" i="18"/>
  <c r="D59" i="18" s="1"/>
  <c r="C59" i="18" s="1"/>
  <c r="BL43" i="18"/>
  <c r="D72" i="18" s="1"/>
  <c r="BK43" i="18"/>
  <c r="D64" i="18" s="1"/>
  <c r="C72" i="18" l="1"/>
  <c r="C64" i="18"/>
  <c r="D62" i="18"/>
  <c r="C62" i="18" s="1"/>
  <c r="D61" i="18"/>
  <c r="C61" i="18" s="1"/>
  <c r="C63" i="18"/>
  <c r="D58" i="18"/>
  <c r="C58" i="18" s="1"/>
  <c r="D73" i="18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tc={F502FB30-DF45-4F56-937F-2A90CE7A48EA}</author>
    <author>tc={02C32101-6C37-43CF-8F47-3B95B2777766}</author>
    <author>tc={4E8E8265-D635-42B7-950E-A7AA1816FE44}</author>
    <author>tc={AE416155-E884-4D0B-9273-46E2C444EC9E}</author>
    <author>tc={B256D608-220C-4808-836B-7B9B145825F1}</author>
    <author>tc={DFE39B79-AFC4-48B9-920A-800E0EC6AB2F}</author>
  </authors>
  <commentList>
    <comment ref="D124" authorId="0" shapeId="0" xr:uid="{F502FB30-DF45-4F56-937F-2A90CE7A48EA}">
      <text>
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é a média aritmética e é calculada pela adição de um grupo de números e depois pela divisão da contagem desses números. Por exemplo, a média de 2, 3, 3, 5, 7 e 10 é 30 dividido por 6, que é 5. </t>
      </text>
    </comment>
    <comment ref="D125" authorId="1" shapeId="0" xr:uid="{02C32101-6C37-43CF-8F47-3B95B2777766}">
      <text>
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é o número no centro de um grupo de números; isto é, metade dos números possui valores que são maiores do que a mediana e a outra metade possui valores menores. Por exemplo, a mediana de 2, 3, 3, 5, 7 e 10 é 4. </t>
      </text>
    </comment>
    <comment ref="D127" authorId="2" shapeId="0" xr:uid="{4E8E8265-D635-42B7-950E-A7AA1816FE44}">
      <text>
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Retorna o quartil do conjunto de dados. Quartis são comumente usados em dados de vendas e de pesquisas para dividir a população em grupos. Por exemplo, você pode usar QUARTIL para descobrir 25% de maior renda de uma população. </t>
      </text>
    </comment>
    <comment ref="D140" authorId="3" shapeId="0" xr:uid="{AE416155-E884-4D0B-9273-46E2C444EC9E}">
      <text>
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é a média aritmética e é calculada pela adição de um grupo de números e depois pela divisão da contagem desses números. Por exemplo, a média de 2, 3, 3, 5, 7 e 10 é 30 dividido por 6, que é 5. </t>
      </text>
    </comment>
    <comment ref="D141" authorId="4" shapeId="0" xr:uid="{B256D608-220C-4808-836B-7B9B145825F1}">
      <text>
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é o número no centro de um grupo de números; isto é, metade dos números possui valores que são maiores do que a mediana e a outra metade possui valores menores. Por exemplo, a mediana de 2, 3, 3, 5, 7 e 10 é 4. </t>
      </text>
    </comment>
    <comment ref="D143" authorId="5" shapeId="0" xr:uid="{DFE39B79-AFC4-48B9-920A-800E0EC6AB2F}">
      <text>
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Retorna o quartil do conjunto de dados. Quartis são comumente usados em dados de vendas e de pesquisas para dividir a população em grupos. Por exemplo, você pode usar QUARTIL para descobrir 25% de maior renda de uma população. </t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tc={388DA21C-AB60-4625-9FD6-3A1AD5D698ED}</author>
    <author>tc={E8C196A5-27E3-45B3-BCF6-BACCD849FC7F}</author>
    <author>tc={6C486B49-A502-4F85-B202-9E5CF02A3EFD}</author>
    <author>tc={19F75B32-13F8-44D3-9E69-D705B95BD526}</author>
    <author>tc={04CB0DD4-D952-497C-BB5B-845CF0DCBB51}</author>
    <author>tc={6804389F-0355-4F04-A196-BF19DBF75A5B}</author>
    <author>tc={D324A8A6-86E9-4BA3-BB9C-FF3736C6D7D8}</author>
    <author>tc={A183E1EE-3764-498A-9860-4A555725D4ED}</author>
    <author>tc={33A44ADF-F736-41AA-B153-1A59A0D16C80}</author>
  </authors>
  <commentList>
    <comment ref="C116" authorId="0" shapeId="0" xr:uid="{388DA21C-AB60-4625-9FD6-3A1AD5D698ED}">
      <text>
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é a média aritmética e é calculada pela adição de um grupo de números e depois pela divisão da contagem desses números. Por exemplo, a média de 2, 3, 3, 5, 7 e 10 é 30 dividido por 6, que é 5. </t>
      </text>
    </comment>
    <comment ref="C117" authorId="1" shapeId="0" xr:uid="{E8C196A5-27E3-45B3-BCF6-BACCD849FC7F}">
      <text>
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é o número no centro de um grupo de números; isto é, metade dos números possui valores que são maiores do que a mediana e a outra metade possui valores menores. Por exemplo, a mediana de 2, 3, 3, 5, 7 e 10 é 4. </t>
      </text>
    </comment>
    <comment ref="C119" authorId="2" shapeId="0" xr:uid="{6C486B49-A502-4F85-B202-9E5CF02A3EFD}">
      <text>
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Retorna o quartil do conjunto de dados. Quartis são comumente usados em dados de vendas e de pesquisas para dividir a população em grupos. Por exemplo, você pode usar QUARTIL para descobrir 25% de maior renda de uma população. </t>
      </text>
    </comment>
    <comment ref="C140" authorId="3" shapeId="0" xr:uid="{19F75B32-13F8-44D3-9E69-D705B95BD526}">
      <text>
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é a média aritmética e é calculada pela adição de um grupo de números e depois pela divisão da contagem desses números. Por exemplo, a média de 2, 3, 3, 5, 7 e 10 é 30 dividido por 6, que é 5. </t>
      </text>
    </comment>
    <comment ref="C141" authorId="4" shapeId="0" xr:uid="{04CB0DD4-D952-497C-BB5B-845CF0DCBB51}">
      <text>
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é o número no centro de um grupo de números; isto é, metade dos números possui valores que são maiores do que a mediana e a outra metade possui valores menores. Por exemplo, a mediana de 2, 3, 3, 5, 7 e 10 é 4. </t>
      </text>
    </comment>
    <comment ref="C143" authorId="5" shapeId="0" xr:uid="{6804389F-0355-4F04-A196-BF19DBF75A5B}">
      <text>
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Retorna o quartil do conjunto de dados. Quartis são comumente usados em dados de vendas e de pesquisas para dividir a população em grupos. Por exemplo, você pode usar QUARTIL para descobrir 25% de maior renda de uma população. </t>
      </text>
    </comment>
    <comment ref="C156" authorId="6" shapeId="0" xr:uid="{D324A8A6-86E9-4BA3-BB9C-FF3736C6D7D8}">
      <text>
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é a média aritmética e é calculada pela adição de um grupo de números e depois pela divisão da contagem desses números. Por exemplo, a média de 2, 3, 3, 5, 7 e 10 é 30 dividido por 6, que é 5. </t>
      </text>
    </comment>
    <comment ref="C157" authorId="7" shapeId="0" xr:uid="{A183E1EE-3764-498A-9860-4A555725D4ED}">
      <text>
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é o número no centro de um grupo de números; isto é, metade dos números possui valores que são maiores do que a mediana e a outra metade possui valores menores. Por exemplo, a mediana de 2, 3, 3, 5, 7 e 10 é 4. </t>
      </text>
    </comment>
    <comment ref="C159" authorId="8" shapeId="0" xr:uid="{33A44ADF-F736-41AA-B153-1A59A0D16C80}">
      <text>
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Retorna o quartil do conjunto de dados. Quartis são comumente usados em dados de vendas e de pesquisas para dividir a população em grupos. Por exemplo, você pode usar QUARTIL para descobrir 25% de maior renda de uma população. 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tc={635DCE30-04E1-4D8D-B95D-69035B010899}</author>
    <author>tc={AC7E0782-DFDC-410F-8BE9-C02768CE616A}</author>
    <author>tc={4F3560DF-5A16-464D-B008-00AC5374D5F5}</author>
  </authors>
  <commentList>
    <comment ref="B116" authorId="0" shapeId="0" xr:uid="{635DCE30-04E1-4D8D-B95D-69035B010899}">
      <text>
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é a média aritmética e é calculada pela adição de um grupo de números e depois pela divisão da contagem desses números. Por exemplo, a média de 2, 3, 3, 5, 7 e 10 é 30 dividido por 6, que é 5. </t>
      </text>
    </comment>
    <comment ref="B117" authorId="1" shapeId="0" xr:uid="{AC7E0782-DFDC-410F-8BE9-C02768CE616A}">
      <text>
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é o número no centro de um grupo de números; isto é, metade dos números possui valores que são maiores do que a mediana e a outra metade possui valores menores. Por exemplo, a mediana de 2, 3, 3, 5, 7 e 10 é 4. </t>
      </text>
    </comment>
    <comment ref="B119" authorId="2" shapeId="0" xr:uid="{4F3560DF-5A16-464D-B008-00AC5374D5F5}">
      <text>
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Retorna o quartil do conjunto de dados. Quartis são comumente usados em dados de vendas e de pesquisas para dividir a população em grupos. Por exemplo, você pode usar QUARTIL para descobrir 25% de maior renda de uma população. 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tc={A2E48A97-71B1-41A2-B341-6330D1ACE8F0}</author>
    <author>tc={2D969B8C-65B8-4907-85D9-3B35BBE67564}</author>
    <author>tc={21AD626A-6EA7-4EEC-97BE-B44D9EF8C309}</author>
  </authors>
  <commentList>
    <comment ref="B120" authorId="0" shapeId="0" xr:uid="{A2E48A97-71B1-41A2-B341-6330D1ACE8F0}">
      <text>
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é a média aritmética e é calculada pela adição de um grupo de números e depois pela divisão da contagem desses números. Por exemplo, a média de 2, 3, 3, 5, 7 e 10 é 30 dividido por 6, que é 5. </t>
      </text>
    </comment>
    <comment ref="B121" authorId="1" shapeId="0" xr:uid="{2D969B8C-65B8-4907-85D9-3B35BBE67564}">
      <text>
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é o número no centro de um grupo de números; isto é, metade dos números possui valores que são maiores do que a mediana e a outra metade possui valores menores. Por exemplo, a mediana de 2, 3, 3, 5, 7 e 10 é 4. </t>
      </text>
    </comment>
    <comment ref="B123" authorId="2" shapeId="0" xr:uid="{21AD626A-6EA7-4EEC-97BE-B44D9EF8C309}">
      <text>
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Retorna o quartil do conjunto de dados. Quartis são comumente usados em dados de vendas e de pesquisas para dividir a população em grupos. Por exemplo, você pode usar QUARTIL para descobrir 25% de maior renda de uma população. </t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tc={8DD2FE70-2B5E-40AB-A9FA-376927C2D917}</author>
    <author>tc={7FCEEFB3-4422-484D-B15C-77DB90E0F3B6}</author>
    <author>tc={20986376-CEF2-436E-B64A-16CD091E90E4}</author>
  </authors>
  <commentList>
    <comment ref="A112" authorId="0" shapeId="0" xr:uid="{8DD2FE70-2B5E-40AB-A9FA-376927C2D917}">
      <text>
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é a média aritmética e é calculada pela adição de um grupo de números e depois pela divisão da contagem desses números. Por exemplo, a média de 2, 3, 3, 5, 7 e 10 é 30 dividido por 6, que é 5. </t>
      </text>
    </comment>
    <comment ref="A113" authorId="1" shapeId="0" xr:uid="{7FCEEFB3-4422-484D-B15C-77DB90E0F3B6}">
      <text>
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é o número no centro de um grupo de números; isto é, metade dos números possui valores que são maiores do que a mediana e a outra metade possui valores menores. Por exemplo, a mediana de 2, 3, 3, 5, 7 e 10 é 4. </t>
      </text>
    </comment>
    <comment ref="A115" authorId="2" shapeId="0" xr:uid="{20986376-CEF2-436E-B64A-16CD091E90E4}">
      <text>
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Retorna o quartil do conjunto de dados. Quartis são comumente usados em dados de vendas e de pesquisas para dividir a população em grupos. Por exemplo, você pode usar QUARTIL para descobrir 25% de maior renda de uma população. </t>
      </text>
    </comment>
  </commentList>
</comments>
</file>

<file path=xl/sharedStrings.xml><?xml version="1.0" encoding="utf-8"?>
<sst xmlns="http://schemas.openxmlformats.org/spreadsheetml/2006/main" count="1070" uniqueCount="361">
  <si>
    <t>Níveis de Confiança</t>
  </si>
  <si>
    <t>CEB Bloco P 24/17 e 25/17</t>
  </si>
  <si>
    <t>CEB Anexo P 21/17 e 22/17</t>
  </si>
  <si>
    <t>CEB Bloco F 09/17 e 10/17</t>
  </si>
  <si>
    <t>CEB Anexo F 11/17 e 12/17</t>
  </si>
  <si>
    <t>CEB Bloco C 76/18 e 77/18</t>
  </si>
  <si>
    <t>CEB Bloco K - Med 1 78/18 e 82/18</t>
  </si>
  <si>
    <t>CEB Bloco K- Med 2 79/18 e 80/18</t>
  </si>
  <si>
    <t>CEB Bloco J 39/17</t>
  </si>
  <si>
    <t>CEB 516N 32/18 e 33/18</t>
  </si>
  <si>
    <t>CEB Órgãos Centrais 26/17 e 27/17</t>
  </si>
  <si>
    <t>CEB Órgãos Regionais 28/17 e 29/17</t>
  </si>
  <si>
    <t>CEB CERET SIA Trecho 3 16/18 e 17/18</t>
  </si>
  <si>
    <t>CEB Alvorada 26/14</t>
  </si>
  <si>
    <t>CEB RFB SIA Trecho 6 26/14</t>
  </si>
  <si>
    <t>CEB SGMN 31/12</t>
  </si>
  <si>
    <t>CEB SGON 31/12</t>
  </si>
  <si>
    <t>CEB SIG 31/12</t>
  </si>
  <si>
    <t>CEB SAAN 41/17</t>
  </si>
  <si>
    <t>CEB Edifício Garagem 26/14</t>
  </si>
  <si>
    <t>Soma</t>
  </si>
  <si>
    <t>Mês</t>
  </si>
  <si>
    <t>Bloco P
Identificação 492451-7</t>
  </si>
  <si>
    <t>Anexo P
Identificação 492425-8</t>
  </si>
  <si>
    <t>Bloco F
Identificação 491623-9</t>
  </si>
  <si>
    <t>Anexo F
Identificação 493009-6</t>
  </si>
  <si>
    <t>Bloco C
Identificação 492464-9</t>
  </si>
  <si>
    <t>Bloco K - Medidor 1
Identificação 493166-1</t>
  </si>
  <si>
    <t>Bloco K - Medidor 2
Identificação 492469-X</t>
  </si>
  <si>
    <t>Bloco J
Identificação 491613-1</t>
  </si>
  <si>
    <t>516N
Identificação 493201-3</t>
  </si>
  <si>
    <t>Órgãos Centrais
Identificação 527316-1</t>
  </si>
  <si>
    <t>Órgãos Regionais
Identificação 492449-5</t>
  </si>
  <si>
    <t>CERET SIA Techo 3
Identificação 611050-9</t>
  </si>
  <si>
    <t>Edifício Alvorada - Identificação 1217752-0/ 2066819-8</t>
  </si>
  <si>
    <t>Edifício RFB SIA Trecho 6</t>
  </si>
  <si>
    <t>SGMN</t>
  </si>
  <si>
    <t>SGON</t>
  </si>
  <si>
    <t>SIG</t>
  </si>
  <si>
    <t>SAAN</t>
  </si>
  <si>
    <t>Garagem</t>
  </si>
  <si>
    <t>Ponta</t>
  </si>
  <si>
    <t>Fora Ponta</t>
  </si>
  <si>
    <t>p/fp</t>
  </si>
  <si>
    <t>Bloco P</t>
  </si>
  <si>
    <t>Anexo P</t>
  </si>
  <si>
    <t>Bloco C</t>
  </si>
  <si>
    <t>Bloco K - Medidor 1</t>
  </si>
  <si>
    <t>Bloco K - Medidor 2</t>
  </si>
  <si>
    <t>Bloco J</t>
  </si>
  <si>
    <t>516N</t>
  </si>
  <si>
    <t>Órgãos Centrais</t>
  </si>
  <si>
    <t>Órgãos Regionais</t>
  </si>
  <si>
    <t>Média do Consumo em 2018 e 2019</t>
  </si>
  <si>
    <t>Somatório do Consumo nos prédios do ME no DF em 2021</t>
  </si>
  <si>
    <t>Média 2024</t>
  </si>
  <si>
    <t>Média 2025</t>
  </si>
  <si>
    <t>CCER</t>
  </si>
  <si>
    <t>Média</t>
  </si>
  <si>
    <t>Mediana</t>
  </si>
  <si>
    <t>Máximo</t>
  </si>
  <si>
    <t>3° Quartil</t>
  </si>
  <si>
    <t>Máximo x 12</t>
  </si>
  <si>
    <t>3° Quartil Anualizado</t>
  </si>
  <si>
    <t>Médias anuais</t>
  </si>
  <si>
    <t>Média Histórica</t>
  </si>
  <si>
    <t>Diferenças em relação aos cálculos</t>
  </si>
  <si>
    <t>Bloco P 
Identificação 492451-7</t>
  </si>
  <si>
    <t>jan./18</t>
  </si>
  <si>
    <t>jan./19</t>
  </si>
  <si>
    <t>jan./20</t>
  </si>
  <si>
    <t>jan./21</t>
  </si>
  <si>
    <t>jan./22</t>
  </si>
  <si>
    <t>jan./23</t>
  </si>
  <si>
    <t>jan./24</t>
  </si>
  <si>
    <t>fev./18</t>
  </si>
  <si>
    <t>fev./19</t>
  </si>
  <si>
    <t>fev./20</t>
  </si>
  <si>
    <t>fev./21</t>
  </si>
  <si>
    <t>fev./22</t>
  </si>
  <si>
    <t>fev./23</t>
  </si>
  <si>
    <t>fev./24</t>
  </si>
  <si>
    <t>mar./18</t>
  </si>
  <si>
    <t>mar./19</t>
  </si>
  <si>
    <t>mar./20</t>
  </si>
  <si>
    <t>mar./21</t>
  </si>
  <si>
    <t>mar./22</t>
  </si>
  <si>
    <t>mar./23</t>
  </si>
  <si>
    <t>mar./24</t>
  </si>
  <si>
    <t>abr./18</t>
  </si>
  <si>
    <t>abr./19</t>
  </si>
  <si>
    <t>abr./20</t>
  </si>
  <si>
    <t>abr./21</t>
  </si>
  <si>
    <t>abr./22</t>
  </si>
  <si>
    <t>abr./23</t>
  </si>
  <si>
    <t>abr./24</t>
  </si>
  <si>
    <t>mai./18</t>
  </si>
  <si>
    <t>mai./19</t>
  </si>
  <si>
    <t>mai./20</t>
  </si>
  <si>
    <t>mai./21</t>
  </si>
  <si>
    <t>mai./22</t>
  </si>
  <si>
    <t>mai./23</t>
  </si>
  <si>
    <t>mai./24</t>
  </si>
  <si>
    <t>jun./18</t>
  </si>
  <si>
    <t>jun./19</t>
  </si>
  <si>
    <t>jun./20</t>
  </si>
  <si>
    <t>jun./21</t>
  </si>
  <si>
    <t>jun./22</t>
  </si>
  <si>
    <t>jun./23</t>
  </si>
  <si>
    <t>jun./24</t>
  </si>
  <si>
    <t>jul./18</t>
  </si>
  <si>
    <t>jul./19</t>
  </si>
  <si>
    <t>jul./20</t>
  </si>
  <si>
    <t>jul./21</t>
  </si>
  <si>
    <t>jul./22</t>
  </si>
  <si>
    <t>jul./23</t>
  </si>
  <si>
    <t>jul./24</t>
  </si>
  <si>
    <t>ago./18</t>
  </si>
  <si>
    <t>ago./19</t>
  </si>
  <si>
    <t>ago./20</t>
  </si>
  <si>
    <t>ago./21</t>
  </si>
  <si>
    <t>ago./22</t>
  </si>
  <si>
    <t>ago./23</t>
  </si>
  <si>
    <t>ago./24</t>
  </si>
  <si>
    <t>set./17</t>
  </si>
  <si>
    <t>set./18</t>
  </si>
  <si>
    <t>set./19</t>
  </si>
  <si>
    <t>set./20</t>
  </si>
  <si>
    <t>set./21</t>
  </si>
  <si>
    <t>set./22</t>
  </si>
  <si>
    <t>set./23</t>
  </si>
  <si>
    <t>set./24</t>
  </si>
  <si>
    <t>out./17</t>
  </si>
  <si>
    <t>out./18</t>
  </si>
  <si>
    <t>out./19</t>
  </si>
  <si>
    <t>out./20</t>
  </si>
  <si>
    <t>out./21</t>
  </si>
  <si>
    <t>out./22</t>
  </si>
  <si>
    <t>out./23</t>
  </si>
  <si>
    <t>nov./17</t>
  </si>
  <si>
    <t>nov./18</t>
  </si>
  <si>
    <t>nov./19</t>
  </si>
  <si>
    <t>nov./20</t>
  </si>
  <si>
    <t>nov./21</t>
  </si>
  <si>
    <t>nov./22</t>
  </si>
  <si>
    <t>nov./23</t>
  </si>
  <si>
    <t>dez./17</t>
  </si>
  <si>
    <t>dez./18</t>
  </si>
  <si>
    <t>dez./19</t>
  </si>
  <si>
    <t>dez./20</t>
  </si>
  <si>
    <t>dez./21</t>
  </si>
  <si>
    <t>dez./22</t>
  </si>
  <si>
    <t>dez./23</t>
  </si>
  <si>
    <t>Contratado atual</t>
  </si>
  <si>
    <t>Soma / 12</t>
  </si>
  <si>
    <t>Sugestão UnB</t>
  </si>
  <si>
    <t xml:space="preserve">Média dos últimos 2 anos </t>
  </si>
  <si>
    <t>Valor Selecionado</t>
  </si>
  <si>
    <t>Meses Secos</t>
  </si>
  <si>
    <t>Meses Umidos</t>
  </si>
  <si>
    <t>Simulação com todos os meses</t>
  </si>
  <si>
    <t>Simulação meses secos</t>
  </si>
  <si>
    <t>Simulação meses umidos</t>
  </si>
  <si>
    <t>Ed. Alvorada</t>
  </si>
  <si>
    <t>Ed. Garagem</t>
  </si>
  <si>
    <t>Galpão RFB SIA Trecho 6</t>
  </si>
  <si>
    <t>Depósito SGMN SUCAD</t>
  </si>
  <si>
    <t>Galpão SGON</t>
  </si>
  <si>
    <t>Galpão SIG</t>
  </si>
  <si>
    <t>Depósito SAAN</t>
  </si>
  <si>
    <t>HISTÓRICO DE FATURAMENTO</t>
  </si>
  <si>
    <t>VERDE
SUBGRUPO AS</t>
  </si>
  <si>
    <t>ESTIMATIVA DE TRIBUTOS E ENCARGOS %</t>
  </si>
  <si>
    <t>Data Referência</t>
  </si>
  <si>
    <t>Tarifa Demanda 
(R$/kW)</t>
  </si>
  <si>
    <t>Tarifa Ponta - P (R$/kWh)</t>
  </si>
  <si>
    <t>Tarifa Fora Ponta - FP (R$/kWh)</t>
  </si>
  <si>
    <t>Tarifa EREX P/FP
(R$/UFER)</t>
  </si>
  <si>
    <t>Contribuição de Iluminação Pública - CIP</t>
  </si>
  <si>
    <t>TUSD R$/kW</t>
  </si>
  <si>
    <t>TUSD R$/kWh
P</t>
  </si>
  <si>
    <t>TUSD R$/kWh
FP</t>
  </si>
  <si>
    <t>TE R$/kWh
P</t>
  </si>
  <si>
    <t>TE R$/kWh
FP</t>
  </si>
  <si>
    <t>RESOLUÇÃO HOMOLOGATÓRIA ANEEL</t>
  </si>
  <si>
    <t>VIGÊNCIA</t>
  </si>
  <si>
    <t>MÉDIA</t>
  </si>
  <si>
    <t>VALOR MÁXIMO</t>
  </si>
  <si>
    <t>2.316/17</t>
  </si>
  <si>
    <t>22/10/17 a 21/10/18</t>
  </si>
  <si>
    <t>2.471/18</t>
  </si>
  <si>
    <t>22/10/18 a 21/10/19</t>
  </si>
  <si>
    <t>2.625/19</t>
  </si>
  <si>
    <t>22/10/19 a 21/10/20</t>
  </si>
  <si>
    <t>2.789/20</t>
  </si>
  <si>
    <t>22/10/20 a 21/10/21</t>
  </si>
  <si>
    <t>2.965/21</t>
  </si>
  <si>
    <t>22/10/21 a 21/10/22</t>
  </si>
  <si>
    <t>3.134/22</t>
  </si>
  <si>
    <t>03/11/22 a 21/10/23</t>
  </si>
  <si>
    <t>3.276/23</t>
  </si>
  <si>
    <t>22/10/23 a 21/10/24</t>
  </si>
  <si>
    <t>2.406/18</t>
  </si>
  <si>
    <t>22/06/18 a 21/10/18</t>
  </si>
  <si>
    <t>3.131/22</t>
  </si>
  <si>
    <t>21/10/22 a 02/11/22</t>
  </si>
  <si>
    <t>LIMITE SUPERIOR</t>
  </si>
  <si>
    <t>Soma 3° Quartil</t>
  </si>
  <si>
    <t xml:space="preserve">Faixa de consumo do mês (kWh) </t>
  </si>
  <si>
    <t>Industrial, Comercial, Poder Público e Serviço Público (R$/mês)</t>
  </si>
  <si>
    <t xml:space="preserve">0 - 30 </t>
  </si>
  <si>
    <t xml:space="preserve">31 - 50 </t>
  </si>
  <si>
    <t xml:space="preserve">51 - 80 </t>
  </si>
  <si>
    <t xml:space="preserve">81 - 100 </t>
  </si>
  <si>
    <t xml:space="preserve">101 - 180 </t>
  </si>
  <si>
    <t xml:space="preserve">181 - 220 </t>
  </si>
  <si>
    <t xml:space="preserve">221 - 300 </t>
  </si>
  <si>
    <t xml:space="preserve">301 - 400 </t>
  </si>
  <si>
    <t xml:space="preserve">401 - 500 </t>
  </si>
  <si>
    <t xml:space="preserve">501 - 600 </t>
  </si>
  <si>
    <t xml:space="preserve">601 - 700 </t>
  </si>
  <si>
    <t xml:space="preserve">701 - 800 </t>
  </si>
  <si>
    <t xml:space="preserve">801 - 900 </t>
  </si>
  <si>
    <t xml:space="preserve">901 - 1.000 </t>
  </si>
  <si>
    <t xml:space="preserve">1.001 - 2.000 </t>
  </si>
  <si>
    <t xml:space="preserve">2.001 - 3.000 </t>
  </si>
  <si>
    <t xml:space="preserve">3.001 - 4.000 </t>
  </si>
  <si>
    <t xml:space="preserve">4.001 - 5.000 </t>
  </si>
  <si>
    <t xml:space="preserve">5.001 - 7.000 </t>
  </si>
  <si>
    <t xml:space="preserve">7.001 - 10.000 </t>
  </si>
  <si>
    <t xml:space="preserve">Acima de 10.000  </t>
  </si>
  <si>
    <t>Edificação</t>
  </si>
  <si>
    <t>Identificação do Ponto de Entrega de Energia</t>
  </si>
  <si>
    <t>Grupo Tarifário (5)</t>
  </si>
  <si>
    <t>Subgrupo Tarifário</t>
  </si>
  <si>
    <t>Tipo de Contrato</t>
  </si>
  <si>
    <t>Posto Tarifário</t>
  </si>
  <si>
    <t>Grupo A</t>
  </si>
  <si>
    <t>Grupo B</t>
  </si>
  <si>
    <r>
      <rPr>
        <b/>
        <sz val="11"/>
        <color theme="1"/>
        <rFont val="Calibri"/>
        <family val="2"/>
      </rPr>
      <t>CIP</t>
    </r>
    <r>
      <rPr>
        <sz val="11"/>
        <color theme="1"/>
        <rFont val="Calibri"/>
        <family val="2"/>
      </rPr>
      <t xml:space="preserve"> (4) </t>
    </r>
  </si>
  <si>
    <t>Bandeira Tarifária Vermelha - Patamar 2 (1)</t>
  </si>
  <si>
    <t>Meses</t>
  </si>
  <si>
    <t>Valores Subtotais Mensais</t>
  </si>
  <si>
    <t>Valores Subtotais Anuais</t>
  </si>
  <si>
    <t>Valor Total Estimado Mensal
CUSD</t>
  </si>
  <si>
    <t>Valor Total Estimado Mensal
CCER</t>
  </si>
  <si>
    <t>Valor Total Estimado Anual
CUSD</t>
  </si>
  <si>
    <t>Valor Total Estimado Anual
CCER</t>
  </si>
  <si>
    <t>Valor Total Estimado Mensal
TOTAL</t>
  </si>
  <si>
    <t>Valor Total Estimado Anual
TOTAL</t>
  </si>
  <si>
    <t>RATEIO POR EDIFICAÇÃO</t>
  </si>
  <si>
    <t>Demanda calculada</t>
  </si>
  <si>
    <t>Estimativa do Consumo de Energia</t>
  </si>
  <si>
    <r>
      <t xml:space="preserve">Valores Estimados para </t>
    </r>
    <r>
      <rPr>
        <b/>
        <sz val="11"/>
        <color theme="1"/>
        <rFont val="Calibri"/>
        <family val="2"/>
      </rPr>
      <t>TUSD</t>
    </r>
  </si>
  <si>
    <r>
      <t xml:space="preserve">Valores Estimados para </t>
    </r>
    <r>
      <rPr>
        <b/>
        <sz val="11"/>
        <color theme="1"/>
        <rFont val="Calibri"/>
        <family val="2"/>
      </rPr>
      <t>TE</t>
    </r>
  </si>
  <si>
    <r>
      <t xml:space="preserve">Valores Estimados para </t>
    </r>
    <r>
      <rPr>
        <b/>
        <sz val="11"/>
        <color theme="1"/>
        <rFont val="Calibri"/>
        <family val="2"/>
      </rPr>
      <t>Tributos e Encargos</t>
    </r>
  </si>
  <si>
    <r>
      <t xml:space="preserve">Valores Estimados Tarifa de </t>
    </r>
    <r>
      <rPr>
        <b/>
        <sz val="11"/>
        <color theme="1"/>
        <rFont val="Calibri"/>
        <family val="2"/>
      </rPr>
      <t>Consumo Ativo</t>
    </r>
  </si>
  <si>
    <t>Bloco K</t>
  </si>
  <si>
    <t>SOF</t>
  </si>
  <si>
    <t>Alvorada</t>
  </si>
  <si>
    <t>kW</t>
  </si>
  <si>
    <t>kWh/mês</t>
  </si>
  <si>
    <t>R$/kW</t>
  </si>
  <si>
    <t>R$/kWh
(P)</t>
  </si>
  <si>
    <t>R$/kWh
(FP)</t>
  </si>
  <si>
    <t>%</t>
  </si>
  <si>
    <t>R$/kWh</t>
  </si>
  <si>
    <t>Faixa de Consumo
(kWh)</t>
  </si>
  <si>
    <t>Valor estimado (R$)</t>
  </si>
  <si>
    <t>Impacto (R$)</t>
  </si>
  <si>
    <t>R$</t>
  </si>
  <si>
    <t>Média do Consumo</t>
  </si>
  <si>
    <t>Despesa efetiva do último ano e a diferença percentual em relação á previsão</t>
  </si>
  <si>
    <t>MPI</t>
  </si>
  <si>
    <t>MDA</t>
  </si>
  <si>
    <t>MDS</t>
  </si>
  <si>
    <t>MIR</t>
  </si>
  <si>
    <t>MMUL</t>
  </si>
  <si>
    <t>MGI</t>
  </si>
  <si>
    <t>MPO</t>
  </si>
  <si>
    <t>MDIC</t>
  </si>
  <si>
    <t>MEMP</t>
  </si>
  <si>
    <t>INPI</t>
  </si>
  <si>
    <t>SUFRAMA</t>
  </si>
  <si>
    <t>MF</t>
  </si>
  <si>
    <t>RFB</t>
  </si>
  <si>
    <t>PGFN</t>
  </si>
  <si>
    <t>CARF</t>
  </si>
  <si>
    <t>492464-9</t>
  </si>
  <si>
    <t>A</t>
  </si>
  <si>
    <t>AS - Sistema Subterrâneo</t>
  </si>
  <si>
    <t>N/A</t>
  </si>
  <si>
    <t>Acima de 10.000</t>
  </si>
  <si>
    <t>Fora de Ponta</t>
  </si>
  <si>
    <t>CUSD</t>
  </si>
  <si>
    <t>Ilum. Pública</t>
  </si>
  <si>
    <t>Demanda</t>
  </si>
  <si>
    <t>Bloco K - Med 1</t>
  </si>
  <si>
    <t>493166-1</t>
  </si>
  <si>
    <t>Bloco K - Med 2</t>
  </si>
  <si>
    <t>492469-X</t>
  </si>
  <si>
    <t>491613-1</t>
  </si>
  <si>
    <t>Ed. Órgãos Regionais</t>
  </si>
  <si>
    <t>492449-5</t>
  </si>
  <si>
    <t>SEPN 516 - SOF</t>
  </si>
  <si>
    <t>493201-3</t>
  </si>
  <si>
    <t>SUBTOTAL LOTE 01</t>
  </si>
  <si>
    <t>492451-7</t>
  </si>
  <si>
    <t>492425-8</t>
  </si>
  <si>
    <t>Ed. Órgãos Centrais</t>
  </si>
  <si>
    <t xml:space="preserve"> 527316-1</t>
  </si>
  <si>
    <t>1.217.752-0
2066819-8</t>
  </si>
  <si>
    <t>Acima de 10.001</t>
  </si>
  <si>
    <t>SUBTOTAL LOTE 02</t>
  </si>
  <si>
    <t>TOTAL</t>
  </si>
  <si>
    <t>B</t>
  </si>
  <si>
    <t>B3 - Demais Classes</t>
  </si>
  <si>
    <t>Contrato de Adesão</t>
  </si>
  <si>
    <t>Órgão Cliente</t>
  </si>
  <si>
    <t>Valor de Rateio Mensal</t>
  </si>
  <si>
    <t>Valor de Rateio Anual</t>
  </si>
  <si>
    <t>(1)</t>
  </si>
  <si>
    <t>https://www.gov.br/aneel/pt-br/assuntos/tarifas/bandeiras-tarifarias</t>
  </si>
  <si>
    <t>(2)</t>
  </si>
  <si>
    <t>TUSD - tarifa de uso do sistema de distribuição</t>
  </si>
  <si>
    <t>(3)</t>
  </si>
  <si>
    <t>TE - tarifa de energia</t>
  </si>
  <si>
    <t>(4)</t>
  </si>
  <si>
    <t>CIP - Contribuição de Iluminação Pública</t>
  </si>
  <si>
    <t>(5)</t>
  </si>
  <si>
    <t>Definido pelo Art 2°, XXIII e XXIV da RESOLUÇÃO NORMATIVA ANEEL Nº 1.000, DE 7 DE DEZEMBRO DE 2021 (https://www2.aneel.gov.br/cedoc/ren20211000.pdf)</t>
  </si>
  <si>
    <t>BLOCO C</t>
  </si>
  <si>
    <t>BLOCO F</t>
  </si>
  <si>
    <t>BLOCO J</t>
  </si>
  <si>
    <t>BLOCO K</t>
  </si>
  <si>
    <t>BLOCO P</t>
  </si>
  <si>
    <t>ANEXO F</t>
  </si>
  <si>
    <t>ANEXO O</t>
  </si>
  <si>
    <t>ANEXO P</t>
  </si>
  <si>
    <t>ALVORADA</t>
  </si>
  <si>
    <t>ÓRGÃOS CENTRAIS</t>
  </si>
  <si>
    <t>ÓRGÃOS REGIONAIS</t>
  </si>
  <si>
    <t>516 NORTE - SOF</t>
  </si>
  <si>
    <t>ALFÂNDEGA AEROPORTO</t>
  </si>
  <si>
    <t>RFB - SIA Trecho 6</t>
  </si>
  <si>
    <t>Edifício Garagem</t>
  </si>
  <si>
    <t>Depósito SUCAD</t>
  </si>
  <si>
    <t>CERET - SIA Trecho 3</t>
  </si>
  <si>
    <t>Arquivo SIG</t>
  </si>
  <si>
    <t>Arquivo SGON Q01</t>
  </si>
  <si>
    <t>DNIT</t>
  </si>
  <si>
    <t>Área de trabalho Privativa</t>
  </si>
  <si>
    <t>Percentual de ocupação</t>
  </si>
  <si>
    <t>Área privativa total do edifício</t>
  </si>
  <si>
    <t>MTE</t>
  </si>
  <si>
    <t>MPS</t>
  </si>
  <si>
    <t>MDHC</t>
  </si>
  <si>
    <t> </t>
  </si>
  <si>
    <t>MESP</t>
  </si>
  <si>
    <t>MTUR</t>
  </si>
  <si>
    <t>MPOR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</si>
</sst>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8" formatCode="&quot;R$&quot;\ #,##0.00;[Red]\-&quot;R$&quot;\ #,##0.00"/>
    <numFmt numFmtId="43" formatCode="_-* #,##0.00_-;\-* #,##0.00_-;_-* &quot;-&quot;??_-;_-@_-"/>
    <numFmt numFmtId="164" formatCode="_-* #,##0_-;\-* #,##0_-;_-* &quot;-&quot;??_-;_-@_-"/>
    <numFmt numFmtId="165" formatCode="_-[$R$-416]\ * #,##0.0000000_-;\-[$R$-416]\ * #,##0.0000000_-;_-[$R$-416]\ * &quot;-&quot;??_-;_-@_-"/>
    <numFmt numFmtId="166" formatCode="yyyy"/>
    <numFmt numFmtId="167" formatCode="dd/mm/yy;@"/>
    <numFmt numFmtId="168" formatCode="_-* #,##0.0000000_-;\-* #,##0.0000000_-;_-* &quot;-&quot;??_-;_-@_-"/>
    <numFmt numFmtId="169" formatCode="_-* #,##0.00000000_-;\-* #,##0.00000000_-;_-* &quot;-&quot;??_-;_-@_-"/>
    <numFmt numFmtId="170" formatCode="0.0000000"/>
    <numFmt numFmtId="171" formatCode="_-* #,##0.00_-;\-* #,##0.00_-;_-* &quot;-&quot;???????_-;_-@_-"/>
    <numFmt numFmtId="172" formatCode="_-* #,##0.000_-;\-* #,##0.000_-;_-* &quot;-&quot;??_-;_-@_-"/>
    <numFmt numFmtId="173" formatCode="0.0%"/>
    <numFmt numFmtId="174" formatCode="_-[$R$-416]\ * #,##0.00_-;\-[$R$-416]\ * #,##0.00_-;_-[$R$-416]\ * &quot;-&quot;??_-;_-@_-"/>
  </numFmts>
  <fonts count="29">
    <font>
      <sz val="11"/>
      <color theme="1"/>
      <name val="Aptos Narrow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1"/>
      <color theme="1"/>
      <name val="Aptos Narrow"/>
      <family val="2"/>
      <scheme val="minor"/>
    </font>
    <font>
      <sz val="11"/>
      <name val="Aptos Narrow"/>
      <family val="2"/>
      <scheme val="minor"/>
    </font>
    <font>
      <sz val="11"/>
      <name val="Calibri"/>
      <family val="2"/>
    </font>
    <font>
      <sz val="8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8"/>
      <color theme="1"/>
      <name val="Arial"/>
      <family val="2"/>
    </font>
    <font>
      <sz val="8"/>
      <color rgb="FFC00000"/>
      <name val="Arial"/>
      <family val="2"/>
    </font>
    <font>
      <sz val="8"/>
      <color rgb="FFFF0000"/>
      <name val="Arial"/>
      <family val="2"/>
    </font>
    <font>
      <sz val="8"/>
      <name val="Arial"/>
      <family val="2"/>
    </font>
    <font>
      <sz val="8"/>
      <color theme="0"/>
      <name val="Arial"/>
      <family val="2"/>
    </font>
    <font>
      <sz val="8"/>
      <color rgb="FFCC0000"/>
      <name val="Arial"/>
      <family val="2"/>
    </font>
    <font>
      <b/>
      <sz val="8"/>
      <color theme="1"/>
      <name val="Arial"/>
      <family val="2"/>
    </font>
    <font>
      <b/>
      <sz val="8"/>
      <color rgb="FFCC0000"/>
      <name val="Arial"/>
      <family val="2"/>
    </font>
    <font>
      <b/>
      <sz val="8"/>
      <color rgb="FFFF0000"/>
      <name val="Arial"/>
      <family val="2"/>
    </font>
    <font>
      <sz val="11"/>
      <color theme="0"/>
      <name val="Aptos Narrow"/>
      <family val="2"/>
      <scheme val="minor"/>
    </font>
    <font>
      <sz val="8"/>
      <color theme="1"/>
      <name val="Aptos Narrow"/>
      <family val="2"/>
      <scheme val="minor"/>
    </font>
    <font>
      <sz val="11"/>
      <color theme="0"/>
      <name val="Arial"/>
      <family val="2"/>
    </font>
    <font>
      <sz val="7"/>
      <color theme="1"/>
      <name val="Arial"/>
      <family val="2"/>
    </font>
    <font>
      <sz val="10"/>
      <color rgb="FFFFFFFF"/>
      <name val="Arial"/>
    </font>
    <font>
      <sz val="10"/>
      <color rgb="FF000000"/>
      <name val="Arial"/>
    </font>
    <font>
      <sz val="9"/>
      <color rgb="FF000000"/>
      <name val="Arial"/>
    </font>
    <font>
      <sz val="11"/>
      <color rgb="FFFFFFFF"/>
      <name val="Arial"/>
      <family val="2"/>
    </font>
    <font>
      <b/>
      <sz val="11"/>
      <color rgb="FFFF0000"/>
      <name val="Calibri"/>
      <family val="2"/>
    </font>
    <font>
      <sz val="10"/>
      <color rgb="FF000000"/>
      <name val="Arial"/>
      <family val="2"/>
    </font>
    <font>
      <b/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</fonts>
  <fills count="27">
    <fill>
      <patternFill patternType="none"/>
    </fill>
    <fill>
      <patternFill patternType="gray125"/>
    </fill>
    <fill>
      <patternFill patternType="solid">
        <fgColor rgb="FFBDBDBD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E599"/>
        <bgColor indexed="64"/>
      </patternFill>
    </fill>
    <fill>
      <patternFill patternType="solid">
        <fgColor rgb="FFF3F3F3"/>
        <bgColor indexed="64"/>
      </patternFill>
    </fill>
    <fill>
      <patternFill patternType="solid">
        <fgColor rgb="FFE6B8AF"/>
        <bgColor indexed="64"/>
      </patternFill>
    </fill>
    <fill>
      <patternFill patternType="solid">
        <fgColor rgb="FFF4CCCC"/>
        <bgColor indexed="64"/>
      </patternFill>
    </fill>
    <fill>
      <patternFill patternType="solid">
        <fgColor rgb="FFEFEFEF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EF8E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980000"/>
        <bgColor rgb="FF980000"/>
      </patternFill>
    </fill>
    <fill>
      <patternFill patternType="solid">
        <fgColor theme="0" tint="-0.14999847407452621"/>
        <bgColor rgb="FFCCCCCC"/>
      </patternFill>
    </fill>
    <fill>
      <patternFill patternType="solid">
        <fgColor theme="1" tint="0.499984740745262"/>
        <bgColor rgb="FF0B5394"/>
      </patternFill>
    </fill>
    <fill>
      <patternFill patternType="solid">
        <fgColor rgb="FFFFE8E7"/>
        <bgColor indexed="64"/>
      </patternFill>
    </fill>
    <fill>
      <patternFill patternType="solid">
        <fgColor theme="0" tint="-0.499984740745262"/>
        <bgColor indexed="64"/>
      </patternFill>
    </fill>
  </fills>
  <borders count="59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/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/>
      <right/>
      <top style="medium">
        <color rgb="FFFFFFFF"/>
      </top>
      <bottom style="medium">
        <color rgb="FFFFFFFF"/>
      </bottom>
      <diagonal/>
    </border>
    <border>
      <left/>
      <right style="medium">
        <color rgb="FFFFFFFF"/>
      </right>
      <top/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/>
      <bottom style="medium">
        <color rgb="FFFFFFFF"/>
      </bottom>
      <diagonal/>
    </border>
    <border>
      <left style="medium">
        <color rgb="FFFFFFFF"/>
      </left>
      <right/>
      <top style="medium">
        <color rgb="FFFFFFFF"/>
      </top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/>
      <diagonal/>
    </border>
    <border>
      <left style="medium">
        <color rgb="FF666666"/>
      </left>
      <right style="medium">
        <color rgb="FF666666"/>
      </right>
      <top style="medium">
        <color rgb="FFFFFFFF"/>
      </top>
      <bottom style="medium">
        <color rgb="FFFFFFFF"/>
      </bottom>
      <diagonal/>
    </border>
    <border>
      <left style="medium">
        <color rgb="FF666666"/>
      </left>
      <right style="medium">
        <color rgb="FF666666"/>
      </right>
      <top/>
      <bottom style="medium">
        <color rgb="FFFFFFFF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FFFFFF"/>
      </bottom>
      <diagonal/>
    </border>
    <border>
      <left style="medium">
        <color rgb="FFFFFFFF"/>
      </left>
      <right/>
      <top/>
      <bottom style="medium">
        <color rgb="FFFFFFFF"/>
      </bottom>
      <diagonal/>
    </border>
    <border>
      <left style="medium">
        <color rgb="FF666666"/>
      </left>
      <right style="medium">
        <color rgb="FFFFFFFF"/>
      </right>
      <top/>
      <bottom style="medium">
        <color rgb="FFFFFFFF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14996795556505021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14996795556505021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 style="thin">
        <color theme="0" tint="-0.499984740745262"/>
      </right>
      <top/>
      <bottom style="thin">
        <color theme="0" tint="-0.14996795556505021"/>
      </bottom>
      <diagonal/>
    </border>
    <border>
      <left/>
      <right style="thin">
        <color theme="0" tint="-0.499984740745262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499984740745262"/>
      </right>
      <top style="thin">
        <color theme="0" tint="-0.14996795556505021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/>
      </top>
      <bottom/>
      <diagonal/>
    </border>
    <border>
      <left style="thin">
        <color theme="0" tint="-0.499984740745262"/>
      </left>
      <right/>
      <top/>
      <bottom/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/>
      <bottom style="medium">
        <color rgb="FFFFFFFF"/>
      </bottom>
      <diagonal/>
    </border>
    <border>
      <left style="medium">
        <color rgb="FFFFFFFF"/>
      </left>
      <right/>
      <top/>
      <bottom/>
      <diagonal/>
    </border>
    <border>
      <left style="thin">
        <color theme="0" tint="-0.499984740745262"/>
      </left>
      <right style="thin">
        <color theme="0"/>
      </right>
      <top style="thin">
        <color theme="0"/>
      </top>
      <bottom/>
      <diagonal/>
    </border>
    <border>
      <left style="thin">
        <color theme="0" tint="-0.499984740745262"/>
      </left>
      <right style="thin">
        <color theme="0"/>
      </right>
      <top/>
      <bottom/>
      <diagonal/>
    </border>
    <border>
      <left style="thin">
        <color theme="0" tint="-0.499984740745262"/>
      </left>
      <right style="thin">
        <color theme="0"/>
      </right>
      <top/>
      <bottom style="thin">
        <color theme="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999999"/>
      </bottom>
      <diagonal/>
    </border>
    <border>
      <left/>
      <right style="medium">
        <color rgb="FF999999"/>
      </right>
      <top/>
      <bottom style="medium">
        <color rgb="FF999999"/>
      </bottom>
      <diagonal/>
    </border>
    <border>
      <left/>
      <right style="medium">
        <color rgb="FF999999"/>
      </right>
      <top/>
      <bottom style="medium">
        <color rgb="FF000000"/>
      </bottom>
      <diagonal/>
    </border>
    <border>
      <left style="thin">
        <color theme="0" tint="-0.499984740745262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 style="thin">
        <color theme="0" tint="-0.499984740745262"/>
      </right>
      <top/>
      <bottom/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/>
      <right style="thin">
        <color theme="0" tint="-0.499984740745262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/>
      <diagonal/>
    </border>
    <border>
      <left/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BFBFBF"/>
      </left>
      <right style="thin">
        <color rgb="FFBFBFBF"/>
      </right>
      <top/>
      <bottom style="thin">
        <color rgb="FFBFBFBF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rgb="FFBFBFBF"/>
      </left>
      <right/>
      <top style="thin">
        <color rgb="FFBFBFBF"/>
      </top>
      <bottom style="thin">
        <color rgb="FFBFBFBF"/>
      </bottom>
      <diagonal/>
    </border>
    <border>
      <left/>
      <right/>
      <top style="thin">
        <color rgb="FFBFBFBF"/>
      </top>
      <bottom style="thin">
        <color rgb="FFBFBFBF"/>
      </bottom>
      <diagonal/>
    </border>
  </borders>
  <cellStyleXfs count="4">
    <xf numFmtId="0" fontId="0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7" fillId="0" borderId="0" applyNumberFormat="0" applyFill="0" applyBorder="0" applyAlignment="0" applyProtection="0"/>
  </cellStyleXfs>
  <cellXfs count="426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 wrapText="1"/>
    </xf>
    <xf numFmtId="165" fontId="4" fillId="0" borderId="0" xfId="1" applyNumberFormat="1" applyFont="1" applyFill="1" applyAlignment="1">
      <alignment horizontal="center" vertical="center" wrapText="1"/>
    </xf>
    <xf numFmtId="165" fontId="5" fillId="0" borderId="1" xfId="1" applyNumberFormat="1" applyFont="1" applyFill="1" applyBorder="1" applyAlignment="1">
      <alignment vertical="center" wrapText="1"/>
    </xf>
    <xf numFmtId="165" fontId="5" fillId="0" borderId="8" xfId="1" applyNumberFormat="1" applyFont="1" applyFill="1" applyBorder="1" applyAlignment="1">
      <alignment vertical="center" wrapText="1"/>
    </xf>
    <xf numFmtId="165" fontId="5" fillId="0" borderId="5" xfId="1" applyNumberFormat="1" applyFont="1" applyFill="1" applyBorder="1" applyAlignment="1">
      <alignment vertical="center" wrapText="1"/>
    </xf>
    <xf numFmtId="165" fontId="5" fillId="0" borderId="9" xfId="1" applyNumberFormat="1" applyFont="1" applyFill="1" applyBorder="1" applyAlignment="1">
      <alignment vertical="center" wrapText="1"/>
    </xf>
    <xf numFmtId="165" fontId="5" fillId="0" borderId="1" xfId="0" applyNumberFormat="1" applyFont="1" applyBorder="1" applyAlignment="1">
      <alignment wrapText="1"/>
    </xf>
    <xf numFmtId="165" fontId="5" fillId="0" borderId="5" xfId="1" applyNumberFormat="1" applyFont="1" applyFill="1" applyBorder="1" applyAlignment="1">
      <alignment horizontal="center" vertical="center" wrapText="1"/>
    </xf>
    <xf numFmtId="165" fontId="5" fillId="0" borderId="5" xfId="0" applyNumberFormat="1" applyFont="1" applyBorder="1" applyAlignment="1">
      <alignment horizontal="center" wrapText="1"/>
    </xf>
    <xf numFmtId="165" fontId="5" fillId="0" borderId="9" xfId="1" applyNumberFormat="1" applyFont="1" applyFill="1" applyBorder="1" applyAlignment="1">
      <alignment horizontal="center" vertical="center" wrapText="1"/>
    </xf>
    <xf numFmtId="165" fontId="5" fillId="0" borderId="5" xfId="1" applyNumberFormat="1" applyFont="1" applyFill="1" applyBorder="1" applyAlignment="1">
      <alignment horizontal="right" wrapText="1"/>
    </xf>
    <xf numFmtId="165" fontId="5" fillId="0" borderId="1" xfId="1" applyNumberFormat="1" applyFont="1" applyFill="1" applyBorder="1" applyAlignment="1">
      <alignment horizontal="center" vertical="center" wrapText="1"/>
    </xf>
    <xf numFmtId="165" fontId="5" fillId="0" borderId="8" xfId="1" applyNumberFormat="1" applyFont="1" applyFill="1" applyBorder="1" applyAlignment="1">
      <alignment horizontal="center" vertical="center" wrapText="1"/>
    </xf>
    <xf numFmtId="165" fontId="5" fillId="0" borderId="1" xfId="0" applyNumberFormat="1" applyFont="1" applyBorder="1" applyAlignment="1">
      <alignment horizontal="center" wrapText="1"/>
    </xf>
    <xf numFmtId="165" fontId="5" fillId="0" borderId="10" xfId="1" applyNumberFormat="1" applyFont="1" applyFill="1" applyBorder="1" applyAlignment="1">
      <alignment horizontal="center" vertical="center" wrapText="1"/>
    </xf>
    <xf numFmtId="165" fontId="5" fillId="0" borderId="4" xfId="0" applyNumberFormat="1" applyFont="1" applyBorder="1" applyAlignment="1">
      <alignment horizontal="center" wrapText="1"/>
    </xf>
    <xf numFmtId="165" fontId="5" fillId="0" borderId="5" xfId="0" applyNumberFormat="1" applyFont="1" applyBorder="1" applyAlignment="1">
      <alignment wrapText="1"/>
    </xf>
    <xf numFmtId="166" fontId="0" fillId="0" borderId="0" xfId="0" applyNumberFormat="1" applyAlignment="1">
      <alignment horizontal="center" vertical="center" wrapText="1"/>
    </xf>
    <xf numFmtId="167" fontId="0" fillId="0" borderId="0" xfId="0" applyNumberFormat="1" applyAlignment="1">
      <alignment horizontal="center" vertical="center" wrapText="1"/>
    </xf>
    <xf numFmtId="167" fontId="1" fillId="0" borderId="1" xfId="0" applyNumberFormat="1" applyFont="1" applyBorder="1" applyAlignment="1">
      <alignment horizontal="center" vertical="center" wrapText="1"/>
    </xf>
    <xf numFmtId="167" fontId="1" fillId="0" borderId="5" xfId="0" applyNumberFormat="1" applyFont="1" applyBorder="1" applyAlignment="1">
      <alignment horizontal="center" vertical="center" wrapText="1"/>
    </xf>
    <xf numFmtId="167" fontId="1" fillId="11" borderId="1" xfId="0" applyNumberFormat="1" applyFont="1" applyFill="1" applyBorder="1" applyAlignment="1">
      <alignment horizontal="center" vertical="center" wrapText="1"/>
    </xf>
    <xf numFmtId="167" fontId="1" fillId="11" borderId="5" xfId="0" applyNumberFormat="1" applyFont="1" applyFill="1" applyBorder="1" applyAlignment="1">
      <alignment horizontal="center" vertical="center" wrapText="1"/>
    </xf>
    <xf numFmtId="165" fontId="5" fillId="0" borderId="1" xfId="1" applyNumberFormat="1" applyFont="1" applyFill="1" applyBorder="1" applyAlignment="1">
      <alignment horizontal="right" wrapText="1"/>
    </xf>
    <xf numFmtId="165" fontId="5" fillId="0" borderId="0" xfId="0" applyNumberFormat="1" applyFont="1" applyAlignment="1">
      <alignment horizontal="center" wrapText="1"/>
    </xf>
    <xf numFmtId="165" fontId="4" fillId="0" borderId="5" xfId="1" applyNumberFormat="1" applyFont="1" applyFill="1" applyBorder="1" applyAlignment="1">
      <alignment horizontal="center" vertical="center" wrapText="1"/>
    </xf>
    <xf numFmtId="165" fontId="4" fillId="11" borderId="0" xfId="1" applyNumberFormat="1" applyFont="1" applyFill="1" applyAlignment="1">
      <alignment horizontal="center" vertical="center" wrapText="1"/>
    </xf>
    <xf numFmtId="0" fontId="0" fillId="0" borderId="13" xfId="0" applyBorder="1"/>
    <xf numFmtId="0" fontId="1" fillId="18" borderId="13" xfId="0" applyFont="1" applyFill="1" applyBorder="1" applyAlignment="1">
      <alignment horizontal="center" vertical="center" wrapText="1"/>
    </xf>
    <xf numFmtId="0" fontId="0" fillId="0" borderId="14" xfId="0" applyBorder="1"/>
    <xf numFmtId="0" fontId="0" fillId="0" borderId="16" xfId="0" applyBorder="1"/>
    <xf numFmtId="167" fontId="0" fillId="0" borderId="0" xfId="1" applyNumberFormat="1" applyFont="1"/>
    <xf numFmtId="0" fontId="0" fillId="0" borderId="13" xfId="0" applyBorder="1" applyAlignment="1">
      <alignment vertical="center"/>
    </xf>
    <xf numFmtId="0" fontId="0" fillId="0" borderId="16" xfId="0" applyBorder="1" applyAlignment="1">
      <alignment vertical="center"/>
    </xf>
    <xf numFmtId="43" fontId="0" fillId="0" borderId="13" xfId="1" applyFont="1" applyBorder="1"/>
    <xf numFmtId="43" fontId="0" fillId="0" borderId="16" xfId="1" applyFont="1" applyBorder="1"/>
    <xf numFmtId="168" fontId="0" fillId="0" borderId="13" xfId="1" applyNumberFormat="1" applyFont="1" applyBorder="1"/>
    <xf numFmtId="168" fontId="0" fillId="0" borderId="16" xfId="1" applyNumberFormat="1" applyFont="1" applyBorder="1"/>
    <xf numFmtId="14" fontId="1" fillId="10" borderId="1" xfId="0" applyNumberFormat="1" applyFont="1" applyFill="1" applyBorder="1" applyAlignment="1">
      <alignment horizontal="center" vertical="center" wrapText="1"/>
    </xf>
    <xf numFmtId="14" fontId="1" fillId="9" borderId="5" xfId="0" applyNumberFormat="1" applyFont="1" applyFill="1" applyBorder="1" applyAlignment="1">
      <alignment horizontal="center" vertical="center" wrapText="1"/>
    </xf>
    <xf numFmtId="8" fontId="1" fillId="19" borderId="5" xfId="0" applyNumberFormat="1" applyFont="1" applyFill="1" applyBorder="1" applyAlignment="1">
      <alignment horizontal="center" vertical="center" wrapText="1"/>
    </xf>
    <xf numFmtId="8" fontId="1" fillId="5" borderId="5" xfId="0" applyNumberFormat="1" applyFont="1" applyFill="1" applyBorder="1" applyAlignment="1">
      <alignment horizontal="center" vertical="center" wrapText="1"/>
    </xf>
    <xf numFmtId="165" fontId="0" fillId="0" borderId="0" xfId="1" applyNumberFormat="1" applyFont="1"/>
    <xf numFmtId="165" fontId="1" fillId="5" borderId="1" xfId="1" applyNumberFormat="1" applyFont="1" applyFill="1" applyBorder="1" applyAlignment="1">
      <alignment horizontal="center" vertical="center" wrapText="1"/>
    </xf>
    <xf numFmtId="165" fontId="1" fillId="19" borderId="5" xfId="1" applyNumberFormat="1" applyFont="1" applyFill="1" applyBorder="1" applyAlignment="1">
      <alignment horizontal="center" vertical="center" wrapText="1"/>
    </xf>
    <xf numFmtId="165" fontId="1" fillId="5" borderId="5" xfId="1" applyNumberFormat="1" applyFont="1" applyFill="1" applyBorder="1" applyAlignment="1">
      <alignment horizontal="center" vertical="center" wrapText="1"/>
    </xf>
    <xf numFmtId="165" fontId="1" fillId="19" borderId="5" xfId="1" applyNumberFormat="1" applyFont="1" applyFill="1" applyBorder="1" applyAlignment="1">
      <alignment vertical="center" wrapText="1"/>
    </xf>
    <xf numFmtId="165" fontId="1" fillId="5" borderId="5" xfId="1" applyNumberFormat="1" applyFont="1" applyFill="1" applyBorder="1" applyAlignment="1">
      <alignment vertical="center" wrapText="1"/>
    </xf>
    <xf numFmtId="8" fontId="1" fillId="19" borderId="1" xfId="0" applyNumberFormat="1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2" fontId="0" fillId="0" borderId="19" xfId="0" applyNumberFormat="1" applyBorder="1" applyAlignment="1">
      <alignment horizontal="right" vertical="center" wrapText="1"/>
    </xf>
    <xf numFmtId="2" fontId="0" fillId="0" borderId="17" xfId="0" applyNumberFormat="1" applyBorder="1" applyAlignment="1">
      <alignment horizontal="right" vertical="center" wrapText="1"/>
    </xf>
    <xf numFmtId="2" fontId="0" fillId="0" borderId="18" xfId="0" applyNumberFormat="1" applyBorder="1" applyAlignment="1">
      <alignment horizontal="right" vertical="center" wrapText="1"/>
    </xf>
    <xf numFmtId="0" fontId="0" fillId="20" borderId="13" xfId="0" applyFill="1" applyBorder="1" applyAlignment="1">
      <alignment horizontal="center" vertical="center" wrapText="1"/>
    </xf>
    <xf numFmtId="2" fontId="0" fillId="0" borderId="24" xfId="0" applyNumberFormat="1" applyBorder="1" applyAlignment="1">
      <alignment horizontal="right" vertical="center" wrapText="1"/>
    </xf>
    <xf numFmtId="2" fontId="0" fillId="0" borderId="25" xfId="0" applyNumberFormat="1" applyBorder="1" applyAlignment="1">
      <alignment horizontal="right" vertical="center" wrapText="1"/>
    </xf>
    <xf numFmtId="2" fontId="0" fillId="0" borderId="26" xfId="0" applyNumberFormat="1" applyBorder="1" applyAlignment="1">
      <alignment horizontal="right" vertical="center" wrapText="1"/>
    </xf>
    <xf numFmtId="0" fontId="0" fillId="20" borderId="15" xfId="0" applyFill="1" applyBorder="1" applyAlignment="1">
      <alignment horizontal="center" vertical="center" wrapText="1"/>
    </xf>
    <xf numFmtId="0" fontId="0" fillId="0" borderId="13" xfId="0" quotePrefix="1" applyBorder="1" applyAlignment="1">
      <alignment horizontal="right"/>
    </xf>
    <xf numFmtId="0" fontId="0" fillId="0" borderId="13" xfId="0" applyBorder="1" applyAlignment="1">
      <alignment vertical="center" wrapText="1"/>
    </xf>
    <xf numFmtId="0" fontId="0" fillId="0" borderId="16" xfId="0" applyBorder="1" applyAlignment="1">
      <alignment vertical="center" wrapText="1"/>
    </xf>
    <xf numFmtId="0" fontId="7" fillId="0" borderId="13" xfId="3" applyBorder="1" applyAlignment="1">
      <alignment vertical="center" wrapText="1"/>
    </xf>
    <xf numFmtId="14" fontId="1" fillId="10" borderId="5" xfId="0" applyNumberFormat="1" applyFont="1" applyFill="1" applyBorder="1" applyAlignment="1">
      <alignment horizontal="center" vertical="center" wrapText="1"/>
    </xf>
    <xf numFmtId="14" fontId="1" fillId="9" borderId="1" xfId="0" applyNumberFormat="1" applyFont="1" applyFill="1" applyBorder="1" applyAlignment="1">
      <alignment horizontal="center" vertical="center" wrapText="1"/>
    </xf>
    <xf numFmtId="165" fontId="1" fillId="5" borderId="0" xfId="1" applyNumberFormat="1" applyFont="1" applyFill="1" applyBorder="1" applyAlignment="1">
      <alignment horizontal="center" vertical="center" wrapText="1"/>
    </xf>
    <xf numFmtId="165" fontId="1" fillId="19" borderId="1" xfId="1" applyNumberFormat="1" applyFont="1" applyFill="1" applyBorder="1" applyAlignment="1">
      <alignment horizontal="center" vertical="center" wrapText="1"/>
    </xf>
    <xf numFmtId="165" fontId="0" fillId="0" borderId="5" xfId="1" applyNumberFormat="1" applyFont="1" applyBorder="1"/>
    <xf numFmtId="165" fontId="1" fillId="5" borderId="1" xfId="1" applyNumberFormat="1" applyFont="1" applyFill="1" applyBorder="1" applyAlignment="1">
      <alignment vertical="center" wrapText="1"/>
    </xf>
    <xf numFmtId="165" fontId="1" fillId="19" borderId="0" xfId="1" applyNumberFormat="1" applyFont="1" applyFill="1" applyBorder="1" applyAlignment="1">
      <alignment horizontal="center" vertical="center" wrapText="1"/>
    </xf>
    <xf numFmtId="165" fontId="1" fillId="19" borderId="5" xfId="1" applyNumberFormat="1" applyFont="1" applyFill="1" applyBorder="1" applyAlignment="1">
      <alignment horizontal="right" wrapText="1"/>
    </xf>
    <xf numFmtId="165" fontId="1" fillId="5" borderId="4" xfId="1" applyNumberFormat="1" applyFont="1" applyFill="1" applyBorder="1" applyAlignment="1">
      <alignment horizontal="center" vertical="center" wrapText="1"/>
    </xf>
    <xf numFmtId="0" fontId="8" fillId="0" borderId="0" xfId="0" applyFont="1"/>
    <xf numFmtId="0" fontId="8" fillId="0" borderId="0" xfId="0" applyFont="1" applyAlignment="1">
      <alignment wrapText="1"/>
    </xf>
    <xf numFmtId="0" fontId="8" fillId="9" borderId="1" xfId="0" applyFont="1" applyFill="1" applyBorder="1" applyAlignment="1">
      <alignment horizontal="center" wrapText="1"/>
    </xf>
    <xf numFmtId="14" fontId="8" fillId="9" borderId="0" xfId="0" applyNumberFormat="1" applyFont="1" applyFill="1" applyAlignment="1">
      <alignment horizontal="center" wrapText="1"/>
    </xf>
    <xf numFmtId="0" fontId="8" fillId="13" borderId="0" xfId="0" applyFont="1" applyFill="1" applyAlignment="1">
      <alignment horizontal="center" vertical="center" wrapText="1"/>
    </xf>
    <xf numFmtId="0" fontId="8" fillId="13" borderId="0" xfId="0" applyFont="1" applyFill="1" applyAlignment="1">
      <alignment horizontal="center" wrapText="1"/>
    </xf>
    <xf numFmtId="0" fontId="9" fillId="13" borderId="0" xfId="0" applyFont="1" applyFill="1" applyAlignment="1">
      <alignment horizontal="center" wrapText="1"/>
    </xf>
    <xf numFmtId="0" fontId="9" fillId="12" borderId="1" xfId="0" applyFont="1" applyFill="1" applyBorder="1" applyAlignment="1">
      <alignment horizontal="center" wrapText="1"/>
    </xf>
    <xf numFmtId="0" fontId="8" fillId="12" borderId="1" xfId="0" applyFont="1" applyFill="1" applyBorder="1" applyAlignment="1">
      <alignment horizontal="center" wrapText="1"/>
    </xf>
    <xf numFmtId="0" fontId="8" fillId="9" borderId="5" xfId="0" applyFont="1" applyFill="1" applyBorder="1" applyAlignment="1">
      <alignment horizontal="center" wrapText="1"/>
    </xf>
    <xf numFmtId="0" fontId="8" fillId="13" borderId="1" xfId="0" applyFont="1" applyFill="1" applyBorder="1" applyAlignment="1">
      <alignment horizontal="center" vertical="center" wrapText="1"/>
    </xf>
    <xf numFmtId="0" fontId="8" fillId="13" borderId="1" xfId="0" applyFont="1" applyFill="1" applyBorder="1" applyAlignment="1">
      <alignment horizontal="center" wrapText="1"/>
    </xf>
    <xf numFmtId="0" fontId="8" fillId="13" borderId="0" xfId="0" applyFont="1" applyFill="1" applyAlignment="1">
      <alignment vertical="center" wrapText="1"/>
    </xf>
    <xf numFmtId="0" fontId="9" fillId="12" borderId="5" xfId="0" applyFont="1" applyFill="1" applyBorder="1" applyAlignment="1">
      <alignment horizontal="center" wrapText="1"/>
    </xf>
    <xf numFmtId="0" fontId="8" fillId="12" borderId="5" xfId="0" applyFont="1" applyFill="1" applyBorder="1" applyAlignment="1">
      <alignment wrapText="1"/>
    </xf>
    <xf numFmtId="0" fontId="8" fillId="13" borderId="5" xfId="0" applyFont="1" applyFill="1" applyBorder="1" applyAlignment="1">
      <alignment horizontal="center" vertical="center" wrapText="1"/>
    </xf>
    <xf numFmtId="0" fontId="8" fillId="13" borderId="5" xfId="0" applyFont="1" applyFill="1" applyBorder="1" applyAlignment="1">
      <alignment horizontal="center" wrapText="1"/>
    </xf>
    <xf numFmtId="0" fontId="8" fillId="12" borderId="0" xfId="0" applyFont="1" applyFill="1" applyAlignment="1">
      <alignment horizontal="center" wrapText="1"/>
    </xf>
    <xf numFmtId="0" fontId="8" fillId="12" borderId="5" xfId="0" applyFont="1" applyFill="1" applyBorder="1" applyAlignment="1">
      <alignment horizontal="center" wrapText="1"/>
    </xf>
    <xf numFmtId="0" fontId="9" fillId="13" borderId="1" xfId="0" applyFont="1" applyFill="1" applyBorder="1" applyAlignment="1">
      <alignment horizontal="center" wrapText="1"/>
    </xf>
    <xf numFmtId="0" fontId="9" fillId="13" borderId="5" xfId="0" applyFont="1" applyFill="1" applyBorder="1" applyAlignment="1">
      <alignment horizontal="center" vertical="center" wrapText="1"/>
    </xf>
    <xf numFmtId="0" fontId="8" fillId="13" borderId="5" xfId="0" applyFont="1" applyFill="1" applyBorder="1" applyAlignment="1">
      <alignment wrapText="1"/>
    </xf>
    <xf numFmtId="0" fontId="9" fillId="13" borderId="5" xfId="0" applyFont="1" applyFill="1" applyBorder="1" applyAlignment="1">
      <alignment wrapText="1"/>
    </xf>
    <xf numFmtId="0" fontId="8" fillId="12" borderId="1" xfId="0" applyFont="1" applyFill="1" applyBorder="1" applyAlignment="1">
      <alignment horizontal="center" vertical="center" wrapText="1"/>
    </xf>
    <xf numFmtId="0" fontId="8" fillId="12" borderId="5" xfId="0" applyFont="1" applyFill="1" applyBorder="1" applyAlignment="1">
      <alignment horizontal="center" vertical="center" wrapText="1"/>
    </xf>
    <xf numFmtId="0" fontId="8" fillId="10" borderId="5" xfId="0" applyFont="1" applyFill="1" applyBorder="1" applyAlignment="1">
      <alignment horizontal="center" wrapText="1"/>
    </xf>
    <xf numFmtId="14" fontId="8" fillId="10" borderId="0" xfId="0" applyNumberFormat="1" applyFont="1" applyFill="1" applyAlignment="1">
      <alignment horizontal="center" wrapText="1"/>
    </xf>
    <xf numFmtId="0" fontId="9" fillId="13" borderId="5" xfId="0" applyFont="1" applyFill="1" applyBorder="1" applyAlignment="1">
      <alignment horizontal="center" wrapText="1"/>
    </xf>
    <xf numFmtId="0" fontId="8" fillId="14" borderId="0" xfId="0" applyFont="1" applyFill="1" applyAlignment="1">
      <alignment vertical="center" wrapText="1"/>
    </xf>
    <xf numFmtId="0" fontId="8" fillId="12" borderId="0" xfId="0" applyFont="1" applyFill="1" applyAlignment="1">
      <alignment horizontal="center" vertical="center" wrapText="1"/>
    </xf>
    <xf numFmtId="0" fontId="9" fillId="12" borderId="5" xfId="0" applyFont="1" applyFill="1" applyBorder="1" applyAlignment="1">
      <alignment vertical="center" wrapText="1"/>
    </xf>
    <xf numFmtId="0" fontId="9" fillId="12" borderId="5" xfId="0" applyFont="1" applyFill="1" applyBorder="1" applyAlignment="1">
      <alignment wrapText="1"/>
    </xf>
    <xf numFmtId="0" fontId="8" fillId="10" borderId="1" xfId="0" applyFont="1" applyFill="1" applyBorder="1" applyAlignment="1">
      <alignment horizontal="center" wrapText="1"/>
    </xf>
    <xf numFmtId="0" fontId="9" fillId="12" borderId="5" xfId="0" applyFont="1" applyFill="1" applyBorder="1" applyAlignment="1">
      <alignment horizontal="center" vertical="center" wrapText="1"/>
    </xf>
    <xf numFmtId="0" fontId="8" fillId="13" borderId="1" xfId="0" applyFont="1" applyFill="1" applyBorder="1" applyAlignment="1">
      <alignment wrapText="1"/>
    </xf>
    <xf numFmtId="0" fontId="9" fillId="12" borderId="1" xfId="0" applyFont="1" applyFill="1" applyBorder="1" applyAlignment="1">
      <alignment horizontal="center" vertical="center" wrapText="1"/>
    </xf>
    <xf numFmtId="0" fontId="8" fillId="13" borderId="1" xfId="0" applyFont="1" applyFill="1" applyBorder="1" applyAlignment="1">
      <alignment vertical="center" wrapText="1"/>
    </xf>
    <xf numFmtId="0" fontId="8" fillId="0" borderId="5" xfId="0" applyFont="1" applyBorder="1"/>
    <xf numFmtId="0" fontId="8" fillId="14" borderId="5" xfId="0" applyFont="1" applyFill="1" applyBorder="1" applyAlignment="1">
      <alignment vertical="center" wrapText="1"/>
    </xf>
    <xf numFmtId="0" fontId="10" fillId="12" borderId="5" xfId="0" applyFont="1" applyFill="1" applyBorder="1" applyAlignment="1">
      <alignment horizontal="center" wrapText="1"/>
    </xf>
    <xf numFmtId="0" fontId="8" fillId="12" borderId="5" xfId="0" applyFont="1" applyFill="1" applyBorder="1" applyAlignment="1">
      <alignment vertical="center" wrapText="1"/>
    </xf>
    <xf numFmtId="0" fontId="8" fillId="13" borderId="5" xfId="0" applyFont="1" applyFill="1" applyBorder="1" applyAlignment="1">
      <alignment vertical="center" wrapText="1"/>
    </xf>
    <xf numFmtId="0" fontId="8" fillId="12" borderId="1" xfId="0" applyFont="1" applyFill="1" applyBorder="1" applyAlignment="1">
      <alignment wrapText="1"/>
    </xf>
    <xf numFmtId="0" fontId="8" fillId="0" borderId="1" xfId="0" applyFont="1" applyBorder="1"/>
    <xf numFmtId="0" fontId="8" fillId="13" borderId="11" xfId="0" applyFont="1" applyFill="1" applyBorder="1" applyAlignment="1">
      <alignment horizontal="center" wrapText="1"/>
    </xf>
    <xf numFmtId="0" fontId="8" fillId="0" borderId="11" xfId="0" applyFont="1" applyBorder="1"/>
    <xf numFmtId="0" fontId="9" fillId="13" borderId="1" xfId="0" applyFont="1" applyFill="1" applyBorder="1" applyAlignment="1">
      <alignment horizontal="center" vertical="center" wrapText="1"/>
    </xf>
    <xf numFmtId="0" fontId="8" fillId="13" borderId="12" xfId="0" applyFont="1" applyFill="1" applyBorder="1" applyAlignment="1">
      <alignment horizontal="center" wrapText="1"/>
    </xf>
    <xf numFmtId="0" fontId="11" fillId="12" borderId="5" xfId="0" applyFont="1" applyFill="1" applyBorder="1" applyAlignment="1">
      <alignment horizontal="center" wrapText="1"/>
    </xf>
    <xf numFmtId="0" fontId="8" fillId="12" borderId="12" xfId="0" applyFont="1" applyFill="1" applyBorder="1" applyAlignment="1">
      <alignment horizontal="center" wrapText="1"/>
    </xf>
    <xf numFmtId="0" fontId="8" fillId="0" borderId="5" xfId="0" applyFont="1" applyBorder="1" applyAlignment="1">
      <alignment horizontal="center" wrapText="1"/>
    </xf>
    <xf numFmtId="14" fontId="8" fillId="0" borderId="0" xfId="0" applyNumberFormat="1" applyFont="1"/>
    <xf numFmtId="14" fontId="8" fillId="0" borderId="0" xfId="0" applyNumberFormat="1" applyFont="1" applyAlignment="1">
      <alignment wrapText="1"/>
    </xf>
    <xf numFmtId="43" fontId="8" fillId="0" borderId="0" xfId="1" applyFont="1"/>
    <xf numFmtId="43" fontId="8" fillId="15" borderId="0" xfId="1" applyFont="1" applyFill="1"/>
    <xf numFmtId="43" fontId="8" fillId="0" borderId="0" xfId="1" applyFont="1" applyFill="1"/>
    <xf numFmtId="43" fontId="8" fillId="11" borderId="0" xfId="1" applyFont="1" applyFill="1"/>
    <xf numFmtId="10" fontId="8" fillId="0" borderId="0" xfId="2" applyNumberFormat="1" applyFont="1"/>
    <xf numFmtId="0" fontId="8" fillId="0" borderId="0" xfId="2" applyNumberFormat="1" applyFont="1"/>
    <xf numFmtId="0" fontId="12" fillId="16" borderId="0" xfId="2" applyNumberFormat="1" applyFont="1" applyFill="1"/>
    <xf numFmtId="43" fontId="8" fillId="0" borderId="0" xfId="2" applyNumberFormat="1" applyFont="1"/>
    <xf numFmtId="43" fontId="8" fillId="0" borderId="0" xfId="2" applyNumberFormat="1" applyFont="1" applyFill="1"/>
    <xf numFmtId="43" fontId="8" fillId="15" borderId="0" xfId="2" applyNumberFormat="1" applyFont="1" applyFill="1"/>
    <xf numFmtId="43" fontId="8" fillId="0" borderId="0" xfId="0" applyNumberFormat="1" applyFont="1"/>
    <xf numFmtId="43" fontId="12" fillId="17" borderId="0" xfId="1" applyFont="1" applyFill="1" applyAlignment="1">
      <alignment horizontal="center" vertical="center"/>
    </xf>
    <xf numFmtId="0" fontId="11" fillId="0" borderId="0" xfId="0" applyFont="1"/>
    <xf numFmtId="0" fontId="11" fillId="0" borderId="0" xfId="0" applyFont="1" applyAlignment="1">
      <alignment wrapText="1"/>
    </xf>
    <xf numFmtId="9" fontId="11" fillId="0" borderId="0" xfId="2" applyFont="1" applyFill="1" applyAlignment="1">
      <alignment horizontal="center" vertical="center"/>
    </xf>
    <xf numFmtId="43" fontId="11" fillId="0" borderId="0" xfId="1" applyFont="1" applyFill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164" fontId="8" fillId="0" borderId="0" xfId="1" applyNumberFormat="1" applyFont="1"/>
    <xf numFmtId="43" fontId="8" fillId="2" borderId="2" xfId="1" applyFont="1" applyFill="1" applyBorder="1" applyAlignment="1">
      <alignment horizontal="center" vertical="center" wrapText="1"/>
    </xf>
    <xf numFmtId="43" fontId="8" fillId="2" borderId="0" xfId="1" applyFont="1" applyFill="1" applyAlignment="1">
      <alignment vertical="center" wrapText="1"/>
    </xf>
    <xf numFmtId="167" fontId="8" fillId="3" borderId="5" xfId="1" applyNumberFormat="1" applyFont="1" applyFill="1" applyBorder="1" applyAlignment="1">
      <alignment horizontal="center" vertical="center" wrapText="1"/>
    </xf>
    <xf numFmtId="43" fontId="8" fillId="3" borderId="4" xfId="1" applyFont="1" applyFill="1" applyBorder="1" applyAlignment="1">
      <alignment horizontal="center" vertical="center" wrapText="1"/>
    </xf>
    <xf numFmtId="43" fontId="8" fillId="4" borderId="0" xfId="1" applyFont="1" applyFill="1" applyAlignment="1">
      <alignment vertical="center" wrapText="1"/>
    </xf>
    <xf numFmtId="167" fontId="8" fillId="5" borderId="0" xfId="1" applyNumberFormat="1" applyFont="1" applyFill="1" applyAlignment="1">
      <alignment wrapText="1"/>
    </xf>
    <xf numFmtId="43" fontId="14" fillId="6" borderId="0" xfId="1" applyFont="1" applyFill="1" applyAlignment="1">
      <alignment horizontal="center" wrapText="1"/>
    </xf>
    <xf numFmtId="43" fontId="15" fillId="6" borderId="0" xfId="1" applyFont="1" applyFill="1" applyAlignment="1">
      <alignment horizontal="center" wrapText="1"/>
    </xf>
    <xf numFmtId="43" fontId="8" fillId="6" borderId="0" xfId="1" applyFont="1" applyFill="1" applyAlignment="1">
      <alignment wrapText="1"/>
    </xf>
    <xf numFmtId="167" fontId="8" fillId="5" borderId="0" xfId="1" applyNumberFormat="1" applyFont="1" applyFill="1" applyAlignment="1">
      <alignment horizontal="right" wrapText="1"/>
    </xf>
    <xf numFmtId="43" fontId="8" fillId="4" borderId="0" xfId="1" applyFont="1" applyFill="1" applyAlignment="1">
      <alignment horizontal="right" wrapText="1"/>
    </xf>
    <xf numFmtId="43" fontId="13" fillId="4" borderId="0" xfId="1" applyFont="1" applyFill="1" applyAlignment="1">
      <alignment horizontal="right" wrapText="1"/>
    </xf>
    <xf numFmtId="43" fontId="8" fillId="4" borderId="0" xfId="1" applyFont="1" applyFill="1" applyAlignment="1">
      <alignment wrapText="1"/>
    </xf>
    <xf numFmtId="43" fontId="8" fillId="4" borderId="0" xfId="1" applyFont="1" applyFill="1" applyAlignment="1">
      <alignment horizontal="center" wrapText="1"/>
    </xf>
    <xf numFmtId="167" fontId="8" fillId="8" borderId="0" xfId="1" applyNumberFormat="1" applyFont="1" applyFill="1" applyAlignment="1">
      <alignment horizontal="right" wrapText="1"/>
    </xf>
    <xf numFmtId="43" fontId="13" fillId="8" borderId="0" xfId="1" applyFont="1" applyFill="1" applyAlignment="1">
      <alignment horizontal="right" wrapText="1"/>
    </xf>
    <xf numFmtId="43" fontId="8" fillId="8" borderId="0" xfId="1" applyFont="1" applyFill="1" applyAlignment="1">
      <alignment wrapText="1"/>
    </xf>
    <xf numFmtId="43" fontId="8" fillId="8" borderId="0" xfId="1" applyFont="1" applyFill="1" applyAlignment="1">
      <alignment horizontal="right" wrapText="1"/>
    </xf>
    <xf numFmtId="167" fontId="8" fillId="4" borderId="0" xfId="1" applyNumberFormat="1" applyFont="1" applyFill="1" applyAlignment="1">
      <alignment horizontal="right" wrapText="1"/>
    </xf>
    <xf numFmtId="43" fontId="8" fillId="4" borderId="0" xfId="1" applyFont="1" applyFill="1" applyAlignment="1">
      <alignment horizontal="center" vertical="center" wrapText="1"/>
    </xf>
    <xf numFmtId="43" fontId="8" fillId="6" borderId="0" xfId="1" applyFont="1" applyFill="1" applyAlignment="1">
      <alignment horizontal="right" wrapText="1"/>
    </xf>
    <xf numFmtId="43" fontId="13" fillId="6" borderId="0" xfId="1" applyFont="1" applyFill="1" applyAlignment="1">
      <alignment horizontal="right" wrapText="1"/>
    </xf>
    <xf numFmtId="167" fontId="8" fillId="6" borderId="0" xfId="1" applyNumberFormat="1" applyFont="1" applyFill="1" applyAlignment="1">
      <alignment horizontal="right" wrapText="1"/>
    </xf>
    <xf numFmtId="43" fontId="8" fillId="6" borderId="0" xfId="1" applyFont="1" applyFill="1" applyAlignment="1">
      <alignment vertical="center" wrapText="1"/>
    </xf>
    <xf numFmtId="43" fontId="8" fillId="6" borderId="0" xfId="1" applyFont="1" applyFill="1" applyAlignment="1">
      <alignment horizontal="center" wrapText="1"/>
    </xf>
    <xf numFmtId="167" fontId="8" fillId="7" borderId="0" xfId="1" applyNumberFormat="1" applyFont="1" applyFill="1" applyAlignment="1">
      <alignment horizontal="right" wrapText="1"/>
    </xf>
    <xf numFmtId="43" fontId="8" fillId="7" borderId="0" xfId="1" applyFont="1" applyFill="1" applyAlignment="1">
      <alignment horizontal="right" wrapText="1"/>
    </xf>
    <xf numFmtId="167" fontId="8" fillId="4" borderId="0" xfId="1" applyNumberFormat="1" applyFont="1" applyFill="1" applyAlignment="1">
      <alignment horizontal="right" vertical="center" wrapText="1"/>
    </xf>
    <xf numFmtId="43" fontId="8" fillId="4" borderId="0" xfId="1" applyFont="1" applyFill="1" applyAlignment="1">
      <alignment horizontal="right" vertical="center" wrapText="1"/>
    </xf>
    <xf numFmtId="43" fontId="13" fillId="4" borderId="0" xfId="1" applyFont="1" applyFill="1" applyAlignment="1">
      <alignment horizontal="right" vertical="center" wrapText="1"/>
    </xf>
    <xf numFmtId="43" fontId="13" fillId="4" borderId="0" xfId="1" applyFont="1" applyFill="1" applyAlignment="1">
      <alignment horizontal="center" vertical="center" wrapText="1"/>
    </xf>
    <xf numFmtId="167" fontId="8" fillId="6" borderId="0" xfId="1" applyNumberFormat="1" applyFont="1" applyFill="1" applyAlignment="1">
      <alignment horizontal="right" vertical="center" wrapText="1"/>
    </xf>
    <xf numFmtId="43" fontId="8" fillId="6" borderId="0" xfId="1" applyFont="1" applyFill="1" applyAlignment="1">
      <alignment horizontal="right" vertical="center" wrapText="1"/>
    </xf>
    <xf numFmtId="43" fontId="13" fillId="6" borderId="0" xfId="1" applyFont="1" applyFill="1" applyAlignment="1">
      <alignment horizontal="right" vertical="center" wrapText="1"/>
    </xf>
    <xf numFmtId="43" fontId="13" fillId="6" borderId="0" xfId="1" applyFont="1" applyFill="1" applyAlignment="1">
      <alignment horizontal="center" vertical="center" wrapText="1"/>
    </xf>
    <xf numFmtId="167" fontId="8" fillId="0" borderId="0" xfId="1" applyNumberFormat="1" applyFont="1"/>
    <xf numFmtId="43" fontId="8" fillId="0" borderId="0" xfId="1" applyFont="1" applyAlignment="1">
      <alignment horizontal="center"/>
    </xf>
    <xf numFmtId="164" fontId="8" fillId="0" borderId="0" xfId="1" applyNumberFormat="1" applyFont="1" applyAlignment="1">
      <alignment horizontal="center"/>
    </xf>
    <xf numFmtId="167" fontId="8" fillId="0" borderId="0" xfId="1" applyNumberFormat="1" applyFont="1" applyAlignment="1">
      <alignment horizontal="center"/>
    </xf>
    <xf numFmtId="167" fontId="8" fillId="0" borderId="0" xfId="1" applyNumberFormat="1" applyFont="1" applyAlignment="1">
      <alignment horizontal="center" vertical="center"/>
    </xf>
    <xf numFmtId="43" fontId="11" fillId="0" borderId="0" xfId="1" applyFont="1"/>
    <xf numFmtId="43" fontId="9" fillId="0" borderId="0" xfId="1" applyFont="1"/>
    <xf numFmtId="0" fontId="8" fillId="0" borderId="18" xfId="0" applyFont="1" applyBorder="1" applyAlignment="1">
      <alignment horizontal="center" vertical="center" wrapText="1"/>
    </xf>
    <xf numFmtId="3" fontId="8" fillId="5" borderId="1" xfId="0" applyNumberFormat="1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3" fontId="8" fillId="5" borderId="5" xfId="0" applyNumberFormat="1" applyFont="1" applyFill="1" applyBorder="1" applyAlignment="1">
      <alignment horizontal="center" vertical="center" wrapText="1"/>
    </xf>
    <xf numFmtId="0" fontId="8" fillId="5" borderId="5" xfId="0" applyFont="1" applyFill="1" applyBorder="1" applyAlignment="1">
      <alignment horizontal="center" vertical="center" wrapText="1"/>
    </xf>
    <xf numFmtId="3" fontId="10" fillId="5" borderId="0" xfId="0" applyNumberFormat="1" applyFont="1" applyFill="1" applyAlignment="1">
      <alignment horizontal="center" vertical="center" wrapText="1"/>
    </xf>
    <xf numFmtId="0" fontId="8" fillId="5" borderId="0" xfId="0" applyFont="1" applyFill="1" applyAlignment="1">
      <alignment horizontal="center" vertical="center" wrapText="1"/>
    </xf>
    <xf numFmtId="3" fontId="8" fillId="19" borderId="5" xfId="0" applyNumberFormat="1" applyFont="1" applyFill="1" applyBorder="1" applyAlignment="1">
      <alignment horizontal="center" vertical="center" wrapText="1"/>
    </xf>
    <xf numFmtId="0" fontId="8" fillId="19" borderId="5" xfId="0" applyFont="1" applyFill="1" applyBorder="1" applyAlignment="1">
      <alignment horizontal="center" vertical="center" wrapText="1"/>
    </xf>
    <xf numFmtId="3" fontId="10" fillId="19" borderId="0" xfId="0" applyNumberFormat="1" applyFont="1" applyFill="1" applyAlignment="1">
      <alignment horizontal="center" vertical="center" wrapText="1"/>
    </xf>
    <xf numFmtId="0" fontId="8" fillId="19" borderId="0" xfId="0" applyFont="1" applyFill="1" applyAlignment="1">
      <alignment horizontal="center" vertical="center" wrapText="1"/>
    </xf>
    <xf numFmtId="3" fontId="8" fillId="19" borderId="1" xfId="0" applyNumberFormat="1" applyFont="1" applyFill="1" applyBorder="1" applyAlignment="1">
      <alignment horizontal="center" vertical="center" wrapText="1"/>
    </xf>
    <xf numFmtId="0" fontId="8" fillId="19" borderId="1" xfId="0" applyFont="1" applyFill="1" applyBorder="1" applyAlignment="1">
      <alignment horizontal="center" vertical="center" wrapText="1"/>
    </xf>
    <xf numFmtId="0" fontId="10" fillId="5" borderId="5" xfId="0" applyFont="1" applyFill="1" applyBorder="1" applyAlignment="1">
      <alignment horizontal="center" vertical="center" wrapText="1"/>
    </xf>
    <xf numFmtId="3" fontId="8" fillId="0" borderId="5" xfId="0" applyNumberFormat="1" applyFont="1" applyBorder="1" applyAlignment="1">
      <alignment horizontal="center" wrapText="1"/>
    </xf>
    <xf numFmtId="3" fontId="8" fillId="19" borderId="30" xfId="0" applyNumberFormat="1" applyFont="1" applyFill="1" applyBorder="1" applyAlignment="1">
      <alignment horizontal="center" vertical="center" wrapText="1"/>
    </xf>
    <xf numFmtId="0" fontId="8" fillId="5" borderId="31" xfId="0" applyFont="1" applyFill="1" applyBorder="1" applyAlignment="1">
      <alignment horizontal="center" vertical="center" wrapText="1"/>
    </xf>
    <xf numFmtId="0" fontId="8" fillId="0" borderId="31" xfId="0" applyFont="1" applyBorder="1"/>
    <xf numFmtId="0" fontId="8" fillId="19" borderId="31" xfId="0" applyFont="1" applyFill="1" applyBorder="1" applyAlignment="1">
      <alignment horizontal="center" vertical="center" wrapText="1"/>
    </xf>
    <xf numFmtId="3" fontId="8" fillId="19" borderId="31" xfId="0" applyNumberFormat="1" applyFont="1" applyFill="1" applyBorder="1" applyAlignment="1">
      <alignment horizontal="center" vertical="center" wrapText="1"/>
    </xf>
    <xf numFmtId="3" fontId="8" fillId="19" borderId="0" xfId="0" applyNumberFormat="1" applyFont="1" applyFill="1" applyAlignment="1">
      <alignment horizontal="center" vertical="center" wrapText="1"/>
    </xf>
    <xf numFmtId="3" fontId="8" fillId="0" borderId="0" xfId="0" applyNumberFormat="1" applyFont="1"/>
    <xf numFmtId="43" fontId="16" fillId="0" borderId="0" xfId="1" applyFont="1"/>
    <xf numFmtId="0" fontId="0" fillId="0" borderId="16" xfId="0" applyBorder="1" applyAlignment="1">
      <alignment wrapText="1"/>
    </xf>
    <xf numFmtId="0" fontId="0" fillId="0" borderId="13" xfId="0" applyBorder="1" applyAlignment="1">
      <alignment wrapText="1"/>
    </xf>
    <xf numFmtId="0" fontId="0" fillId="0" borderId="13" xfId="0" applyBorder="1" applyAlignment="1">
      <alignment horizontal="center" vertical="center"/>
    </xf>
    <xf numFmtId="9" fontId="0" fillId="0" borderId="33" xfId="2" applyFont="1" applyBorder="1" applyAlignment="1">
      <alignment horizontal="center" vertical="center"/>
    </xf>
    <xf numFmtId="43" fontId="0" fillId="0" borderId="13" xfId="1" applyFont="1" applyBorder="1" applyAlignment="1">
      <alignment vertical="center"/>
    </xf>
    <xf numFmtId="43" fontId="0" fillId="0" borderId="13" xfId="1" applyFont="1" applyBorder="1" applyAlignment="1">
      <alignment horizontal="center" vertical="center"/>
    </xf>
    <xf numFmtId="9" fontId="0" fillId="0" borderId="13" xfId="2" applyFont="1" applyBorder="1" applyAlignment="1">
      <alignment horizontal="center"/>
    </xf>
    <xf numFmtId="43" fontId="8" fillId="2" borderId="1" xfId="1" applyFont="1" applyFill="1" applyBorder="1" applyAlignment="1">
      <alignment horizontal="center" vertical="center" wrapText="1"/>
    </xf>
    <xf numFmtId="172" fontId="8" fillId="0" borderId="0" xfId="1" applyNumberFormat="1" applyFont="1"/>
    <xf numFmtId="43" fontId="8" fillId="0" borderId="0" xfId="1" applyFont="1" applyAlignment="1">
      <alignment wrapText="1"/>
    </xf>
    <xf numFmtId="43" fontId="20" fillId="0" borderId="0" xfId="1" applyFont="1" applyAlignment="1">
      <alignment horizontal="center" wrapText="1"/>
    </xf>
    <xf numFmtId="172" fontId="8" fillId="0" borderId="0" xfId="1" applyNumberFormat="1" applyFont="1" applyAlignment="1">
      <alignment wrapText="1"/>
    </xf>
    <xf numFmtId="167" fontId="12" fillId="4" borderId="0" xfId="1" applyNumberFormat="1" applyFont="1" applyFill="1" applyAlignment="1">
      <alignment horizontal="right" wrapText="1"/>
    </xf>
    <xf numFmtId="43" fontId="12" fillId="4" borderId="0" xfId="1" applyFont="1" applyFill="1" applyAlignment="1">
      <alignment horizontal="center" vertical="center" wrapText="1"/>
    </xf>
    <xf numFmtId="43" fontId="12" fillId="4" borderId="0" xfId="1" applyFont="1" applyFill="1" applyAlignment="1">
      <alignment horizontal="right" wrapText="1"/>
    </xf>
    <xf numFmtId="43" fontId="12" fillId="4" borderId="0" xfId="1" applyFont="1" applyFill="1" applyAlignment="1">
      <alignment vertical="center" wrapText="1"/>
    </xf>
    <xf numFmtId="9" fontId="0" fillId="0" borderId="0" xfId="2" applyFont="1" applyBorder="1" applyAlignment="1">
      <alignment horizontal="center" vertical="center"/>
    </xf>
    <xf numFmtId="43" fontId="0" fillId="0" borderId="23" xfId="1" applyFont="1" applyBorder="1" applyAlignment="1">
      <alignment horizontal="center" vertical="center"/>
    </xf>
    <xf numFmtId="9" fontId="0" fillId="0" borderId="16" xfId="2" applyFont="1" applyBorder="1"/>
    <xf numFmtId="9" fontId="0" fillId="0" borderId="13" xfId="2" applyFont="1" applyBorder="1"/>
    <xf numFmtId="0" fontId="1" fillId="0" borderId="35" xfId="0" applyFont="1" applyBorder="1" applyAlignment="1">
      <alignment wrapText="1"/>
    </xf>
    <xf numFmtId="0" fontId="1" fillId="0" borderId="36" xfId="0" applyFont="1" applyBorder="1" applyAlignment="1">
      <alignment horizontal="center" wrapText="1"/>
    </xf>
    <xf numFmtId="0" fontId="1" fillId="0" borderId="37" xfId="0" applyFont="1" applyBorder="1" applyAlignment="1">
      <alignment wrapText="1"/>
    </xf>
    <xf numFmtId="0" fontId="1" fillId="0" borderId="38" xfId="0" applyFont="1" applyBorder="1" applyAlignment="1">
      <alignment vertical="center"/>
    </xf>
    <xf numFmtId="0" fontId="1" fillId="0" borderId="38" xfId="0" applyFont="1" applyBorder="1" applyAlignment="1">
      <alignment wrapText="1"/>
    </xf>
    <xf numFmtId="0" fontId="1" fillId="0" borderId="38" xfId="0" applyFont="1" applyBorder="1" applyAlignment="1">
      <alignment horizontal="center" wrapText="1"/>
    </xf>
    <xf numFmtId="0" fontId="1" fillId="0" borderId="39" xfId="0" applyFont="1" applyBorder="1" applyAlignment="1">
      <alignment wrapText="1"/>
    </xf>
    <xf numFmtId="0" fontId="1" fillId="0" borderId="40" xfId="0" applyFont="1" applyBorder="1" applyAlignment="1">
      <alignment wrapText="1"/>
    </xf>
    <xf numFmtId="4" fontId="1" fillId="0" borderId="40" xfId="0" applyNumberFormat="1" applyFont="1" applyBorder="1" applyAlignment="1">
      <alignment horizontal="right" wrapText="1"/>
    </xf>
    <xf numFmtId="10" fontId="1" fillId="0" borderId="40" xfId="0" applyNumberFormat="1" applyFont="1" applyBorder="1" applyAlignment="1">
      <alignment horizontal="right" wrapText="1"/>
    </xf>
    <xf numFmtId="0" fontId="1" fillId="0" borderId="40" xfId="0" applyFont="1" applyBorder="1" applyAlignment="1">
      <alignment horizontal="right" wrapText="1"/>
    </xf>
    <xf numFmtId="10" fontId="25" fillId="0" borderId="41" xfId="0" applyNumberFormat="1" applyFont="1" applyBorder="1" applyAlignment="1">
      <alignment horizontal="right" vertical="center" wrapText="1"/>
    </xf>
    <xf numFmtId="10" fontId="25" fillId="0" borderId="42" xfId="0" applyNumberFormat="1" applyFont="1" applyBorder="1" applyAlignment="1">
      <alignment horizontal="right" vertical="center" wrapText="1"/>
    </xf>
    <xf numFmtId="10" fontId="25" fillId="0" borderId="40" xfId="0" applyNumberFormat="1" applyFont="1" applyBorder="1" applyAlignment="1">
      <alignment horizontal="right" vertical="center" wrapText="1"/>
    </xf>
    <xf numFmtId="10" fontId="25" fillId="0" borderId="43" xfId="0" applyNumberFormat="1" applyFont="1" applyBorder="1" applyAlignment="1">
      <alignment horizontal="right" vertical="center" wrapText="1"/>
    </xf>
    <xf numFmtId="0" fontId="1" fillId="0" borderId="0" xfId="0" applyFont="1" applyAlignment="1">
      <alignment wrapText="1"/>
    </xf>
    <xf numFmtId="10" fontId="1" fillId="0" borderId="0" xfId="0" applyNumberFormat="1" applyFont="1" applyAlignment="1">
      <alignment horizontal="right" wrapText="1"/>
    </xf>
    <xf numFmtId="9" fontId="0" fillId="0" borderId="45" xfId="2" applyFont="1" applyBorder="1" applyAlignment="1">
      <alignment horizontal="center" vertical="center"/>
    </xf>
    <xf numFmtId="0" fontId="0" fillId="0" borderId="23" xfId="0" applyBorder="1"/>
    <xf numFmtId="0" fontId="18" fillId="0" borderId="13" xfId="0" applyFont="1" applyBorder="1" applyAlignment="1">
      <alignment horizontal="center" vertical="center" wrapText="1"/>
    </xf>
    <xf numFmtId="0" fontId="22" fillId="23" borderId="13" xfId="0" applyFont="1" applyFill="1" applyBorder="1" applyAlignment="1">
      <alignment horizontal="center" vertical="center" wrapText="1"/>
    </xf>
    <xf numFmtId="0" fontId="21" fillId="22" borderId="13" xfId="0" applyFont="1" applyFill="1" applyBorder="1" applyAlignment="1">
      <alignment horizontal="center" vertical="center" wrapText="1"/>
    </xf>
    <xf numFmtId="0" fontId="23" fillId="23" borderId="13" xfId="0" applyFont="1" applyFill="1" applyBorder="1" applyAlignment="1">
      <alignment horizontal="center" vertical="center" wrapText="1"/>
    </xf>
    <xf numFmtId="0" fontId="26" fillId="23" borderId="13" xfId="0" applyFont="1" applyFill="1" applyBorder="1" applyAlignment="1">
      <alignment horizontal="center" vertical="center" wrapText="1"/>
    </xf>
    <xf numFmtId="0" fontId="24" fillId="24" borderId="13" xfId="0" applyFont="1" applyFill="1" applyBorder="1" applyAlignment="1">
      <alignment horizontal="center" vertical="center" wrapText="1"/>
    </xf>
    <xf numFmtId="171" fontId="0" fillId="0" borderId="16" xfId="0" applyNumberFormat="1" applyBorder="1" applyAlignment="1">
      <alignment vertical="center"/>
    </xf>
    <xf numFmtId="43" fontId="0" fillId="0" borderId="16" xfId="0" applyNumberFormat="1" applyBorder="1"/>
    <xf numFmtId="9" fontId="0" fillId="0" borderId="16" xfId="2" applyFont="1" applyBorder="1" applyAlignment="1">
      <alignment wrapText="1"/>
    </xf>
    <xf numFmtId="168" fontId="0" fillId="0" borderId="16" xfId="1" applyNumberFormat="1" applyFont="1" applyBorder="1" applyAlignment="1">
      <alignment wrapText="1"/>
    </xf>
    <xf numFmtId="43" fontId="0" fillId="0" borderId="16" xfId="1" applyFont="1" applyBorder="1" applyAlignment="1">
      <alignment wrapText="1"/>
    </xf>
    <xf numFmtId="43" fontId="0" fillId="0" borderId="13" xfId="1" applyFont="1" applyBorder="1" applyAlignment="1">
      <alignment vertical="center" wrapText="1"/>
    </xf>
    <xf numFmtId="0" fontId="17" fillId="26" borderId="16" xfId="0" applyFont="1" applyFill="1" applyBorder="1" applyAlignment="1">
      <alignment horizontal="center" vertical="center" wrapText="1"/>
    </xf>
    <xf numFmtId="0" fontId="7" fillId="0" borderId="13" xfId="3" applyBorder="1" applyAlignment="1">
      <alignment vertical="center"/>
    </xf>
    <xf numFmtId="0" fontId="8" fillId="0" borderId="0" xfId="0" applyFont="1" applyAlignment="1">
      <alignment horizontal="center" wrapText="1"/>
    </xf>
    <xf numFmtId="2" fontId="8" fillId="0" borderId="0" xfId="0" applyNumberFormat="1" applyFont="1" applyAlignment="1">
      <alignment wrapText="1"/>
    </xf>
    <xf numFmtId="165" fontId="4" fillId="0" borderId="0" xfId="1" applyNumberFormat="1" applyFont="1" applyFill="1" applyBorder="1" applyAlignment="1">
      <alignment horizontal="center" vertical="center" wrapText="1"/>
    </xf>
    <xf numFmtId="10" fontId="0" fillId="0" borderId="0" xfId="0" applyNumberFormat="1" applyAlignment="1">
      <alignment horizontal="center" vertical="center" wrapText="1"/>
    </xf>
    <xf numFmtId="0" fontId="0" fillId="11" borderId="0" xfId="0" applyFill="1"/>
    <xf numFmtId="165" fontId="5" fillId="11" borderId="5" xfId="1" applyNumberFormat="1" applyFont="1" applyFill="1" applyBorder="1" applyAlignment="1">
      <alignment horizontal="center" vertical="center" wrapText="1"/>
    </xf>
    <xf numFmtId="0" fontId="0" fillId="11" borderId="0" xfId="0" applyFill="1" applyAlignment="1">
      <alignment horizontal="center" vertical="center" wrapText="1"/>
    </xf>
    <xf numFmtId="10" fontId="0" fillId="11" borderId="0" xfId="0" applyNumberFormat="1" applyFill="1" applyAlignment="1">
      <alignment horizontal="center" vertical="center" wrapText="1"/>
    </xf>
    <xf numFmtId="167" fontId="8" fillId="11" borderId="0" xfId="1" applyNumberFormat="1" applyFont="1" applyFill="1"/>
    <xf numFmtId="9" fontId="0" fillId="0" borderId="28" xfId="2" applyFont="1" applyBorder="1" applyAlignment="1">
      <alignment horizontal="center" vertical="center"/>
    </xf>
    <xf numFmtId="9" fontId="0" fillId="0" borderId="21" xfId="2" applyFont="1" applyBorder="1" applyAlignment="1">
      <alignment horizontal="center" vertical="center"/>
    </xf>
    <xf numFmtId="43" fontId="0" fillId="0" borderId="33" xfId="1" applyFont="1" applyBorder="1" applyAlignment="1">
      <alignment horizontal="center" vertical="center"/>
    </xf>
    <xf numFmtId="0" fontId="17" fillId="21" borderId="14" xfId="0" applyFont="1" applyFill="1" applyBorder="1"/>
    <xf numFmtId="0" fontId="17" fillId="21" borderId="29" xfId="0" applyFont="1" applyFill="1" applyBorder="1"/>
    <xf numFmtId="0" fontId="1" fillId="0" borderId="49" xfId="0" applyFont="1" applyBorder="1" applyAlignment="1">
      <alignment horizontal="center" wrapText="1"/>
    </xf>
    <xf numFmtId="0" fontId="0" fillId="0" borderId="49" xfId="0" applyBorder="1"/>
    <xf numFmtId="43" fontId="0" fillId="0" borderId="49" xfId="0" applyNumberFormat="1" applyBorder="1"/>
    <xf numFmtId="9" fontId="0" fillId="0" borderId="49" xfId="2" applyFont="1" applyBorder="1"/>
    <xf numFmtId="168" fontId="0" fillId="0" borderId="49" xfId="1" applyNumberFormat="1" applyFont="1" applyBorder="1"/>
    <xf numFmtId="43" fontId="0" fillId="0" borderId="49" xfId="1" applyFont="1" applyBorder="1"/>
    <xf numFmtId="0" fontId="0" fillId="0" borderId="47" xfId="0" applyBorder="1" applyAlignment="1">
      <alignment horizontal="center" vertical="center"/>
    </xf>
    <xf numFmtId="43" fontId="27" fillId="0" borderId="49" xfId="0" applyNumberFormat="1" applyFont="1" applyBorder="1" applyAlignment="1">
      <alignment horizontal="center" vertical="center"/>
    </xf>
    <xf numFmtId="0" fontId="1" fillId="0" borderId="52" xfId="0" applyFont="1" applyBorder="1" applyAlignment="1">
      <alignment horizontal="center" wrapText="1"/>
    </xf>
    <xf numFmtId="43" fontId="0" fillId="0" borderId="52" xfId="0" applyNumberFormat="1" applyBorder="1"/>
    <xf numFmtId="0" fontId="0" fillId="0" borderId="52" xfId="0" applyBorder="1"/>
    <xf numFmtId="9" fontId="0" fillId="0" borderId="52" xfId="2" applyFont="1" applyBorder="1"/>
    <xf numFmtId="168" fontId="0" fillId="0" borderId="52" xfId="1" applyNumberFormat="1" applyFont="1" applyBorder="1"/>
    <xf numFmtId="43" fontId="0" fillId="0" borderId="52" xfId="1" applyFont="1" applyBorder="1"/>
    <xf numFmtId="43" fontId="27" fillId="0" borderId="53" xfId="0" applyNumberFormat="1" applyFont="1" applyBorder="1" applyAlignment="1">
      <alignment horizontal="center" vertical="center"/>
    </xf>
    <xf numFmtId="0" fontId="1" fillId="0" borderId="54" xfId="0" applyFont="1" applyBorder="1" applyAlignment="1">
      <alignment horizontal="center" wrapText="1"/>
    </xf>
    <xf numFmtId="0" fontId="0" fillId="0" borderId="54" xfId="0" applyBorder="1"/>
    <xf numFmtId="43" fontId="0" fillId="0" borderId="54" xfId="0" applyNumberFormat="1" applyBorder="1"/>
    <xf numFmtId="9" fontId="0" fillId="0" borderId="54" xfId="2" applyFont="1" applyBorder="1"/>
    <xf numFmtId="168" fontId="0" fillId="0" borderId="54" xfId="1" applyNumberFormat="1" applyFont="1" applyBorder="1"/>
    <xf numFmtId="43" fontId="0" fillId="0" borderId="54" xfId="1" applyFont="1" applyBorder="1"/>
    <xf numFmtId="43" fontId="28" fillId="16" borderId="49" xfId="0" applyNumberFormat="1" applyFont="1" applyFill="1" applyBorder="1" applyAlignment="1">
      <alignment horizontal="center" vertical="center"/>
    </xf>
    <xf numFmtId="0" fontId="0" fillId="0" borderId="51" xfId="0" applyBorder="1" applyAlignment="1">
      <alignment wrapText="1"/>
    </xf>
    <xf numFmtId="0" fontId="0" fillId="0" borderId="15" xfId="0" applyBorder="1"/>
    <xf numFmtId="0" fontId="0" fillId="0" borderId="46" xfId="0" applyBorder="1"/>
    <xf numFmtId="10" fontId="22" fillId="23" borderId="46" xfId="0" applyNumberFormat="1" applyFont="1" applyFill="1" applyBorder="1" applyAlignment="1">
      <alignment horizontal="center" vertical="center" wrapText="1"/>
    </xf>
    <xf numFmtId="10" fontId="21" fillId="22" borderId="46" xfId="0" applyNumberFormat="1" applyFont="1" applyFill="1" applyBorder="1" applyAlignment="1">
      <alignment horizontal="center" vertical="center" wrapText="1"/>
    </xf>
    <xf numFmtId="10" fontId="23" fillId="23" borderId="46" xfId="0" applyNumberFormat="1" applyFont="1" applyFill="1" applyBorder="1" applyAlignment="1">
      <alignment horizontal="center" vertical="center" wrapText="1"/>
    </xf>
    <xf numFmtId="10" fontId="26" fillId="23" borderId="46" xfId="0" applyNumberFormat="1" applyFont="1" applyFill="1" applyBorder="1" applyAlignment="1">
      <alignment horizontal="center" vertical="center" wrapText="1"/>
    </xf>
    <xf numFmtId="0" fontId="0" fillId="0" borderId="51" xfId="0" applyBorder="1"/>
    <xf numFmtId="0" fontId="1" fillId="25" borderId="49" xfId="0" applyFont="1" applyFill="1" applyBorder="1" applyAlignment="1">
      <alignment horizontal="center" vertical="center" wrapText="1"/>
    </xf>
    <xf numFmtId="0" fontId="0" fillId="25" borderId="49" xfId="0" applyFill="1" applyBorder="1" applyAlignment="1">
      <alignment horizontal="center" vertical="center"/>
    </xf>
    <xf numFmtId="0" fontId="0" fillId="25" borderId="49" xfId="0" applyFill="1" applyBorder="1" applyAlignment="1">
      <alignment horizontal="center" vertical="center" wrapText="1"/>
    </xf>
    <xf numFmtId="9" fontId="0" fillId="25" borderId="49" xfId="2" applyFont="1" applyFill="1" applyBorder="1" applyAlignment="1">
      <alignment horizontal="center" vertical="center"/>
    </xf>
    <xf numFmtId="43" fontId="0" fillId="25" borderId="49" xfId="0" applyNumberFormat="1" applyFill="1" applyBorder="1" applyAlignment="1">
      <alignment horizontal="center" vertical="center"/>
    </xf>
    <xf numFmtId="170" fontId="0" fillId="25" borderId="49" xfId="0" applyNumberFormat="1" applyFill="1" applyBorder="1" applyAlignment="1">
      <alignment horizontal="right" vertical="center"/>
    </xf>
    <xf numFmtId="168" fontId="0" fillId="25" borderId="49" xfId="1" applyNumberFormat="1" applyFont="1" applyFill="1" applyBorder="1" applyAlignment="1">
      <alignment horizontal="right" vertical="center"/>
    </xf>
    <xf numFmtId="43" fontId="0" fillId="25" borderId="49" xfId="0" applyNumberFormat="1" applyFill="1" applyBorder="1" applyAlignment="1">
      <alignment vertical="center"/>
    </xf>
    <xf numFmtId="43" fontId="0" fillId="25" borderId="49" xfId="1" applyFont="1" applyFill="1" applyBorder="1" applyAlignment="1">
      <alignment horizontal="center" vertical="center"/>
    </xf>
    <xf numFmtId="171" fontId="0" fillId="25" borderId="49" xfId="0" applyNumberFormat="1" applyFill="1" applyBorder="1" applyAlignment="1">
      <alignment vertical="center"/>
    </xf>
    <xf numFmtId="0" fontId="0" fillId="25" borderId="49" xfId="0" applyFill="1" applyBorder="1" applyAlignment="1">
      <alignment vertical="center"/>
    </xf>
    <xf numFmtId="43" fontId="0" fillId="25" borderId="49" xfId="1" applyFont="1" applyFill="1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15" xfId="0" applyBorder="1" applyAlignment="1">
      <alignment vertical="center"/>
    </xf>
    <xf numFmtId="43" fontId="0" fillId="0" borderId="51" xfId="1" applyFont="1" applyBorder="1"/>
    <xf numFmtId="43" fontId="0" fillId="0" borderId="55" xfId="1" applyFont="1" applyBorder="1" applyAlignment="1">
      <alignment horizontal="center" vertical="center"/>
    </xf>
    <xf numFmtId="43" fontId="0" fillId="0" borderId="16" xfId="1" applyFont="1" applyBorder="1" applyAlignment="1">
      <alignment vertical="center"/>
    </xf>
    <xf numFmtId="174" fontId="0" fillId="0" borderId="49" xfId="0" applyNumberFormat="1" applyBorder="1" applyAlignment="1">
      <alignment vertical="center" wrapText="1"/>
    </xf>
    <xf numFmtId="0" fontId="22" fillId="23" borderId="14" xfId="0" applyFont="1" applyFill="1" applyBorder="1" applyAlignment="1">
      <alignment horizontal="center" vertical="center" wrapText="1"/>
    </xf>
    <xf numFmtId="0" fontId="21" fillId="22" borderId="14" xfId="0" applyFont="1" applyFill="1" applyBorder="1" applyAlignment="1">
      <alignment horizontal="center" vertical="center" wrapText="1"/>
    </xf>
    <xf numFmtId="0" fontId="26" fillId="23" borderId="14" xfId="0" applyFont="1" applyFill="1" applyBorder="1" applyAlignment="1">
      <alignment horizontal="center" vertical="center" wrapText="1"/>
    </xf>
    <xf numFmtId="0" fontId="23" fillId="23" borderId="14" xfId="0" applyFont="1" applyFill="1" applyBorder="1" applyAlignment="1">
      <alignment horizontal="center" vertical="center" wrapText="1"/>
    </xf>
    <xf numFmtId="0" fontId="17" fillId="26" borderId="51" xfId="0" applyFont="1" applyFill="1" applyBorder="1" applyAlignment="1">
      <alignment horizontal="center" vertical="center" wrapText="1"/>
    </xf>
    <xf numFmtId="174" fontId="17" fillId="16" borderId="49" xfId="0" applyNumberFormat="1" applyFont="1" applyFill="1" applyBorder="1" applyAlignment="1">
      <alignment vertical="center" wrapText="1"/>
    </xf>
    <xf numFmtId="0" fontId="0" fillId="0" borderId="56" xfId="0" applyBorder="1" applyAlignment="1">
      <alignment vertical="center" wrapText="1"/>
    </xf>
    <xf numFmtId="174" fontId="0" fillId="0" borderId="52" xfId="0" applyNumberFormat="1" applyBorder="1" applyAlignment="1">
      <alignment vertical="center" wrapText="1"/>
    </xf>
    <xf numFmtId="43" fontId="19" fillId="16" borderId="0" xfId="1" applyFont="1" applyFill="1" applyAlignment="1">
      <alignment horizontal="center" vertical="center" wrapText="1"/>
    </xf>
    <xf numFmtId="43" fontId="8" fillId="2" borderId="6" xfId="1" applyFont="1" applyFill="1" applyBorder="1" applyAlignment="1">
      <alignment horizontal="center" vertical="center" wrapText="1"/>
    </xf>
    <xf numFmtId="43" fontId="8" fillId="2" borderId="3" xfId="1" applyFont="1" applyFill="1" applyBorder="1" applyAlignment="1">
      <alignment horizontal="center" vertical="center" wrapText="1"/>
    </xf>
    <xf numFmtId="43" fontId="8" fillId="2" borderId="2" xfId="1" applyFont="1" applyFill="1" applyBorder="1" applyAlignment="1">
      <alignment horizontal="center" vertical="center" wrapText="1"/>
    </xf>
    <xf numFmtId="43" fontId="8" fillId="0" borderId="0" xfId="1" applyFont="1" applyAlignment="1">
      <alignment horizontal="center" wrapText="1"/>
    </xf>
    <xf numFmtId="43" fontId="8" fillId="0" borderId="0" xfId="1" applyFont="1" applyAlignment="1">
      <alignment horizontal="center"/>
    </xf>
    <xf numFmtId="43" fontId="8" fillId="2" borderId="6" xfId="1" applyFont="1" applyFill="1" applyBorder="1" applyAlignment="1">
      <alignment horizontal="center" wrapText="1"/>
    </xf>
    <xf numFmtId="43" fontId="8" fillId="2" borderId="3" xfId="1" applyFont="1" applyFill="1" applyBorder="1" applyAlignment="1">
      <alignment horizontal="center" wrapText="1"/>
    </xf>
    <xf numFmtId="43" fontId="8" fillId="2" borderId="2" xfId="1" applyFont="1" applyFill="1" applyBorder="1" applyAlignment="1">
      <alignment horizontal="center" wrapText="1"/>
    </xf>
    <xf numFmtId="43" fontId="13" fillId="2" borderId="6" xfId="1" applyFont="1" applyFill="1" applyBorder="1" applyAlignment="1">
      <alignment horizontal="center" vertical="center" wrapText="1"/>
    </xf>
    <xf numFmtId="43" fontId="13" fillId="2" borderId="2" xfId="1" applyFont="1" applyFill="1" applyBorder="1" applyAlignment="1">
      <alignment horizontal="center" vertical="center" wrapText="1"/>
    </xf>
    <xf numFmtId="43" fontId="8" fillId="3" borderId="7" xfId="1" applyFont="1" applyFill="1" applyBorder="1" applyAlignment="1">
      <alignment horizontal="center" vertical="center" wrapText="1"/>
    </xf>
    <xf numFmtId="43" fontId="8" fillId="3" borderId="5" xfId="1" applyFont="1" applyFill="1" applyBorder="1" applyAlignment="1">
      <alignment horizontal="center" vertical="center" wrapText="1"/>
    </xf>
    <xf numFmtId="43" fontId="8" fillId="3" borderId="6" xfId="1" applyFont="1" applyFill="1" applyBorder="1" applyAlignment="1">
      <alignment horizontal="center" vertical="center" wrapText="1"/>
    </xf>
    <xf numFmtId="43" fontId="8" fillId="3" borderId="3" xfId="1" applyFont="1" applyFill="1" applyBorder="1" applyAlignment="1">
      <alignment horizontal="center" vertical="center" wrapText="1"/>
    </xf>
    <xf numFmtId="43" fontId="8" fillId="3" borderId="2" xfId="1" applyFont="1" applyFill="1" applyBorder="1" applyAlignment="1">
      <alignment horizontal="center" vertical="center" wrapText="1"/>
    </xf>
    <xf numFmtId="43" fontId="13" fillId="3" borderId="6" xfId="1" applyFont="1" applyFill="1" applyBorder="1" applyAlignment="1">
      <alignment horizontal="center" vertical="center" wrapText="1"/>
    </xf>
    <xf numFmtId="43" fontId="13" fillId="3" borderId="2" xfId="1" applyFont="1" applyFill="1" applyBorder="1" applyAlignment="1">
      <alignment horizontal="center" vertical="center" wrapText="1"/>
    </xf>
    <xf numFmtId="43" fontId="13" fillId="2" borderId="3" xfId="1" applyFont="1" applyFill="1" applyBorder="1" applyAlignment="1">
      <alignment horizontal="center" vertical="center" wrapText="1"/>
    </xf>
    <xf numFmtId="43" fontId="13" fillId="3" borderId="3" xfId="1" applyFont="1" applyFill="1" applyBorder="1" applyAlignment="1">
      <alignment horizontal="center" vertical="center" wrapText="1"/>
    </xf>
    <xf numFmtId="173" fontId="8" fillId="0" borderId="0" xfId="2" applyNumberFormat="1" applyFont="1" applyAlignment="1">
      <alignment horizontal="center" vertical="center"/>
    </xf>
    <xf numFmtId="167" fontId="8" fillId="0" borderId="0" xfId="1" applyNumberFormat="1" applyFont="1" applyAlignment="1">
      <alignment horizontal="center" vertical="center"/>
    </xf>
    <xf numFmtId="164" fontId="8" fillId="0" borderId="0" xfId="1" applyNumberFormat="1" applyFont="1" applyAlignment="1">
      <alignment horizontal="center" vertical="center" textRotation="90" wrapText="1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 wrapText="1"/>
    </xf>
    <xf numFmtId="165" fontId="4" fillId="0" borderId="0" xfId="1" applyNumberFormat="1" applyFont="1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0" borderId="13" xfId="0" applyFill="1" applyBorder="1" applyAlignment="1">
      <alignment horizontal="center" vertical="center"/>
    </xf>
    <xf numFmtId="0" fontId="0" fillId="20" borderId="13" xfId="0" applyFill="1" applyBorder="1" applyAlignment="1">
      <alignment horizontal="center" vertical="center" wrapText="1"/>
    </xf>
    <xf numFmtId="0" fontId="0" fillId="20" borderId="15" xfId="0" applyFill="1" applyBorder="1" applyAlignment="1">
      <alignment horizontal="center" vertical="center" wrapText="1"/>
    </xf>
    <xf numFmtId="10" fontId="0" fillId="0" borderId="49" xfId="1" applyNumberFormat="1" applyFont="1" applyBorder="1" applyAlignment="1">
      <alignment horizontal="center" vertical="center"/>
    </xf>
    <xf numFmtId="10" fontId="0" fillId="0" borderId="54" xfId="1" applyNumberFormat="1" applyFont="1" applyBorder="1" applyAlignment="1">
      <alignment horizontal="center" vertical="center"/>
    </xf>
    <xf numFmtId="0" fontId="0" fillId="25" borderId="49" xfId="0" applyFill="1" applyBorder="1" applyAlignment="1">
      <alignment horizontal="center" vertical="center" wrapText="1"/>
    </xf>
    <xf numFmtId="43" fontId="0" fillId="0" borderId="49" xfId="0" applyNumberForma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10" fontId="0" fillId="0" borderId="52" xfId="1" applyNumberFormat="1" applyFont="1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1" fillId="4" borderId="49" xfId="0" applyFont="1" applyFill="1" applyBorder="1" applyAlignment="1">
      <alignment horizontal="center" vertical="center" wrapText="1"/>
    </xf>
    <xf numFmtId="0" fontId="2" fillId="4" borderId="57" xfId="0" applyFont="1" applyFill="1" applyBorder="1" applyAlignment="1">
      <alignment horizontal="center" vertical="center" wrapText="1"/>
    </xf>
    <xf numFmtId="0" fontId="2" fillId="4" borderId="58" xfId="0" applyFont="1" applyFill="1" applyBorder="1" applyAlignment="1">
      <alignment horizontal="center" vertical="center" wrapText="1"/>
    </xf>
    <xf numFmtId="0" fontId="2" fillId="4" borderId="53" xfId="0" applyFont="1" applyFill="1" applyBorder="1" applyAlignment="1">
      <alignment horizontal="center" vertical="center" wrapText="1"/>
    </xf>
    <xf numFmtId="43" fontId="0" fillId="0" borderId="49" xfId="0" applyNumberFormat="1" applyBorder="1" applyAlignment="1">
      <alignment horizontal="right" vertical="center"/>
    </xf>
    <xf numFmtId="0" fontId="0" fillId="0" borderId="49" xfId="0" applyBorder="1" applyAlignment="1">
      <alignment horizontal="right" vertical="center"/>
    </xf>
    <xf numFmtId="0" fontId="0" fillId="0" borderId="49" xfId="0" applyBorder="1" applyAlignment="1">
      <alignment horizontal="center" vertical="center" wrapText="1"/>
    </xf>
    <xf numFmtId="0" fontId="0" fillId="0" borderId="49" xfId="0" applyBorder="1" applyAlignment="1">
      <alignment vertical="center"/>
    </xf>
    <xf numFmtId="43" fontId="0" fillId="0" borderId="49" xfId="0" applyNumberFormat="1" applyBorder="1" applyAlignment="1">
      <alignment vertical="center"/>
    </xf>
    <xf numFmtId="9" fontId="0" fillId="0" borderId="32" xfId="2" applyFont="1" applyBorder="1" applyAlignment="1">
      <alignment horizontal="center" vertical="center"/>
    </xf>
    <xf numFmtId="9" fontId="0" fillId="0" borderId="33" xfId="2" applyFont="1" applyBorder="1" applyAlignment="1">
      <alignment horizontal="center" vertical="center"/>
    </xf>
    <xf numFmtId="9" fontId="0" fillId="0" borderId="34" xfId="2" applyFont="1" applyBorder="1" applyAlignment="1">
      <alignment horizontal="center" vertical="center"/>
    </xf>
    <xf numFmtId="9" fontId="0" fillId="0" borderId="27" xfId="2" applyFont="1" applyBorder="1" applyAlignment="1">
      <alignment horizontal="center" vertical="center"/>
    </xf>
    <xf numFmtId="9" fontId="0" fillId="0" borderId="28" xfId="2" applyFont="1" applyBorder="1" applyAlignment="1">
      <alignment horizontal="center" vertical="center"/>
    </xf>
    <xf numFmtId="9" fontId="0" fillId="0" borderId="44" xfId="2" applyFont="1" applyBorder="1" applyAlignment="1">
      <alignment horizontal="center" vertical="center"/>
    </xf>
    <xf numFmtId="43" fontId="0" fillId="0" borderId="50" xfId="0" applyNumberForma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9" fontId="0" fillId="0" borderId="20" xfId="2" applyFont="1" applyBorder="1" applyAlignment="1">
      <alignment horizontal="center" vertical="center"/>
    </xf>
    <xf numFmtId="9" fontId="0" fillId="0" borderId="21" xfId="2" applyFont="1" applyBorder="1" applyAlignment="1">
      <alignment horizontal="center" vertical="center"/>
    </xf>
    <xf numFmtId="9" fontId="0" fillId="0" borderId="22" xfId="2" applyFont="1" applyBorder="1" applyAlignment="1">
      <alignment horizontal="center" vertical="center"/>
    </xf>
    <xf numFmtId="43" fontId="0" fillId="0" borderId="32" xfId="1" applyFont="1" applyBorder="1" applyAlignment="1">
      <alignment horizontal="center" vertical="center"/>
    </xf>
    <xf numFmtId="43" fontId="0" fillId="0" borderId="33" xfId="1" applyFont="1" applyBorder="1" applyAlignment="1">
      <alignment horizontal="center" vertical="center"/>
    </xf>
    <xf numFmtId="43" fontId="0" fillId="0" borderId="34" xfId="1" applyFont="1" applyBorder="1" applyAlignment="1">
      <alignment horizontal="center" vertical="center"/>
    </xf>
    <xf numFmtId="0" fontId="1" fillId="4" borderId="52" xfId="0" applyFont="1" applyFill="1" applyBorder="1" applyAlignment="1">
      <alignment horizontal="center" vertical="center" wrapText="1"/>
    </xf>
    <xf numFmtId="0" fontId="0" fillId="0" borderId="52" xfId="0" applyBorder="1" applyAlignment="1">
      <alignment horizontal="center" vertical="center" wrapText="1"/>
    </xf>
    <xf numFmtId="43" fontId="17" fillId="16" borderId="50" xfId="0" applyNumberFormat="1" applyFont="1" applyFill="1" applyBorder="1" applyAlignment="1">
      <alignment horizontal="center" vertical="center"/>
    </xf>
    <xf numFmtId="0" fontId="17" fillId="16" borderId="47" xfId="0" applyFont="1" applyFill="1" applyBorder="1" applyAlignment="1">
      <alignment horizontal="center" vertical="center"/>
    </xf>
    <xf numFmtId="0" fontId="17" fillId="16" borderId="48" xfId="0" applyFont="1" applyFill="1" applyBorder="1" applyAlignment="1">
      <alignment horizontal="center" vertical="center"/>
    </xf>
    <xf numFmtId="0" fontId="0" fillId="0" borderId="54" xfId="0" applyBorder="1" applyAlignment="1">
      <alignment horizontal="center" vertical="center" wrapText="1"/>
    </xf>
    <xf numFmtId="0" fontId="0" fillId="0" borderId="54" xfId="0" applyBorder="1" applyAlignment="1">
      <alignment horizontal="center" vertical="center"/>
    </xf>
    <xf numFmtId="43" fontId="0" fillId="0" borderId="54" xfId="0" applyNumberFormat="1" applyBorder="1" applyAlignment="1">
      <alignment horizontal="center" vertical="center"/>
    </xf>
    <xf numFmtId="0" fontId="1" fillId="4" borderId="54" xfId="0" applyFont="1" applyFill="1" applyBorder="1" applyAlignment="1">
      <alignment horizontal="center" vertical="center" wrapText="1"/>
    </xf>
    <xf numFmtId="43" fontId="0" fillId="0" borderId="47" xfId="0" applyNumberFormat="1" applyBorder="1" applyAlignment="1">
      <alignment horizontal="center" vertical="center"/>
    </xf>
    <xf numFmtId="0" fontId="1" fillId="18" borderId="13" xfId="0" applyFont="1" applyFill="1" applyBorder="1" applyAlignment="1">
      <alignment horizontal="center" vertical="center" wrapText="1"/>
    </xf>
    <xf numFmtId="0" fontId="1" fillId="18" borderId="46" xfId="0" applyFont="1" applyFill="1" applyBorder="1" applyAlignment="1">
      <alignment horizontal="center" vertical="center" wrapText="1"/>
    </xf>
    <xf numFmtId="43" fontId="1" fillId="18" borderId="13" xfId="1" applyFont="1" applyFill="1" applyBorder="1" applyAlignment="1">
      <alignment horizontal="center" vertical="center" wrapText="1"/>
    </xf>
    <xf numFmtId="43" fontId="1" fillId="18" borderId="46" xfId="1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/>
    </xf>
    <xf numFmtId="0" fontId="1" fillId="18" borderId="51" xfId="0" applyFont="1" applyFill="1" applyBorder="1" applyAlignment="1">
      <alignment horizontal="center" vertical="center" wrapText="1"/>
    </xf>
    <xf numFmtId="0" fontId="1" fillId="18" borderId="13" xfId="0" quotePrefix="1" applyFont="1" applyFill="1" applyBorder="1" applyAlignment="1">
      <alignment horizontal="center" vertical="center" wrapText="1"/>
    </xf>
    <xf numFmtId="0" fontId="1" fillId="18" borderId="46" xfId="0" quotePrefix="1" applyFont="1" applyFill="1" applyBorder="1" applyAlignment="1">
      <alignment horizontal="center" vertical="center" wrapText="1"/>
    </xf>
    <xf numFmtId="0" fontId="24" fillId="24" borderId="13" xfId="0" applyFont="1" applyFill="1" applyBorder="1" applyAlignment="1">
      <alignment horizontal="center" vertical="center" wrapText="1"/>
    </xf>
    <xf numFmtId="0" fontId="0" fillId="20" borderId="14" xfId="0" applyFill="1" applyBorder="1" applyAlignment="1">
      <alignment horizontal="center" wrapText="1"/>
    </xf>
    <xf numFmtId="0" fontId="0" fillId="20" borderId="29" xfId="0" applyFill="1" applyBorder="1" applyAlignment="1">
      <alignment horizontal="center" wrapText="1"/>
    </xf>
    <xf numFmtId="0" fontId="0" fillId="20" borderId="15" xfId="0" applyFill="1" applyBorder="1" applyAlignment="1">
      <alignment horizontal="center" wrapText="1"/>
    </xf>
    <xf numFmtId="169" fontId="1" fillId="18" borderId="13" xfId="1" applyNumberFormat="1" applyFont="1" applyFill="1" applyBorder="1" applyAlignment="1">
      <alignment horizontal="center" vertical="center" wrapText="1"/>
    </xf>
    <xf numFmtId="169" fontId="1" fillId="18" borderId="46" xfId="1" applyNumberFormat="1" applyFont="1" applyFill="1" applyBorder="1" applyAlignment="1">
      <alignment horizontal="center" vertical="center" wrapText="1"/>
    </xf>
    <xf numFmtId="168" fontId="1" fillId="18" borderId="13" xfId="1" applyNumberFormat="1" applyFont="1" applyFill="1" applyBorder="1" applyAlignment="1">
      <alignment horizontal="center" vertical="center" wrapText="1"/>
    </xf>
    <xf numFmtId="168" fontId="1" fillId="18" borderId="46" xfId="1" applyNumberFormat="1" applyFont="1" applyFill="1" applyBorder="1" applyAlignment="1">
      <alignment horizontal="center" vertical="center" wrapText="1"/>
    </xf>
    <xf numFmtId="0" fontId="1" fillId="18" borderId="14" xfId="0" applyFont="1" applyFill="1" applyBorder="1" applyAlignment="1">
      <alignment horizontal="center" vertical="center" wrapText="1"/>
    </xf>
    <xf numFmtId="0" fontId="1" fillId="18" borderId="15" xfId="0" applyFont="1" applyFill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</cellXfs>
  <cellStyles count="4">
    <cellStyle name="Hiperlink" xfId="3" builtinId="8"/>
    <cellStyle name="Normal" xfId="0" builtinId="0"/>
    <cellStyle name="Porcentagem" xfId="2" builtinId="5"/>
    <cellStyle name="Vírgula" xfId="1" builtinId="3"/>
  </cellStyles>
  <dxfs count="0"/>
  <tableStyles count="0" defaultTableStyle="TableStyleMedium2" defaultPivotStyle="PivotStyleLight16"/>
  <colors>
    <mruColors>
      <color rgb="FFBFBFBF"/>
      <color rgb="FFFFE8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17/10/relationships/person" Target="persons/person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1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Celso de Oliveira Santana" id="{CB839DD8-69E7-42F0-9A6D-8636AF59CDBB}" userId="S-1-5-21-3823220882-3813106159-3648312854-10412" providerId="AD"/>
</personList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D124" dT="2024-07-31T16:57:20.03" personId="{CB839DD8-69E7-42F0-9A6D-8636AF59CDBB}" id="{F502FB30-DF45-4F56-937F-2A90CE7A48EA}">
    <text xml:space="preserve">é a média aritmética e é calculada pela adição de um grupo de números e depois pela divisão da contagem desses números. Por exemplo, a média de 2, 3, 3, 5, 7 e 10 é 30 dividido por 6, que é 5. </text>
  </threadedComment>
  <threadedComment ref="D125" dT="2024-07-31T16:57:35.84" personId="{CB839DD8-69E7-42F0-9A6D-8636AF59CDBB}" id="{02C32101-6C37-43CF-8F47-3B95B2777766}">
    <text xml:space="preserve">é o número no centro de um grupo de números; isto é, metade dos números possui valores que são maiores do que a mediana e a outra metade possui valores menores. Por exemplo, a mediana de 2, 3, 3, 5, 7 e 10 é 4. </text>
  </threadedComment>
  <threadedComment ref="D127" dT="2024-07-31T17:00:48.55" personId="{CB839DD8-69E7-42F0-9A6D-8636AF59CDBB}" id="{4E8E8265-D635-42B7-950E-A7AA1816FE44}">
    <text xml:space="preserve">Retorna o quartil do conjunto de dados. Quartis são comumente usados em dados de vendas e de pesquisas para dividir a população em grupos. Por exemplo, você pode usar QUARTIL para descobrir 25% de maior renda de uma população. </text>
  </threadedComment>
  <threadedComment ref="D140" dT="2024-07-31T16:57:20.03" personId="{CB839DD8-69E7-42F0-9A6D-8636AF59CDBB}" id="{AE416155-E884-4D0B-9273-46E2C444EC9E}">
    <text xml:space="preserve">é a média aritmética e é calculada pela adição de um grupo de números e depois pela divisão da contagem desses números. Por exemplo, a média de 2, 3, 3, 5, 7 e 10 é 30 dividido por 6, que é 5. </text>
  </threadedComment>
  <threadedComment ref="D141" dT="2024-07-31T16:57:35.84" personId="{CB839DD8-69E7-42F0-9A6D-8636AF59CDBB}" id="{B256D608-220C-4808-836B-7B9B145825F1}">
    <text xml:space="preserve">é o número no centro de um grupo de números; isto é, metade dos números possui valores que são maiores do que a mediana e a outra metade possui valores menores. Por exemplo, a mediana de 2, 3, 3, 5, 7 e 10 é 4. </text>
  </threadedComment>
  <threadedComment ref="D143" dT="2024-07-31T17:00:48.55" personId="{CB839DD8-69E7-42F0-9A6D-8636AF59CDBB}" id="{DFE39B79-AFC4-48B9-920A-800E0EC6AB2F}">
    <text xml:space="preserve">Retorna o quartil do conjunto de dados. Quartis são comumente usados em dados de vendas e de pesquisas para dividir a população em grupos. Por exemplo, você pode usar QUARTIL para descobrir 25% de maior renda de uma população. 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C116" dT="2024-07-31T16:57:20.03" personId="{CB839DD8-69E7-42F0-9A6D-8636AF59CDBB}" id="{388DA21C-AB60-4625-9FD6-3A1AD5D698ED}">
    <text xml:space="preserve">é a média aritmética e é calculada pela adição de um grupo de números e depois pela divisão da contagem desses números. Por exemplo, a média de 2, 3, 3, 5, 7 e 10 é 30 dividido por 6, que é 5. </text>
  </threadedComment>
  <threadedComment ref="C117" dT="2024-07-31T16:57:35.84" personId="{CB839DD8-69E7-42F0-9A6D-8636AF59CDBB}" id="{E8C196A5-27E3-45B3-BCF6-BACCD849FC7F}">
    <text xml:space="preserve">é o número no centro de um grupo de números; isto é, metade dos números possui valores que são maiores do que a mediana e a outra metade possui valores menores. Por exemplo, a mediana de 2, 3, 3, 5, 7 e 10 é 4. </text>
  </threadedComment>
  <threadedComment ref="C119" dT="2024-07-31T17:00:48.55" personId="{CB839DD8-69E7-42F0-9A6D-8636AF59CDBB}" id="{6C486B49-A502-4F85-B202-9E5CF02A3EFD}">
    <text xml:space="preserve">Retorna o quartil do conjunto de dados. Quartis são comumente usados em dados de vendas e de pesquisas para dividir a população em grupos. Por exemplo, você pode usar QUARTIL para descobrir 25% de maior renda de uma população. </text>
  </threadedComment>
  <threadedComment ref="C140" dT="2024-07-31T16:57:20.03" personId="{CB839DD8-69E7-42F0-9A6D-8636AF59CDBB}" id="{19F75B32-13F8-44D3-9E69-D705B95BD526}">
    <text xml:space="preserve">é a média aritmética e é calculada pela adição de um grupo de números e depois pela divisão da contagem desses números. Por exemplo, a média de 2, 3, 3, 5, 7 e 10 é 30 dividido por 6, que é 5. </text>
  </threadedComment>
  <threadedComment ref="C141" dT="2024-07-31T16:57:35.84" personId="{CB839DD8-69E7-42F0-9A6D-8636AF59CDBB}" id="{04CB0DD4-D952-497C-BB5B-845CF0DCBB51}">
    <text xml:space="preserve">é o número no centro de um grupo de números; isto é, metade dos números possui valores que são maiores do que a mediana e a outra metade possui valores menores. Por exemplo, a mediana de 2, 3, 3, 5, 7 e 10 é 4. </text>
  </threadedComment>
  <threadedComment ref="C143" dT="2024-07-31T17:00:48.55" personId="{CB839DD8-69E7-42F0-9A6D-8636AF59CDBB}" id="{6804389F-0355-4F04-A196-BF19DBF75A5B}">
    <text xml:space="preserve">Retorna o quartil do conjunto de dados. Quartis são comumente usados em dados de vendas e de pesquisas para dividir a população em grupos. Por exemplo, você pode usar QUARTIL para descobrir 25% de maior renda de uma população. </text>
  </threadedComment>
  <threadedComment ref="C156" dT="2024-07-31T16:57:20.03" personId="{CB839DD8-69E7-42F0-9A6D-8636AF59CDBB}" id="{D324A8A6-86E9-4BA3-BB9C-FF3736C6D7D8}">
    <text xml:space="preserve">é a média aritmética e é calculada pela adição de um grupo de números e depois pela divisão da contagem desses números. Por exemplo, a média de 2, 3, 3, 5, 7 e 10 é 30 dividido por 6, que é 5. </text>
  </threadedComment>
  <threadedComment ref="C157" dT="2024-07-31T16:57:35.84" personId="{CB839DD8-69E7-42F0-9A6D-8636AF59CDBB}" id="{A183E1EE-3764-498A-9860-4A555725D4ED}">
    <text xml:space="preserve">é o número no centro de um grupo de números; isto é, metade dos números possui valores que são maiores do que a mediana e a outra metade possui valores menores. Por exemplo, a mediana de 2, 3, 3, 5, 7 e 10 é 4. </text>
  </threadedComment>
  <threadedComment ref="C159" dT="2024-07-31T17:00:48.55" personId="{CB839DD8-69E7-42F0-9A6D-8636AF59CDBB}" id="{33A44ADF-F736-41AA-B153-1A59A0D16C80}">
    <text xml:space="preserve">Retorna o quartil do conjunto de dados. Quartis são comumente usados em dados de vendas e de pesquisas para dividir a população em grupos. Por exemplo, você pode usar QUARTIL para descobrir 25% de maior renda de uma população. </text>
  </threadedComment>
</ThreadedComments>
</file>

<file path=xl/threadedComments/threadedComment3.xml><?xml version="1.0" encoding="utf-8"?>
<ThreadedComments xmlns="http://schemas.microsoft.com/office/spreadsheetml/2018/threadedcomments" xmlns:x="http://schemas.openxmlformats.org/spreadsheetml/2006/main">
  <threadedComment ref="B116" dT="2024-07-31T16:57:20.03" personId="{CB839DD8-69E7-42F0-9A6D-8636AF59CDBB}" id="{635DCE30-04E1-4D8D-B95D-69035B010899}">
    <text xml:space="preserve">é a média aritmética e é calculada pela adição de um grupo de números e depois pela divisão da contagem desses números. Por exemplo, a média de 2, 3, 3, 5, 7 e 10 é 30 dividido por 6, que é 5. </text>
  </threadedComment>
  <threadedComment ref="B117" dT="2024-07-31T16:57:35.84" personId="{CB839DD8-69E7-42F0-9A6D-8636AF59CDBB}" id="{AC7E0782-DFDC-410F-8BE9-C02768CE616A}">
    <text xml:space="preserve">é o número no centro de um grupo de números; isto é, metade dos números possui valores que são maiores do que a mediana e a outra metade possui valores menores. Por exemplo, a mediana de 2, 3, 3, 5, 7 e 10 é 4. </text>
  </threadedComment>
  <threadedComment ref="B119" dT="2024-07-31T17:00:48.55" personId="{CB839DD8-69E7-42F0-9A6D-8636AF59CDBB}" id="{4F3560DF-5A16-464D-B008-00AC5374D5F5}">
    <text xml:space="preserve">Retorna o quartil do conjunto de dados. Quartis são comumente usados em dados de vendas e de pesquisas para dividir a população em grupos. Por exemplo, você pode usar QUARTIL para descobrir 25% de maior renda de uma população. </text>
  </threadedComment>
</ThreadedComments>
</file>

<file path=xl/threadedComments/threadedComment4.xml><?xml version="1.0" encoding="utf-8"?>
<ThreadedComments xmlns="http://schemas.microsoft.com/office/spreadsheetml/2018/threadedcomments" xmlns:x="http://schemas.openxmlformats.org/spreadsheetml/2006/main">
  <threadedComment ref="B120" dT="2024-07-31T16:57:20.03" personId="{CB839DD8-69E7-42F0-9A6D-8636AF59CDBB}" id="{A2E48A97-71B1-41A2-B341-6330D1ACE8F0}">
    <text xml:space="preserve">é a média aritmética e é calculada pela adição de um grupo de números e depois pela divisão da contagem desses números. Por exemplo, a média de 2, 3, 3, 5, 7 e 10 é 30 dividido por 6, que é 5. </text>
  </threadedComment>
  <threadedComment ref="B121" dT="2024-07-31T16:57:35.84" personId="{CB839DD8-69E7-42F0-9A6D-8636AF59CDBB}" id="{2D969B8C-65B8-4907-85D9-3B35BBE67564}">
    <text xml:space="preserve">é o número no centro de um grupo de números; isto é, metade dos números possui valores que são maiores do que a mediana e a outra metade possui valores menores. Por exemplo, a mediana de 2, 3, 3, 5, 7 e 10 é 4. </text>
  </threadedComment>
  <threadedComment ref="B123" dT="2024-07-31T17:00:48.55" personId="{CB839DD8-69E7-42F0-9A6D-8636AF59CDBB}" id="{21AD626A-6EA7-4EEC-97BE-B44D9EF8C309}">
    <text xml:space="preserve">Retorna o quartil do conjunto de dados. Quartis são comumente usados em dados de vendas e de pesquisas para dividir a população em grupos. Por exemplo, você pode usar QUARTIL para descobrir 25% de maior renda de uma população. </text>
  </threadedComment>
</ThreadedComments>
</file>

<file path=xl/threadedComments/threadedComment5.xml><?xml version="1.0" encoding="utf-8"?>
<ThreadedComments xmlns="http://schemas.microsoft.com/office/spreadsheetml/2018/threadedcomments" xmlns:x="http://schemas.openxmlformats.org/spreadsheetml/2006/main">
  <threadedComment ref="A112" dT="2024-07-31T16:57:20.03" personId="{CB839DD8-69E7-42F0-9A6D-8636AF59CDBB}" id="{8DD2FE70-2B5E-40AB-A9FA-376927C2D917}">
    <text xml:space="preserve">é a média aritmética e é calculada pela adição de um grupo de números e depois pela divisão da contagem desses números. Por exemplo, a média de 2, 3, 3, 5, 7 e 10 é 30 dividido por 6, que é 5. </text>
  </threadedComment>
  <threadedComment ref="A113" dT="2024-07-31T16:57:35.84" personId="{CB839DD8-69E7-42F0-9A6D-8636AF59CDBB}" id="{7FCEEFB3-4422-484D-B15C-77DB90E0F3B6}">
    <text xml:space="preserve">é o número no centro de um grupo de números; isto é, metade dos números possui valores que são maiores do que a mediana e a outra metade possui valores menores. Por exemplo, a mediana de 2, 3, 3, 5, 7 e 10 é 4. </text>
  </threadedComment>
  <threadedComment ref="A115" dT="2024-07-31T17:00:48.55" personId="{CB839DD8-69E7-42F0-9A6D-8636AF59CDBB}" id="{20986376-CEF2-436E-B64A-16CD091E90E4}">
    <text xml:space="preserve">Retorna o quartil do conjunto de dados. Quartis são comumente usados em dados de vendas e de pesquisas para dividir a população em grupos. Por exemplo, você pode usar QUARTIL para descobrir 25% de maior renda de uma população. 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2.xml"/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3.xml"/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2.bin"/><Relationship Id="rId4" Type="http://schemas.microsoft.com/office/2017/10/relationships/threadedComment" Target="../threadedComments/threadedComment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3.bin"/><Relationship Id="rId4" Type="http://schemas.microsoft.com/office/2017/10/relationships/threadedComment" Target="../threadedComments/threadedComment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https://www.gov.br/aneel/pt-br/assuntos/tarifas/bandeiras-tarifaria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DA0FE4-C813-4E69-AF89-98DD33260FDA}">
  <dimension ref="A1:AW259"/>
  <sheetViews>
    <sheetView workbookViewId="0">
      <selection activeCell="B4" sqref="B4"/>
    </sheetView>
  </sheetViews>
  <sheetFormatPr defaultColWidth="9.140625" defaultRowHeight="11.25"/>
  <cols>
    <col min="1" max="1" width="23.42578125" style="130" customWidth="1"/>
    <col min="2" max="2" width="9.140625" style="130"/>
    <col min="3" max="3" width="11.28515625" style="147" customWidth="1"/>
    <col min="4" max="4" width="30" style="183" bestFit="1" customWidth="1"/>
    <col min="5" max="22" width="13.42578125" style="130" customWidth="1"/>
    <col min="23" max="23" width="9.42578125" style="130" bestFit="1" customWidth="1"/>
    <col min="24" max="24" width="11" style="130" bestFit="1" customWidth="1"/>
    <col min="25" max="25" width="12.140625" style="130" bestFit="1" customWidth="1"/>
    <col min="26" max="26" width="9.42578125" style="130" bestFit="1" customWidth="1"/>
    <col min="27" max="27" width="11" style="130" bestFit="1" customWidth="1"/>
    <col min="28" max="28" width="12.140625" style="130" bestFit="1" customWidth="1"/>
    <col min="29" max="29" width="9.42578125" style="130" bestFit="1" customWidth="1"/>
    <col min="30" max="30" width="11" style="130" bestFit="1" customWidth="1"/>
    <col min="31" max="31" width="12.140625" style="130" bestFit="1" customWidth="1"/>
    <col min="32" max="32" width="9.42578125" style="130" bestFit="1" customWidth="1"/>
    <col min="33" max="33" width="11" style="130" bestFit="1" customWidth="1"/>
    <col min="34" max="34" width="12.140625" style="130" bestFit="1" customWidth="1"/>
    <col min="35" max="37" width="9.42578125" style="130" bestFit="1" customWidth="1"/>
    <col min="38" max="38" width="9.85546875" style="130" bestFit="1" customWidth="1"/>
    <col min="39" max="39" width="11.7109375" style="130" bestFit="1" customWidth="1"/>
    <col min="40" max="40" width="9.85546875" style="130" bestFit="1" customWidth="1"/>
    <col min="41" max="41" width="12.140625" style="130" bestFit="1" customWidth="1"/>
    <col min="42" max="42" width="9.85546875" style="130" bestFit="1" customWidth="1"/>
    <col min="43" max="43" width="11" style="130" bestFit="1" customWidth="1"/>
    <col min="44" max="44" width="9.85546875" style="130" bestFit="1" customWidth="1"/>
    <col min="45" max="45" width="11" style="130" bestFit="1" customWidth="1"/>
    <col min="46" max="46" width="13.85546875" style="130" bestFit="1" customWidth="1"/>
    <col min="47" max="47" width="9.42578125" style="130" bestFit="1" customWidth="1"/>
    <col min="48" max="48" width="9.85546875" style="130" bestFit="1" customWidth="1"/>
    <col min="49" max="49" width="15" style="130" bestFit="1" customWidth="1"/>
    <col min="50" max="16384" width="9.140625" style="130"/>
  </cols>
  <sheetData>
    <row r="1" spans="1:49" ht="34.5" thickBot="1">
      <c r="A1" s="336" t="s">
        <v>0</v>
      </c>
      <c r="B1" s="336"/>
      <c r="C1" s="147">
        <v>0.1</v>
      </c>
      <c r="D1" s="220">
        <v>0.6</v>
      </c>
      <c r="E1" s="337" t="s">
        <v>1</v>
      </c>
      <c r="F1" s="338"/>
      <c r="G1" s="339"/>
      <c r="H1" s="342" t="s">
        <v>2</v>
      </c>
      <c r="I1" s="343"/>
      <c r="J1" s="344"/>
      <c r="K1" s="345" t="s">
        <v>3</v>
      </c>
      <c r="L1" s="346"/>
      <c r="M1" s="345" t="s">
        <v>4</v>
      </c>
      <c r="N1" s="346"/>
      <c r="O1" s="337" t="s">
        <v>5</v>
      </c>
      <c r="P1" s="338"/>
      <c r="Q1" s="339"/>
      <c r="R1" s="337" t="s">
        <v>6</v>
      </c>
      <c r="S1" s="338"/>
      <c r="T1" s="339"/>
      <c r="U1" s="337" t="s">
        <v>7</v>
      </c>
      <c r="V1" s="338"/>
      <c r="W1" s="339"/>
      <c r="X1" s="337" t="s">
        <v>8</v>
      </c>
      <c r="Y1" s="338"/>
      <c r="Z1" s="339"/>
      <c r="AA1" s="337" t="s">
        <v>9</v>
      </c>
      <c r="AB1" s="338"/>
      <c r="AC1" s="339"/>
      <c r="AD1" s="337" t="s">
        <v>10</v>
      </c>
      <c r="AE1" s="338"/>
      <c r="AF1" s="339"/>
      <c r="AG1" s="337" t="s">
        <v>11</v>
      </c>
      <c r="AH1" s="338"/>
      <c r="AI1" s="339"/>
      <c r="AJ1" s="345" t="s">
        <v>12</v>
      </c>
      <c r="AK1" s="354"/>
      <c r="AL1" s="346"/>
      <c r="AM1" s="148" t="s">
        <v>13</v>
      </c>
      <c r="AN1" s="148" t="s">
        <v>14</v>
      </c>
      <c r="AO1" s="148" t="s">
        <v>15</v>
      </c>
      <c r="AP1" s="148" t="s">
        <v>16</v>
      </c>
      <c r="AQ1" s="148" t="s">
        <v>17</v>
      </c>
      <c r="AR1" s="148" t="s">
        <v>18</v>
      </c>
      <c r="AS1" s="148" t="s">
        <v>19</v>
      </c>
      <c r="AT1" s="347" t="s">
        <v>20</v>
      </c>
      <c r="AU1" s="149"/>
      <c r="AV1" s="149"/>
      <c r="AW1" s="149"/>
    </row>
    <row r="2" spans="1:49" ht="57" thickBot="1">
      <c r="B2" s="130">
        <v>0</v>
      </c>
      <c r="C2" s="147">
        <v>0.85</v>
      </c>
      <c r="D2" s="150" t="s">
        <v>21</v>
      </c>
      <c r="E2" s="349" t="s">
        <v>22</v>
      </c>
      <c r="F2" s="350"/>
      <c r="G2" s="351"/>
      <c r="H2" s="349" t="s">
        <v>23</v>
      </c>
      <c r="I2" s="350"/>
      <c r="J2" s="351"/>
      <c r="K2" s="352" t="s">
        <v>24</v>
      </c>
      <c r="L2" s="353"/>
      <c r="M2" s="352" t="s">
        <v>25</v>
      </c>
      <c r="N2" s="353"/>
      <c r="O2" s="349" t="s">
        <v>26</v>
      </c>
      <c r="P2" s="350"/>
      <c r="Q2" s="351"/>
      <c r="R2" s="349" t="s">
        <v>27</v>
      </c>
      <c r="S2" s="350"/>
      <c r="T2" s="351"/>
      <c r="U2" s="349" t="s">
        <v>28</v>
      </c>
      <c r="V2" s="350"/>
      <c r="W2" s="351"/>
      <c r="X2" s="349" t="s">
        <v>29</v>
      </c>
      <c r="Y2" s="350"/>
      <c r="Z2" s="351"/>
      <c r="AA2" s="349" t="s">
        <v>30</v>
      </c>
      <c r="AB2" s="350"/>
      <c r="AC2" s="351"/>
      <c r="AD2" s="349" t="s">
        <v>31</v>
      </c>
      <c r="AE2" s="350"/>
      <c r="AF2" s="351"/>
      <c r="AG2" s="349" t="s">
        <v>32</v>
      </c>
      <c r="AH2" s="350"/>
      <c r="AI2" s="351"/>
      <c r="AJ2" s="352" t="s">
        <v>33</v>
      </c>
      <c r="AK2" s="355"/>
      <c r="AL2" s="353"/>
      <c r="AM2" s="151" t="s">
        <v>34</v>
      </c>
      <c r="AN2" s="151" t="s">
        <v>35</v>
      </c>
      <c r="AO2" s="151" t="s">
        <v>36</v>
      </c>
      <c r="AP2" s="151" t="s">
        <v>37</v>
      </c>
      <c r="AQ2" s="151" t="s">
        <v>38</v>
      </c>
      <c r="AR2" s="151" t="s">
        <v>39</v>
      </c>
      <c r="AS2" s="151" t="s">
        <v>40</v>
      </c>
      <c r="AT2" s="348"/>
      <c r="AU2" s="152"/>
      <c r="AV2" s="152"/>
      <c r="AW2" s="152"/>
    </row>
    <row r="3" spans="1:49" ht="22.5">
      <c r="A3" s="223"/>
      <c r="C3" s="147">
        <v>0</v>
      </c>
      <c r="D3" s="153"/>
      <c r="E3" s="154" t="s">
        <v>41</v>
      </c>
      <c r="F3" s="154" t="s">
        <v>42</v>
      </c>
      <c r="G3" s="154" t="s">
        <v>43</v>
      </c>
      <c r="H3" s="154" t="s">
        <v>41</v>
      </c>
      <c r="I3" s="154" t="s">
        <v>42</v>
      </c>
      <c r="J3" s="154" t="s">
        <v>43</v>
      </c>
      <c r="K3" s="155" t="s">
        <v>41</v>
      </c>
      <c r="L3" s="155" t="s">
        <v>42</v>
      </c>
      <c r="M3" s="155" t="s">
        <v>41</v>
      </c>
      <c r="N3" s="155" t="s">
        <v>42</v>
      </c>
      <c r="O3" s="154" t="s">
        <v>41</v>
      </c>
      <c r="P3" s="154" t="s">
        <v>42</v>
      </c>
      <c r="Q3" s="154" t="s">
        <v>43</v>
      </c>
      <c r="R3" s="154" t="s">
        <v>41</v>
      </c>
      <c r="S3" s="154" t="s">
        <v>42</v>
      </c>
      <c r="T3" s="154" t="s">
        <v>43</v>
      </c>
      <c r="U3" s="154" t="s">
        <v>41</v>
      </c>
      <c r="V3" s="154" t="s">
        <v>42</v>
      </c>
      <c r="W3" s="154" t="s">
        <v>43</v>
      </c>
      <c r="X3" s="154" t="s">
        <v>41</v>
      </c>
      <c r="Y3" s="154" t="s">
        <v>42</v>
      </c>
      <c r="Z3" s="154" t="s">
        <v>43</v>
      </c>
      <c r="AA3" s="154" t="s">
        <v>41</v>
      </c>
      <c r="AB3" s="154" t="s">
        <v>42</v>
      </c>
      <c r="AC3" s="154" t="s">
        <v>43</v>
      </c>
      <c r="AD3" s="154" t="s">
        <v>41</v>
      </c>
      <c r="AE3" s="154" t="s">
        <v>42</v>
      </c>
      <c r="AF3" s="154" t="s">
        <v>43</v>
      </c>
      <c r="AG3" s="154" t="s">
        <v>41</v>
      </c>
      <c r="AH3" s="154" t="s">
        <v>42</v>
      </c>
      <c r="AI3" s="154" t="s">
        <v>43</v>
      </c>
      <c r="AJ3" s="155" t="s">
        <v>41</v>
      </c>
      <c r="AK3" s="155" t="s">
        <v>42</v>
      </c>
      <c r="AL3" s="155" t="s">
        <v>42</v>
      </c>
      <c r="AM3" s="156"/>
      <c r="AN3" s="156"/>
      <c r="AO3" s="156"/>
      <c r="AP3" s="156"/>
      <c r="AQ3" s="156"/>
      <c r="AR3" s="156"/>
      <c r="AS3" s="156"/>
      <c r="AT3" s="156"/>
      <c r="AU3" s="156"/>
      <c r="AV3" s="156"/>
      <c r="AW3" s="156"/>
    </row>
    <row r="4" spans="1:49" ht="11.25" customHeight="1">
      <c r="A4" s="222" t="s">
        <v>44</v>
      </c>
      <c r="B4" s="221">
        <v>0.9250000000000006</v>
      </c>
      <c r="C4" s="147">
        <f t="shared" ref="C4:C39" si="0">MONTH(D4)</f>
        <v>1</v>
      </c>
      <c r="D4" s="157">
        <v>43101</v>
      </c>
      <c r="E4" s="158">
        <v>11629</v>
      </c>
      <c r="F4" s="158">
        <v>148169</v>
      </c>
      <c r="G4" s="158">
        <f>E4/F4</f>
        <v>7.8484703278013615E-2</v>
      </c>
      <c r="H4" s="158">
        <v>24141</v>
      </c>
      <c r="I4" s="158">
        <v>303796</v>
      </c>
      <c r="J4" s="158">
        <f>H4/I4</f>
        <v>7.9464509078460546E-2</v>
      </c>
      <c r="K4" s="159">
        <v>7320</v>
      </c>
      <c r="L4" s="159">
        <v>124588</v>
      </c>
      <c r="M4" s="159">
        <v>15663</v>
      </c>
      <c r="N4" s="159">
        <v>242865</v>
      </c>
      <c r="O4" s="158">
        <v>7327</v>
      </c>
      <c r="P4" s="158">
        <v>156788</v>
      </c>
      <c r="Q4" s="158">
        <f>O4/P4</f>
        <v>4.6731892746893898E-2</v>
      </c>
      <c r="R4" s="158">
        <v>10704</v>
      </c>
      <c r="S4" s="158">
        <v>124941</v>
      </c>
      <c r="T4" s="158">
        <f>R4/S4</f>
        <v>8.5672437390448289E-2</v>
      </c>
      <c r="U4" s="158">
        <v>366</v>
      </c>
      <c r="V4" s="158">
        <v>119133</v>
      </c>
      <c r="W4" s="158">
        <f>U4/V4</f>
        <v>3.0721966205837174E-3</v>
      </c>
      <c r="X4" s="158">
        <v>10722</v>
      </c>
      <c r="Y4" s="158">
        <v>154690</v>
      </c>
      <c r="Z4" s="158">
        <f>X4/Y4</f>
        <v>6.9312819186760619E-2</v>
      </c>
      <c r="AA4" s="158">
        <v>8648</v>
      </c>
      <c r="AB4" s="158">
        <v>105937</v>
      </c>
      <c r="AC4" s="158">
        <f>AA4/AB4</f>
        <v>8.1633423638577646E-2</v>
      </c>
      <c r="AD4" s="158">
        <v>4810</v>
      </c>
      <c r="AE4" s="158">
        <v>109842</v>
      </c>
      <c r="AF4" s="158">
        <f>AD4/AE4</f>
        <v>4.3790171337011345E-2</v>
      </c>
      <c r="AG4" s="158">
        <v>6081</v>
      </c>
      <c r="AH4" s="158">
        <v>110062</v>
      </c>
      <c r="AI4" s="158">
        <f>AG4/AH4</f>
        <v>5.5250676891206774E-2</v>
      </c>
      <c r="AJ4" s="159">
        <v>243</v>
      </c>
      <c r="AK4" s="160"/>
      <c r="AL4" s="159">
        <v>3546</v>
      </c>
      <c r="AM4" s="158">
        <v>35400</v>
      </c>
      <c r="AN4" s="158">
        <v>2184</v>
      </c>
      <c r="AO4" s="158">
        <v>865</v>
      </c>
      <c r="AP4" s="158">
        <v>2170</v>
      </c>
      <c r="AQ4" s="158">
        <v>830</v>
      </c>
      <c r="AR4" s="158">
        <v>610</v>
      </c>
      <c r="AS4" s="158">
        <v>7298</v>
      </c>
      <c r="AT4" s="158">
        <v>1861369</v>
      </c>
      <c r="AU4" s="160"/>
      <c r="AV4" s="158">
        <v>2018</v>
      </c>
      <c r="AW4" s="158">
        <v>20833201</v>
      </c>
    </row>
    <row r="5" spans="1:49">
      <c r="A5" s="222" t="s">
        <v>45</v>
      </c>
      <c r="B5" s="221">
        <v>0.80000000000000038</v>
      </c>
      <c r="C5" s="147">
        <f t="shared" si="0"/>
        <v>1</v>
      </c>
      <c r="D5" s="157">
        <v>43466</v>
      </c>
      <c r="E5" s="158">
        <v>12721</v>
      </c>
      <c r="F5" s="158">
        <v>162669</v>
      </c>
      <c r="G5" s="158">
        <f t="shared" ref="G5:G53" si="1">E5/F5</f>
        <v>7.82017471060866E-2</v>
      </c>
      <c r="H5" s="158">
        <v>26249</v>
      </c>
      <c r="I5" s="158">
        <v>288755</v>
      </c>
      <c r="J5" s="158">
        <f t="shared" ref="J5:J11" si="2">H5/I5</f>
        <v>9.0904053609461313E-2</v>
      </c>
      <c r="K5" s="159">
        <v>11253</v>
      </c>
      <c r="L5" s="159">
        <v>155057</v>
      </c>
      <c r="M5" s="159">
        <v>14689</v>
      </c>
      <c r="N5" s="159">
        <v>241287</v>
      </c>
      <c r="O5" s="158">
        <v>7371</v>
      </c>
      <c r="P5" s="158">
        <v>162926</v>
      </c>
      <c r="Q5" s="158">
        <f t="shared" ref="Q5:Q11" si="3">O5/P5</f>
        <v>4.5241397935258949E-2</v>
      </c>
      <c r="R5" s="158">
        <v>10322</v>
      </c>
      <c r="S5" s="158">
        <v>122703</v>
      </c>
      <c r="T5" s="158">
        <f t="shared" ref="T5:T11" si="4">R5/S5</f>
        <v>8.4121822612324065E-2</v>
      </c>
      <c r="U5" s="158">
        <v>575</v>
      </c>
      <c r="V5" s="158">
        <v>127441</v>
      </c>
      <c r="W5" s="158">
        <f t="shared" ref="W5:W11" si="5">U5/V5</f>
        <v>4.5118917773714897E-3</v>
      </c>
      <c r="X5" s="158">
        <v>14759</v>
      </c>
      <c r="Y5" s="158">
        <v>185136</v>
      </c>
      <c r="Z5" s="158">
        <f t="shared" ref="Z5:Z11" si="6">X5/Y5</f>
        <v>7.9719773571860691E-2</v>
      </c>
      <c r="AA5" s="158">
        <v>9589</v>
      </c>
      <c r="AB5" s="158">
        <v>94067</v>
      </c>
      <c r="AC5" s="158">
        <f t="shared" ref="AC5:AC11" si="7">AA5/AB5</f>
        <v>0.10193798037568967</v>
      </c>
      <c r="AD5" s="158">
        <v>5640</v>
      </c>
      <c r="AE5" s="158">
        <v>117005</v>
      </c>
      <c r="AF5" s="158">
        <f t="shared" ref="AF5:AF11" si="8">AD5/AE5</f>
        <v>4.8203068244946794E-2</v>
      </c>
      <c r="AG5" s="158">
        <v>6169</v>
      </c>
      <c r="AH5" s="158">
        <v>136266</v>
      </c>
      <c r="AI5" s="158">
        <f t="shared" ref="AI5:AI11" si="9">AG5/AH5</f>
        <v>4.5271747904833196E-2</v>
      </c>
      <c r="AJ5" s="159">
        <v>282</v>
      </c>
      <c r="AK5" s="160"/>
      <c r="AL5" s="159">
        <v>3756</v>
      </c>
      <c r="AM5" s="158">
        <v>42300</v>
      </c>
      <c r="AN5" s="158">
        <v>2087</v>
      </c>
      <c r="AO5" s="158">
        <v>477</v>
      </c>
      <c r="AP5" s="158">
        <v>1930</v>
      </c>
      <c r="AQ5" s="158">
        <v>630</v>
      </c>
      <c r="AR5" s="158">
        <v>1110</v>
      </c>
      <c r="AS5" s="158">
        <v>9012</v>
      </c>
      <c r="AT5" s="158">
        <v>1974234</v>
      </c>
      <c r="AU5" s="158">
        <v>0.12970000000000001</v>
      </c>
      <c r="AV5" s="158">
        <v>2019</v>
      </c>
      <c r="AW5" s="158">
        <v>20784085</v>
      </c>
    </row>
    <row r="6" spans="1:49" ht="11.25" customHeight="1">
      <c r="A6" s="222" t="s">
        <v>46</v>
      </c>
      <c r="B6" s="221">
        <v>0.73000000000000054</v>
      </c>
      <c r="C6" s="147">
        <f t="shared" si="0"/>
        <v>1</v>
      </c>
      <c r="D6" s="157">
        <v>43831</v>
      </c>
      <c r="E6" s="158">
        <v>15784</v>
      </c>
      <c r="F6" s="158">
        <v>152975</v>
      </c>
      <c r="G6" s="158">
        <f t="shared" si="1"/>
        <v>0.10318025821212616</v>
      </c>
      <c r="H6" s="158">
        <v>24895</v>
      </c>
      <c r="I6" s="158">
        <v>280557</v>
      </c>
      <c r="J6" s="158">
        <f t="shared" si="2"/>
        <v>8.8734196616017419E-2</v>
      </c>
      <c r="K6" s="159">
        <v>14303</v>
      </c>
      <c r="L6" s="159">
        <v>130287</v>
      </c>
      <c r="M6" s="159">
        <v>17066</v>
      </c>
      <c r="N6" s="159">
        <v>223983</v>
      </c>
      <c r="O6" s="158">
        <v>4404</v>
      </c>
      <c r="P6" s="158">
        <v>130282</v>
      </c>
      <c r="Q6" s="158">
        <f t="shared" si="3"/>
        <v>3.3803595277935555E-2</v>
      </c>
      <c r="R6" s="158">
        <v>10126</v>
      </c>
      <c r="S6" s="158">
        <v>116664</v>
      </c>
      <c r="T6" s="158">
        <f t="shared" si="4"/>
        <v>8.6796269629020095E-2</v>
      </c>
      <c r="U6" s="158">
        <v>469</v>
      </c>
      <c r="V6" s="158">
        <v>127651</v>
      </c>
      <c r="W6" s="158">
        <f t="shared" si="5"/>
        <v>3.6740801090473243E-3</v>
      </c>
      <c r="X6" s="158">
        <v>13853</v>
      </c>
      <c r="Y6" s="158">
        <v>143878</v>
      </c>
      <c r="Z6" s="158">
        <f t="shared" si="6"/>
        <v>9.6282961953877588E-2</v>
      </c>
      <c r="AA6" s="158">
        <v>9505</v>
      </c>
      <c r="AB6" s="158">
        <v>96173</v>
      </c>
      <c r="AC6" s="158">
        <f t="shared" si="7"/>
        <v>9.883231260332942E-2</v>
      </c>
      <c r="AD6" s="158">
        <v>7568</v>
      </c>
      <c r="AE6" s="158">
        <v>113606</v>
      </c>
      <c r="AF6" s="158">
        <f t="shared" si="8"/>
        <v>6.6616199848599553E-2</v>
      </c>
      <c r="AG6" s="158">
        <v>7570</v>
      </c>
      <c r="AH6" s="158">
        <v>112248</v>
      </c>
      <c r="AI6" s="158">
        <f t="shared" si="9"/>
        <v>6.7439954386715129E-2</v>
      </c>
      <c r="AJ6" s="159">
        <v>198</v>
      </c>
      <c r="AK6" s="160"/>
      <c r="AL6" s="159">
        <v>2617</v>
      </c>
      <c r="AM6" s="158">
        <v>40200</v>
      </c>
      <c r="AN6" s="158">
        <v>2294</v>
      </c>
      <c r="AO6" s="158">
        <v>408</v>
      </c>
      <c r="AP6" s="158">
        <v>1950</v>
      </c>
      <c r="AQ6" s="158">
        <v>510</v>
      </c>
      <c r="AR6" s="158">
        <v>610</v>
      </c>
      <c r="AS6" s="158">
        <v>7144</v>
      </c>
      <c r="AT6" s="158">
        <v>1809779</v>
      </c>
      <c r="AU6" s="158">
        <v>7.5700000000000003E-2</v>
      </c>
      <c r="AV6" s="158">
        <v>2020</v>
      </c>
      <c r="AW6" s="161" t="e">
        <v>#DIV/0!</v>
      </c>
    </row>
    <row r="7" spans="1:49">
      <c r="A7" s="222" t="s">
        <v>47</v>
      </c>
      <c r="B7" s="221">
        <v>0.72000000000000053</v>
      </c>
      <c r="C7" s="147">
        <f t="shared" si="0"/>
        <v>1</v>
      </c>
      <c r="D7" s="157">
        <v>44197</v>
      </c>
      <c r="E7" s="158">
        <v>11968</v>
      </c>
      <c r="F7" s="158">
        <v>119152</v>
      </c>
      <c r="G7" s="158">
        <f t="shared" si="1"/>
        <v>0.10044313146233383</v>
      </c>
      <c r="H7" s="158">
        <v>19269</v>
      </c>
      <c r="I7" s="158">
        <v>227734</v>
      </c>
      <c r="J7" s="158">
        <f t="shared" si="2"/>
        <v>8.4611871745106135E-2</v>
      </c>
      <c r="K7" s="159">
        <v>10826</v>
      </c>
      <c r="L7" s="159">
        <v>103575</v>
      </c>
      <c r="M7" s="159">
        <v>13875</v>
      </c>
      <c r="N7" s="159">
        <v>192083</v>
      </c>
      <c r="O7" s="158">
        <v>11403</v>
      </c>
      <c r="P7" s="158">
        <v>145316</v>
      </c>
      <c r="Q7" s="158">
        <f t="shared" si="3"/>
        <v>7.8470368025544329E-2</v>
      </c>
      <c r="R7" s="158">
        <v>8799</v>
      </c>
      <c r="S7" s="158">
        <v>94242</v>
      </c>
      <c r="T7" s="158">
        <f t="shared" si="4"/>
        <v>9.3366015152479789E-2</v>
      </c>
      <c r="U7" s="158">
        <v>2046</v>
      </c>
      <c r="V7" s="158">
        <v>90319</v>
      </c>
      <c r="W7" s="158">
        <f t="shared" si="5"/>
        <v>2.2653040888406646E-2</v>
      </c>
      <c r="X7" s="158">
        <v>15356</v>
      </c>
      <c r="Y7" s="158">
        <v>163924</v>
      </c>
      <c r="Z7" s="158">
        <f t="shared" si="6"/>
        <v>9.3677557892681979E-2</v>
      </c>
      <c r="AA7" s="158">
        <v>6204</v>
      </c>
      <c r="AB7" s="158">
        <v>87396</v>
      </c>
      <c r="AC7" s="158">
        <f t="shared" si="7"/>
        <v>7.0987230536866675E-2</v>
      </c>
      <c r="AD7" s="158">
        <v>5165</v>
      </c>
      <c r="AE7" s="158">
        <v>83423</v>
      </c>
      <c r="AF7" s="158">
        <f t="shared" si="8"/>
        <v>6.1913381201826836E-2</v>
      </c>
      <c r="AG7" s="158">
        <v>5765</v>
      </c>
      <c r="AH7" s="158">
        <v>90982</v>
      </c>
      <c r="AI7" s="158">
        <f t="shared" si="9"/>
        <v>6.3364181926095275E-2</v>
      </c>
      <c r="AJ7" s="159">
        <v>338</v>
      </c>
      <c r="AK7" s="160"/>
      <c r="AL7" s="159">
        <v>4121</v>
      </c>
      <c r="AM7" s="158">
        <v>25800</v>
      </c>
      <c r="AN7" s="158">
        <v>6027</v>
      </c>
      <c r="AO7" s="158">
        <v>329</v>
      </c>
      <c r="AP7" s="158">
        <v>1180</v>
      </c>
      <c r="AQ7" s="158">
        <v>320</v>
      </c>
      <c r="AR7" s="158">
        <v>750</v>
      </c>
      <c r="AS7" s="158">
        <v>3264</v>
      </c>
      <c r="AT7" s="158">
        <v>1550952</v>
      </c>
      <c r="AU7" s="158">
        <v>0.4279</v>
      </c>
      <c r="AV7" s="158">
        <v>2021</v>
      </c>
      <c r="AW7" s="158">
        <v>15611908</v>
      </c>
    </row>
    <row r="8" spans="1:49" ht="11.25" customHeight="1">
      <c r="A8" s="222" t="s">
        <v>48</v>
      </c>
      <c r="B8" s="221">
        <v>0.89000000000000068</v>
      </c>
      <c r="C8" s="147">
        <f t="shared" si="0"/>
        <v>1</v>
      </c>
      <c r="D8" s="157">
        <v>44562</v>
      </c>
      <c r="E8" s="158">
        <v>10370</v>
      </c>
      <c r="F8" s="158">
        <v>107535</v>
      </c>
      <c r="G8" s="158">
        <f t="shared" si="1"/>
        <v>9.6433719254196304E-2</v>
      </c>
      <c r="H8" s="158">
        <v>16638</v>
      </c>
      <c r="I8" s="158">
        <v>229451</v>
      </c>
      <c r="J8" s="158">
        <f t="shared" si="2"/>
        <v>7.251221393674466E-2</v>
      </c>
      <c r="K8" s="159">
        <v>10451</v>
      </c>
      <c r="L8" s="159">
        <v>93932</v>
      </c>
      <c r="M8" s="159">
        <v>11411</v>
      </c>
      <c r="N8" s="159">
        <v>162908</v>
      </c>
      <c r="O8" s="158">
        <v>6773</v>
      </c>
      <c r="P8" s="158">
        <v>87436</v>
      </c>
      <c r="Q8" s="158">
        <f t="shared" si="3"/>
        <v>7.7462372478155447E-2</v>
      </c>
      <c r="R8" s="158">
        <v>8924</v>
      </c>
      <c r="S8" s="158">
        <v>97899</v>
      </c>
      <c r="T8" s="158">
        <f t="shared" si="4"/>
        <v>9.1155170124311791E-2</v>
      </c>
      <c r="U8" s="158">
        <v>429</v>
      </c>
      <c r="V8" s="158">
        <v>107879</v>
      </c>
      <c r="W8" s="158">
        <f t="shared" si="5"/>
        <v>3.9766775739485906E-3</v>
      </c>
      <c r="X8" s="158">
        <v>8595</v>
      </c>
      <c r="Y8" s="158">
        <v>85119</v>
      </c>
      <c r="Z8" s="158">
        <f t="shared" si="6"/>
        <v>0.1009762802664505</v>
      </c>
      <c r="AA8" s="158">
        <v>6003</v>
      </c>
      <c r="AB8" s="158">
        <v>78481</v>
      </c>
      <c r="AC8" s="158">
        <f t="shared" si="7"/>
        <v>7.6489851046750171E-2</v>
      </c>
      <c r="AD8" s="158">
        <v>4434</v>
      </c>
      <c r="AE8" s="158">
        <v>63797</v>
      </c>
      <c r="AF8" s="158">
        <f t="shared" si="8"/>
        <v>6.9501700706929792E-2</v>
      </c>
      <c r="AG8" s="158">
        <v>2923</v>
      </c>
      <c r="AH8" s="158">
        <v>60812</v>
      </c>
      <c r="AI8" s="158">
        <f t="shared" si="9"/>
        <v>4.8066171150430839E-2</v>
      </c>
      <c r="AJ8" s="159">
        <v>479</v>
      </c>
      <c r="AK8" s="160"/>
      <c r="AL8" s="159">
        <v>6543</v>
      </c>
      <c r="AM8" s="158">
        <v>24300</v>
      </c>
      <c r="AN8" s="158">
        <v>2251</v>
      </c>
      <c r="AO8" s="158">
        <v>415</v>
      </c>
      <c r="AP8" s="158">
        <v>1350</v>
      </c>
      <c r="AQ8" s="158">
        <v>380</v>
      </c>
      <c r="AR8" s="158">
        <v>550</v>
      </c>
      <c r="AS8" s="158">
        <v>3473</v>
      </c>
      <c r="AT8" s="158">
        <v>1301942</v>
      </c>
      <c r="AU8" s="158">
        <v>-3.4000000000000002E-2</v>
      </c>
      <c r="AV8" s="158">
        <v>2022</v>
      </c>
      <c r="AW8" s="158">
        <v>15014626</v>
      </c>
    </row>
    <row r="9" spans="1:49">
      <c r="A9" s="222" t="s">
        <v>49</v>
      </c>
      <c r="B9" s="221">
        <v>0.97000000000000075</v>
      </c>
      <c r="C9" s="147">
        <f t="shared" si="0"/>
        <v>1</v>
      </c>
      <c r="D9" s="157">
        <v>44927</v>
      </c>
      <c r="E9" s="158">
        <v>10618</v>
      </c>
      <c r="F9" s="158">
        <v>114129</v>
      </c>
      <c r="G9" s="158">
        <f t="shared" si="1"/>
        <v>9.3035074345696536E-2</v>
      </c>
      <c r="H9" s="158">
        <v>17604</v>
      </c>
      <c r="I9" s="158">
        <v>232927</v>
      </c>
      <c r="J9" s="158">
        <f t="shared" si="2"/>
        <v>7.5577326801959416E-2</v>
      </c>
      <c r="K9" s="160"/>
      <c r="L9" s="160"/>
      <c r="M9" s="159">
        <v>12789</v>
      </c>
      <c r="N9" s="159">
        <v>175323</v>
      </c>
      <c r="O9" s="158">
        <v>7885</v>
      </c>
      <c r="P9" s="158">
        <v>97896</v>
      </c>
      <c r="Q9" s="158">
        <f t="shared" si="3"/>
        <v>8.0544659638800364E-2</v>
      </c>
      <c r="R9" s="158">
        <v>10016</v>
      </c>
      <c r="S9" s="158">
        <v>109867</v>
      </c>
      <c r="T9" s="158">
        <f t="shared" si="4"/>
        <v>9.1164771951541407E-2</v>
      </c>
      <c r="U9" s="158">
        <v>474</v>
      </c>
      <c r="V9" s="158">
        <v>72236</v>
      </c>
      <c r="W9" s="158">
        <f t="shared" si="5"/>
        <v>6.5618251287446706E-3</v>
      </c>
      <c r="X9" s="158">
        <v>9857</v>
      </c>
      <c r="Y9" s="158">
        <v>99115</v>
      </c>
      <c r="Z9" s="158">
        <f t="shared" si="6"/>
        <v>9.9450133683095396E-2</v>
      </c>
      <c r="AA9" s="158">
        <v>6567</v>
      </c>
      <c r="AB9" s="158">
        <v>84456</v>
      </c>
      <c r="AC9" s="158">
        <f t="shared" si="7"/>
        <v>7.7756464904802494E-2</v>
      </c>
      <c r="AD9" s="158">
        <v>2112</v>
      </c>
      <c r="AE9" s="158">
        <v>75845</v>
      </c>
      <c r="AF9" s="158">
        <f t="shared" si="8"/>
        <v>2.7846265409717186E-2</v>
      </c>
      <c r="AG9" s="158">
        <v>3716</v>
      </c>
      <c r="AH9" s="158">
        <v>73669</v>
      </c>
      <c r="AI9" s="158">
        <f t="shared" si="9"/>
        <v>5.0441841208649502E-2</v>
      </c>
      <c r="AJ9" s="160"/>
      <c r="AK9" s="160"/>
      <c r="AL9" s="160"/>
      <c r="AM9" s="158">
        <v>27300</v>
      </c>
      <c r="AN9" s="158">
        <v>3501</v>
      </c>
      <c r="AO9" s="158">
        <v>124800</v>
      </c>
      <c r="AP9" s="158">
        <v>1160</v>
      </c>
      <c r="AQ9" s="158">
        <v>7500</v>
      </c>
      <c r="AR9" s="158">
        <v>530</v>
      </c>
      <c r="AS9" s="158">
        <v>2029</v>
      </c>
      <c r="AT9" s="158">
        <v>1383922</v>
      </c>
      <c r="AU9" s="158">
        <v>0.12529999999999999</v>
      </c>
      <c r="AV9" s="158">
        <v>2023</v>
      </c>
      <c r="AW9" s="158">
        <v>15823057</v>
      </c>
    </row>
    <row r="10" spans="1:49" ht="11.25" customHeight="1">
      <c r="A10" s="222" t="s">
        <v>50</v>
      </c>
      <c r="B10" s="221">
        <v>0.69500000000000051</v>
      </c>
      <c r="C10" s="147">
        <f t="shared" si="0"/>
        <v>1</v>
      </c>
      <c r="D10" s="162">
        <v>45292</v>
      </c>
      <c r="E10" s="158">
        <v>11108</v>
      </c>
      <c r="F10" s="158">
        <v>135773</v>
      </c>
      <c r="G10" s="158">
        <f t="shared" si="1"/>
        <v>8.1813026153948129E-2</v>
      </c>
      <c r="H10" s="158">
        <v>14661</v>
      </c>
      <c r="I10" s="158">
        <v>222798</v>
      </c>
      <c r="J10" s="158">
        <f t="shared" si="2"/>
        <v>6.5804001831255218E-2</v>
      </c>
      <c r="K10" s="160"/>
      <c r="L10" s="160"/>
      <c r="M10" s="159">
        <v>19244</v>
      </c>
      <c r="N10" s="159">
        <v>186718</v>
      </c>
      <c r="O10" s="158">
        <v>9670</v>
      </c>
      <c r="P10" s="158">
        <v>108132</v>
      </c>
      <c r="Q10" s="158">
        <f t="shared" si="3"/>
        <v>8.9427736470240077E-2</v>
      </c>
      <c r="R10" s="158">
        <v>9838</v>
      </c>
      <c r="S10" s="158">
        <v>114696</v>
      </c>
      <c r="T10" s="158">
        <f t="shared" si="4"/>
        <v>8.5774569296226552E-2</v>
      </c>
      <c r="U10" s="158">
        <v>575</v>
      </c>
      <c r="V10" s="158">
        <v>84435</v>
      </c>
      <c r="W10" s="158">
        <f t="shared" si="5"/>
        <v>6.8099721679398357E-3</v>
      </c>
      <c r="X10" s="158">
        <v>19568</v>
      </c>
      <c r="Y10" s="158">
        <v>201351</v>
      </c>
      <c r="Z10" s="158">
        <f t="shared" si="6"/>
        <v>9.7183525286688416E-2</v>
      </c>
      <c r="AA10" s="158">
        <v>9373</v>
      </c>
      <c r="AB10" s="158">
        <v>84880</v>
      </c>
      <c r="AC10" s="158">
        <f t="shared" si="7"/>
        <v>0.11042648444863336</v>
      </c>
      <c r="AD10" s="158">
        <v>2822</v>
      </c>
      <c r="AE10" s="158">
        <v>93785</v>
      </c>
      <c r="AF10" s="158">
        <f t="shared" si="8"/>
        <v>3.009009969611345E-2</v>
      </c>
      <c r="AG10" s="158">
        <v>2060</v>
      </c>
      <c r="AH10" s="158">
        <v>34663</v>
      </c>
      <c r="AI10" s="158">
        <f t="shared" si="9"/>
        <v>5.9429362721057033E-2</v>
      </c>
      <c r="AJ10" s="163">
        <v>0</v>
      </c>
      <c r="AK10" s="164"/>
      <c r="AL10" s="164"/>
      <c r="AM10" s="165">
        <v>32400</v>
      </c>
      <c r="AN10" s="165">
        <v>0</v>
      </c>
      <c r="AO10" s="165">
        <v>589</v>
      </c>
      <c r="AP10" s="165">
        <v>1310</v>
      </c>
      <c r="AQ10" s="165">
        <v>530</v>
      </c>
      <c r="AR10" s="165">
        <v>700</v>
      </c>
      <c r="AS10" s="165">
        <v>3036</v>
      </c>
      <c r="AT10" s="165">
        <v>1404716</v>
      </c>
      <c r="AU10" s="164"/>
      <c r="AV10" s="158">
        <v>2024</v>
      </c>
      <c r="AW10" s="158">
        <v>6908920</v>
      </c>
    </row>
    <row r="11" spans="1:49">
      <c r="A11" s="222" t="s">
        <v>51</v>
      </c>
      <c r="B11" s="221">
        <v>0.93500000000000072</v>
      </c>
      <c r="C11" s="147">
        <f t="shared" si="0"/>
        <v>1</v>
      </c>
      <c r="D11" s="166">
        <v>45658</v>
      </c>
      <c r="E11" s="167">
        <f>_xlfn.FORECAST.ETS(DATE(2025,1,1),E$4:E$10,$D$4:$D$10,1,1)+_xlfn.FORECAST.ETS.CONFINT(DATE(2025,1,1),E$4:E$10,$D$4:$D$10,$B$4,1)</f>
        <v>13569.725522420718</v>
      </c>
      <c r="F11" s="167">
        <f>_xlfn.FORECAST.ETS(DATE(2025,1,1),F$4:F$10,$D$4:$D$10,1,1)+_xlfn.FORECAST.ETS.CONFINT(DATE(2025,1,1),F$4:F$10,$D$4:$D$10,$B$4,1)</f>
        <v>131634.27838071084</v>
      </c>
      <c r="G11" s="158">
        <f t="shared" si="1"/>
        <v>0.10308656445226635</v>
      </c>
      <c r="H11" s="167">
        <f>_xlfn.FORECAST.ETS(DATE(2025,1,1),H$4:H$10,$D$4:$D$10,1,1)+_xlfn.FORECAST.ETS.CONFINT(DATE(2025,1,1),H$4:H$10,$D$4:$D$10,$B$5,1)</f>
        <v>15393.781128660083</v>
      </c>
      <c r="I11" s="167">
        <f>_xlfn.FORECAST.ETS(DATE(2025,1,1),I$4:I$10,$D$4:$D$10,1,1)+_xlfn.FORECAST.ETS.CONFINT(DATE(2025,1,1),I$4:I$10,$D$4:$D$10,$B$5,1)</f>
        <v>220283.06360687991</v>
      </c>
      <c r="J11" s="158">
        <f t="shared" si="2"/>
        <v>6.988181876811024E-2</v>
      </c>
      <c r="K11" s="152"/>
      <c r="L11" s="152"/>
      <c r="M11" s="152"/>
      <c r="N11" s="152"/>
      <c r="O11" s="167">
        <f>_xlfn.FORECAST.ETS(DATE(2025,1,1),O$4:O$10,$D$4:$D$10,1,1)+_xlfn.FORECAST.ETS.CONFINT(DATE(2025,1,1),O$4:O$10,$D$4:$D$10,$B$6,1)</f>
        <v>12122.297304033225</v>
      </c>
      <c r="P11" s="167">
        <f>_xlfn.FORECAST.ETS(DATE(2025,1,1),P$4:P$10,$D$4:$D$10,1,1)+_xlfn.FORECAST.ETS.CONFINT(DATE(2025,1,1),P$4:P$10,$D$4:$D$10,$B$6,1)</f>
        <v>111012.67211743387</v>
      </c>
      <c r="Q11" s="158">
        <f t="shared" si="3"/>
        <v>0.10919741929290513</v>
      </c>
      <c r="R11" s="167">
        <f>_xlfn.FORECAST.ETS(DATE(2025,1,1),R$4:R$10,$D$4:$D$10,1,1)+_xlfn.FORECAST.ETS.CONFINT(DATE(2025,1,1),R$4:R$10,$D$4:$D$10,$B$7,1)</f>
        <v>10386.568892659414</v>
      </c>
      <c r="S11" s="167">
        <f>_xlfn.FORECAST.ETS(DATE(2025,1,1),S$4:S$10,$D$4:$D$10,1,1)+_xlfn.FORECAST.ETS.CONFINT(DATE(2025,1,1),S$4:S$10,$D$4:$D$10,$B$7,1)</f>
        <v>122240.35841257537</v>
      </c>
      <c r="T11" s="158">
        <f t="shared" si="4"/>
        <v>8.4968410004194694E-2</v>
      </c>
      <c r="U11" s="167">
        <f>_xlfn.FORECAST.ETS(DATE(2025,1,1),U$4:U$10,$D$4:$D$10,1,1)+_xlfn.FORECAST.ETS.CONFINT(DATE(2025,1,1),U$4:U$10,$D$4:$D$10,$B$8,1)</f>
        <v>1612.6304663915439</v>
      </c>
      <c r="V11" s="167">
        <f>_xlfn.FORECAST.ETS(DATE(2025,1,1),V$4:V$10,$D$4:$D$10,1,1)+_xlfn.FORECAST.ETS.CONFINT(DATE(2025,1,1),V$4:V$10,$D$4:$D$10,$B$8,1)</f>
        <v>80397.908162681822</v>
      </c>
      <c r="W11" s="158">
        <f t="shared" si="5"/>
        <v>2.0058114735130337E-2</v>
      </c>
      <c r="X11" s="167">
        <f>_xlfn.FORECAST.ETS(DATE(2025,1,1),X$4:X$10,$D$4:$D$10,1,1)+_xlfn.FORECAST.ETS.CONFINT(DATE(2025,1,1),X$4:X$10,$D$4:$D$10,$B$9,1)</f>
        <v>21573.530600287406</v>
      </c>
      <c r="Y11" s="167">
        <f>_xlfn.FORECAST.ETS(DATE(2025,1,1),Y$4:Y$10,$D$4:$D$10,1,1)+_xlfn.FORECAST.ETS.CONFINT(DATE(2025,1,1),Y$4:Y$10,$D$4:$D$10,$B$9,1)</f>
        <v>216817.68201357897</v>
      </c>
      <c r="Z11" s="158">
        <f t="shared" si="6"/>
        <v>9.9500789787690322E-2</v>
      </c>
      <c r="AA11" s="167">
        <f>_xlfn.FORECAST.ETS(DATE(2025,1,1),AA$4:AA$10,$D$4:$D$10,1,1)+_xlfn.FORECAST.ETS.CONFINT(DATE(2025,1,1),AA$4:AA$10,$D$4:$D$10,$B$10,1)</f>
        <v>8290.6654490861129</v>
      </c>
      <c r="AB11" s="167">
        <f>_xlfn.FORECAST.ETS(DATE(2025,1,1),AB$4:AB$10,$D$4:$D$10,1,1)+_xlfn.FORECAST.ETS.CONFINT(DATE(2025,1,1),AB$4:AB$10,$D$4:$D$10,$B$10,1)</f>
        <v>83711.70242811869</v>
      </c>
      <c r="AC11" s="158">
        <f t="shared" si="7"/>
        <v>9.9038308965286148E-2</v>
      </c>
      <c r="AD11" s="167">
        <f>_xlfn.FORECAST.ETS(DATE(2025,1,1),AD$4:AD$10,$D$4:$D$10,1,1)+_xlfn.FORECAST.ETS.CONFINT(DATE(2025,1,1),AD$4:AD$10,$D$4:$D$10,$B$11,1)</f>
        <v>4804.0975989392919</v>
      </c>
      <c r="AE11" s="167">
        <f>_xlfn.FORECAST.ETS(DATE(2025,1,1),AE$4:AE$10,$D$4:$D$10,1,1)+_xlfn.FORECAST.ETS.CONFINT(DATE(2025,1,1),AE$4:AE$10,$D$4:$D$10,$B$11,1)</f>
        <v>91362.149167627213</v>
      </c>
      <c r="AF11" s="158">
        <f t="shared" si="8"/>
        <v>5.2583018708600507E-2</v>
      </c>
      <c r="AG11" s="167">
        <f>_xlfn.FORECAST.ETS(DATE(2025,1,1),AG$4:AG$10,$D$4:$D$10,1,1)+_xlfn.FORECAST.ETS.CONFINT(DATE(2025,1,1),AG$4:AG$10,$D$4:$D$10,$B$12,1)</f>
        <v>2636.2455273549058</v>
      </c>
      <c r="AH11" s="167">
        <f>_xlfn.FORECAST.ETS(DATE(2025,1,1),AH$4:AH$10,$D$4:$D$10,1,1)+_xlfn.FORECAST.ETS.CONFINT(DATE(2025,1,1),AH$4:AH$10,$D$4:$D$10,$B$12,1)</f>
        <v>43054.295739967158</v>
      </c>
      <c r="AI11" s="158">
        <f t="shared" si="9"/>
        <v>6.1230720002410539E-2</v>
      </c>
      <c r="AJ11" s="152"/>
      <c r="AK11" s="152"/>
      <c r="AL11" s="152"/>
      <c r="AM11" s="152">
        <f>_xlfn.FORECAST.ETS(DATE(2025,1,1),AM$4:AM$10,$D$4:$D$10,1,1)+_xlfn.FORECAST.ETS.CONFINT(DATE(2025,1,1),AM$4:AM$10,$D$4:$D$10,$C$1,1)</f>
        <v>24072.701348879662</v>
      </c>
      <c r="AN11" s="152">
        <f t="shared" ref="AN11:AS11" si="10">_xlfn.FORECAST.ETS(DATE(2025,1,1),AN$4:AN$10,$D$4:$D$10,1,1)+_xlfn.FORECAST.ETS.CONFINT(DATE(2025,1,1),AN$4:AN$10,$D$4:$D$10,$C$1,1)</f>
        <v>1920.2669853892069</v>
      </c>
      <c r="AO11" s="152">
        <f t="shared" si="10"/>
        <v>83771.504866385832</v>
      </c>
      <c r="AP11" s="152">
        <f t="shared" si="10"/>
        <v>1013.5220980185118</v>
      </c>
      <c r="AQ11" s="152">
        <f t="shared" si="10"/>
        <v>5135.832167884535</v>
      </c>
      <c r="AR11" s="152">
        <f t="shared" si="10"/>
        <v>505.68503908989902</v>
      </c>
      <c r="AS11" s="152">
        <f t="shared" si="10"/>
        <v>513.97937077964309</v>
      </c>
      <c r="AT11" s="152"/>
      <c r="AU11" s="160"/>
      <c r="AV11" s="152"/>
      <c r="AW11" s="152"/>
    </row>
    <row r="12" spans="1:49" ht="11.25" customHeight="1">
      <c r="A12" s="222" t="s">
        <v>52</v>
      </c>
      <c r="B12" s="221">
        <v>0.56500000000000039</v>
      </c>
      <c r="C12" s="147">
        <f t="shared" si="0"/>
        <v>1</v>
      </c>
      <c r="D12" s="225">
        <v>46023</v>
      </c>
      <c r="E12" s="226">
        <f>_xlfn.FORECAST.ETS(DATE(2026,1,1),E$4:E$11,$D$4:$D$11,1,1)+_xlfn.FORECAST.ETS.CONFINT(DATE(2026,1,1),E$4:E$11,$D$4:$D$11,$B$4,1)</f>
        <v>14639.547197111067</v>
      </c>
      <c r="F12" s="226">
        <f>_xlfn.FORECAST.ETS(DATE(2026,1,1),F$4:F$11,$D$4:$D$11,1,1)+_xlfn.FORECAST.ETS.CONFINT(DATE(2026,1,1),F$4:F$11,$D$4:$D$11,$B$4,1)</f>
        <v>139522.07266238888</v>
      </c>
      <c r="G12" s="227">
        <f t="shared" si="1"/>
        <v>0.10492638847571727</v>
      </c>
      <c r="H12" s="226">
        <f>_xlfn.FORECAST.ETS(DATE(2026,1,1),H$4:H$11,$D$4:$D$11,1,1)+_xlfn.FORECAST.ETS.CONFINT(DATE(2026,1,1),H$4:H$11,$D$4:$D$11,$D$1,1)</f>
        <v>13901.803100436324</v>
      </c>
      <c r="I12" s="226">
        <f>_xlfn.FORECAST.ETS(DATE(2026,1,1),I$4:I$11,$D$4:$D$11,1,1)+_xlfn.FORECAST.ETS.CONFINT(DATE(2026,1,1),I$4:I$11,$D$4:$D$11,$D$1,1)</f>
        <v>209765.40878708728</v>
      </c>
      <c r="J12" s="227"/>
      <c r="K12" s="228"/>
      <c r="L12" s="228"/>
      <c r="M12" s="228"/>
      <c r="N12" s="228"/>
      <c r="O12" s="226">
        <f>_xlfn.FORECAST.ETS(DATE(2026,1,1),O$4:O$11,$D$4:$D$11,1,1)+_xlfn.FORECAST.ETS.CONFINT(DATE(2026,1,1),O$4:O$11,$D$4:$D$11,$D$1,1)</f>
        <v>11096.172567243339</v>
      </c>
      <c r="P12" s="226">
        <f>_xlfn.FORECAST.ETS(DATE(2026,1,1),P$4:P$11,$D$4:$D$11,1,1)+_xlfn.FORECAST.ETS.CONFINT(DATE(2026,1,1),P$4:P$11,$D$4:$D$11,$D$1,1)</f>
        <v>99285.068951440626</v>
      </c>
      <c r="Q12" s="227"/>
      <c r="R12" s="226">
        <f>_xlfn.FORECAST.ETS(DATE(2026,1,1),R$4:R$11,$D$4:$D$11,1,1)+_xlfn.FORECAST.ETS.CONFINT(DATE(2026,1,1),R$4:R$11,$D$4:$D$11,$D$1,1)</f>
        <v>10824.714260376923</v>
      </c>
      <c r="S12" s="226">
        <f>_xlfn.FORECAST.ETS(DATE(2026,1,1),S$4:S$11,$D$4:$D$11,1,1)+_xlfn.FORECAST.ETS.CONFINT(DATE(2026,1,1),S$4:S$11,$D$4:$D$11,$D$1,1)</f>
        <v>128984.95959151487</v>
      </c>
      <c r="T12" s="227"/>
      <c r="U12" s="226">
        <f>_xlfn.FORECAST.ETS(DATE(2026,1,1),U$4:U$11,$D$4:$D$11,1,1)+_xlfn.FORECAST.ETS.CONFINT(DATE(2026,1,1),U$4:U$11,$D$4:$D$11,$D$1,1)</f>
        <v>1545.5795012487185</v>
      </c>
      <c r="V12" s="226">
        <f>_xlfn.FORECAST.ETS(DATE(2026,1,1),V$4:V$11,$D$4:$D$11,1,1)+_xlfn.FORECAST.ETS.CONFINT(DATE(2026,1,1),V$4:V$11,$D$4:$D$11,$D$1,1)</f>
        <v>70102.83742753425</v>
      </c>
      <c r="W12" s="227"/>
      <c r="X12" s="226"/>
      <c r="Y12" s="226"/>
      <c r="Z12" s="227"/>
      <c r="AA12" s="226"/>
      <c r="AB12" s="226"/>
      <c r="AC12" s="227"/>
      <c r="AD12" s="226"/>
      <c r="AE12" s="226"/>
      <c r="AF12" s="227"/>
      <c r="AG12" s="226"/>
      <c r="AH12" s="226"/>
      <c r="AI12" s="227"/>
      <c r="AJ12" s="228"/>
      <c r="AK12" s="228"/>
      <c r="AL12" s="228"/>
      <c r="AM12" s="228"/>
      <c r="AN12" s="228"/>
      <c r="AO12" s="228"/>
      <c r="AP12" s="228"/>
      <c r="AQ12" s="228"/>
      <c r="AR12" s="228"/>
      <c r="AS12" s="228"/>
      <c r="AT12" s="152"/>
      <c r="AU12" s="160"/>
      <c r="AV12" s="152"/>
      <c r="AW12" s="152"/>
    </row>
    <row r="13" spans="1:49">
      <c r="A13" s="222"/>
      <c r="D13" s="225">
        <v>46388</v>
      </c>
      <c r="E13" s="226">
        <f>_xlfn.FORECAST.ETS(DATE(2027,1,1),E$4:E$12,$D$4:$D$12,1,1)+_xlfn.FORECAST.ETS.CONFINT(DATE(2027,1,1),E$4:E$12,$D$4:$D$12,$B$4,1)</f>
        <v>15529.92476436735</v>
      </c>
      <c r="F13" s="226">
        <f>_xlfn.FORECAST.ETS(DATE(2027,1,1),F$4:F$12,$D$4:$D$12,1,1)+_xlfn.FORECAST.ETS.CONFINT(DATE(2027,1,1),F$4:F$12,$D$4:$D$12,$B$4,1)</f>
        <v>164070.71230497427</v>
      </c>
      <c r="G13" s="227">
        <f t="shared" si="1"/>
        <v>9.465385105112703E-2</v>
      </c>
      <c r="H13" s="226">
        <f>_xlfn.FORECAST.ETS(DATE(2027,1,1),H$4:H$12,$D$4:$D$12,1,1)+_xlfn.FORECAST.ETS.CONFINT(DATE(2027,1,1),H$4:H$12,$D$4:$D$12,$D$1,1)</f>
        <v>12571.169797500552</v>
      </c>
      <c r="I13" s="226">
        <f>_xlfn.FORECAST.ETS(DATE(2027,1,1),I$4:I$12,$D$4:$D$12,1,1)+_xlfn.FORECAST.ETS.CONFINT(DATE(2027,1,1),I$4:I$12,$D$4:$D$12,$D$1,1)</f>
        <v>210130.5682857924</v>
      </c>
      <c r="J13" s="227"/>
      <c r="K13" s="228"/>
      <c r="L13" s="228"/>
      <c r="M13" s="228"/>
      <c r="N13" s="228"/>
      <c r="O13" s="226">
        <f>_xlfn.FORECAST.ETS(DATE(2027,1,1),O$4:O$12,$D$4:$D$12,1,1)+_xlfn.FORECAST.ETS.CONFINT(DATE(2027,1,1),O$4:O$12,$D$4:$D$12,$D$1,1)</f>
        <v>13835.437581438175</v>
      </c>
      <c r="P13" s="226">
        <f>_xlfn.FORECAST.ETS(DATE(2027,1,1),P$4:P$12,$D$4:$D$12,1,1)+_xlfn.FORECAST.ETS.CONFINT(DATE(2027,1,1),P$4:P$12,$D$4:$D$12,$D$1,1)</f>
        <v>98686.023719910459</v>
      </c>
      <c r="Q13" s="227"/>
      <c r="R13" s="226">
        <f>_xlfn.FORECAST.ETS(DATE(2027,1,1),R$4:R$12,$D$4:$D$12,1,1)+_xlfn.FORECAST.ETS.CONFINT(DATE(2027,1,1),R$4:R$12,$D$4:$D$12,$D$1,1)</f>
        <v>11343.573451374878</v>
      </c>
      <c r="S13" s="226">
        <f>_xlfn.FORECAST.ETS(DATE(2027,1,1),S$4:S$12,$D$4:$D$12,1,1)+_xlfn.FORECAST.ETS.CONFINT(DATE(2027,1,1),S$4:S$12,$D$4:$D$12,$D$1,1)</f>
        <v>137053.84835975667</v>
      </c>
      <c r="T13" s="227"/>
      <c r="U13" s="226">
        <f>_xlfn.FORECAST.ETS(DATE(2027,1,1),U$4:U$12,$D$4:$D$12,1,1)+_xlfn.FORECAST.ETS.CONFINT(DATE(2027,1,1),U$4:U$12,$D$4:$D$12,$D$1,1)</f>
        <v>1805.8904774704722</v>
      </c>
      <c r="V13" s="226">
        <f>_xlfn.FORECAST.ETS(DATE(2027,1,1),V$4:V$12,$D$4:$D$12,1,1)+_xlfn.FORECAST.ETS.CONFINT(DATE(2027,1,1),V$4:V$12,$D$4:$D$12,$D$1,1)</f>
        <v>69313.389187603752</v>
      </c>
      <c r="W13" s="227"/>
      <c r="X13" s="226"/>
      <c r="Y13" s="226"/>
      <c r="Z13" s="227"/>
      <c r="AA13" s="226"/>
      <c r="AB13" s="226"/>
      <c r="AC13" s="227"/>
      <c r="AD13" s="226"/>
      <c r="AE13" s="226"/>
      <c r="AF13" s="227"/>
      <c r="AG13" s="226"/>
      <c r="AH13" s="226"/>
      <c r="AI13" s="227"/>
      <c r="AJ13" s="228"/>
      <c r="AK13" s="228"/>
      <c r="AL13" s="228"/>
      <c r="AM13" s="228"/>
      <c r="AN13" s="228"/>
      <c r="AO13" s="228"/>
      <c r="AP13" s="228"/>
      <c r="AQ13" s="228"/>
      <c r="AR13" s="228"/>
      <c r="AS13" s="228"/>
      <c r="AT13" s="152"/>
      <c r="AU13" s="160"/>
      <c r="AV13" s="152"/>
      <c r="AW13" s="152"/>
    </row>
    <row r="14" spans="1:49" ht="11.25" customHeight="1">
      <c r="D14" s="225">
        <v>46753</v>
      </c>
      <c r="E14" s="226">
        <f>_xlfn.FORECAST.ETS(DATE(2028,1,1),E$4:E$13,$D$4:$D$13,1,1)+_xlfn.FORECAST.ETS.CONFINT(DATE(2028,1,1),E$4:E$13,$D$4:$D$13,$B$4,1)</f>
        <v>16994.777880340484</v>
      </c>
      <c r="F14" s="226">
        <f>_xlfn.FORECAST.ETS(DATE(2028,1,1),F$4:F$13,$D$4:$D$13,1,1)+_xlfn.FORECAST.ETS.CONFINT(DATE(2028,1,1),F$4:F$13,$D$4:$D$13,$B$4,1)</f>
        <v>191641.77883447317</v>
      </c>
      <c r="G14" s="227">
        <f t="shared" si="1"/>
        <v>8.8679921380918666E-2</v>
      </c>
      <c r="H14" s="226">
        <f>_xlfn.FORECAST.ETS(DATE(2028,1,1),H$4:H$13,$D$4:$D$13,1,1)+_xlfn.FORECAST.ETS.CONFINT(DATE(2028,1,1),H$4:H$13,$D$4:$D$13,$D$1,1)</f>
        <v>11527.662781054971</v>
      </c>
      <c r="I14" s="226">
        <f>_xlfn.FORECAST.ETS(DATE(2028,1,1),I$4:I$13,$D$4:$D$13,1,1)+_xlfn.FORECAST.ETS.CONFINT(DATE(2028,1,1),I$4:I$13,$D$4:$D$13,$D$1,1)</f>
        <v>209538.99639573589</v>
      </c>
      <c r="J14" s="227"/>
      <c r="K14" s="228"/>
      <c r="L14" s="228"/>
      <c r="M14" s="228"/>
      <c r="N14" s="228"/>
      <c r="O14" s="226">
        <f>_xlfn.FORECAST.ETS(DATE(2028,1,1),O$4:O$13,$D$4:$D$13,1,1)+_xlfn.FORECAST.ETS.CONFINT(DATE(2028,1,1),O$4:O$13,$D$4:$D$13,$D$1,1)</f>
        <v>15293.011065587818</v>
      </c>
      <c r="P14" s="226">
        <f>_xlfn.FORECAST.ETS(DATE(2028,1,1),P$4:P$13,$D$4:$D$13,1,1)+_xlfn.FORECAST.ETS.CONFINT(DATE(2028,1,1),P$4:P$13,$D$4:$D$13,$D$1,1)</f>
        <v>99710.2951107439</v>
      </c>
      <c r="Q14" s="227"/>
      <c r="R14" s="226">
        <f>_xlfn.FORECAST.ETS(DATE(2028,1,1),R$4:R$13,$D$4:$D$13,1,1)+_xlfn.FORECAST.ETS.CONFINT(DATE(2028,1,1),R$4:R$13,$D$4:$D$13,$D$1,1)</f>
        <v>11920.475714176657</v>
      </c>
      <c r="S14" s="226">
        <f>_xlfn.FORECAST.ETS(DATE(2028,1,1),S$4:S$13,$D$4:$D$13,1,1)+_xlfn.FORECAST.ETS.CONFINT(DATE(2028,1,1),S$4:S$13,$D$4:$D$13,$D$1,1)</f>
        <v>146749.44014646759</v>
      </c>
      <c r="T14" s="227"/>
      <c r="U14" s="226">
        <f>_xlfn.FORECAST.ETS(DATE(2028,1,1),U$4:U$13,$D$4:$D$13,1,1)+_xlfn.FORECAST.ETS.CONFINT(DATE(2028,1,1),U$4:U$13,$D$4:$D$13,$D$1,1)</f>
        <v>2089.4409092632004</v>
      </c>
      <c r="V14" s="226">
        <f>_xlfn.FORECAST.ETS(DATE(2028,1,1),V$4:V$13,$D$4:$D$13,1,1)+_xlfn.FORECAST.ETS.CONFINT(DATE(2028,1,1),V$4:V$13,$D$4:$D$13,$D$1,1)</f>
        <v>64764.100402325719</v>
      </c>
      <c r="W14" s="227"/>
      <c r="X14" s="226"/>
      <c r="Y14" s="226"/>
      <c r="Z14" s="227"/>
      <c r="AA14" s="226"/>
      <c r="AB14" s="226"/>
      <c r="AC14" s="227"/>
      <c r="AD14" s="226"/>
      <c r="AE14" s="226"/>
      <c r="AF14" s="227"/>
      <c r="AG14" s="226"/>
      <c r="AH14" s="226"/>
      <c r="AI14" s="227"/>
      <c r="AJ14" s="228"/>
      <c r="AK14" s="228"/>
      <c r="AL14" s="228"/>
      <c r="AM14" s="228"/>
      <c r="AN14" s="228"/>
      <c r="AO14" s="228"/>
      <c r="AP14" s="228"/>
      <c r="AQ14" s="228"/>
      <c r="AR14" s="228"/>
      <c r="AS14" s="228"/>
      <c r="AT14" s="152"/>
      <c r="AU14" s="160"/>
      <c r="AV14" s="152"/>
      <c r="AW14" s="152"/>
    </row>
    <row r="15" spans="1:49">
      <c r="A15" s="222"/>
      <c r="D15" s="225">
        <v>47119</v>
      </c>
      <c r="E15" s="226">
        <f>_xlfn.FORECAST.ETS(DATE(2029,1,1),E$4:E$14,$D$4:$D$14,1,1)+_xlfn.FORECAST.ETS.CONFINT(DATE(2029,1,1),E$4:E$14,$D$4:$D$14,$B$4,1)</f>
        <v>18828.177045502642</v>
      </c>
      <c r="F15" s="226">
        <f>_xlfn.FORECAST.ETS(DATE(2029,1,1),F$4:F$14,$D$4:$D$14,1,1)+_xlfn.FORECAST.ETS.CONFINT(DATE(2029,1,1),F$4:F$14,$D$4:$D$14,$B$4,1)</f>
        <v>244342.09542106377</v>
      </c>
      <c r="G15" s="227">
        <f t="shared" si="1"/>
        <v>7.7056624291679615E-2</v>
      </c>
      <c r="H15" s="226">
        <f>_xlfn.FORECAST.ETS(DATE(2029,1,1),H$4:H$14,$D$4:$D$14,1,1)+_xlfn.FORECAST.ETS.CONFINT(DATE(2029,1,1),H$4:H$14,$D$4:$D$14,$D$1,1)</f>
        <v>10408.387404966245</v>
      </c>
      <c r="I15" s="226">
        <f>_xlfn.FORECAST.ETS(DATE(2029,1,1),I$4:I$14,$D$4:$D$14,1,1)+_xlfn.FORECAST.ETS.CONFINT(DATE(2029,1,1),I$4:I$14,$D$4:$D$14,$D$1,1)</f>
        <v>211691.30768009092</v>
      </c>
      <c r="J15" s="227"/>
      <c r="K15" s="228"/>
      <c r="L15" s="228"/>
      <c r="M15" s="228"/>
      <c r="N15" s="228"/>
      <c r="O15" s="226">
        <f>_xlfn.FORECAST.ETS(DATE(2029,1,1),O$4:O$14,$D$4:$D$14,1,1)+_xlfn.FORECAST.ETS.CONFINT(DATE(2029,1,1),O$4:O$14,$D$4:$D$14,$D$1,1)</f>
        <v>16854.026587665776</v>
      </c>
      <c r="P15" s="226">
        <f>_xlfn.FORECAST.ETS(DATE(2029,1,1),P$4:P$14,$D$4:$D$14,1,1)+_xlfn.FORECAST.ETS.CONFINT(DATE(2029,1,1),P$4:P$14,$D$4:$D$14,$D$1,1)</f>
        <v>97547.158282458346</v>
      </c>
      <c r="Q15" s="227"/>
      <c r="R15" s="226">
        <f>_xlfn.FORECAST.ETS(DATE(2029,1,1),R$4:R$14,$D$4:$D$14,1,1)+_xlfn.FORECAST.ETS.CONFINT(DATE(2029,1,1),R$4:R$14,$D$4:$D$14,$D$1,1)</f>
        <v>13075.055498648982</v>
      </c>
      <c r="S15" s="226">
        <f>_xlfn.FORECAST.ETS(DATE(2029,1,1),S$4:S$14,$D$4:$D$14,1,1)+_xlfn.FORECAST.ETS.CONFINT(DATE(2029,1,1),S$4:S$14,$D$4:$D$14,$D$1,1)</f>
        <v>164717.18265882006</v>
      </c>
      <c r="T15" s="227"/>
      <c r="U15" s="226">
        <f>_xlfn.FORECAST.ETS(DATE(2029,1,1),U$4:U$14,$D$4:$D$14,1,1)+_xlfn.FORECAST.ETS.CONFINT(DATE(2029,1,1),U$4:U$14,$D$4:$D$14,$D$1,1)</f>
        <v>2397.469443848634</v>
      </c>
      <c r="V15" s="226">
        <f>_xlfn.FORECAST.ETS(DATE(2029,1,1),V$4:V$14,$D$4:$D$14,1,1)+_xlfn.FORECAST.ETS.CONFINT(DATE(2029,1,1),V$4:V$14,$D$4:$D$14,$D$1,1)</f>
        <v>60807.526707334458</v>
      </c>
      <c r="W15" s="227"/>
      <c r="X15" s="226"/>
      <c r="Y15" s="226"/>
      <c r="Z15" s="227"/>
      <c r="AA15" s="226"/>
      <c r="AB15" s="226"/>
      <c r="AC15" s="227"/>
      <c r="AD15" s="226"/>
      <c r="AE15" s="226"/>
      <c r="AF15" s="227"/>
      <c r="AG15" s="226"/>
      <c r="AH15" s="226"/>
      <c r="AI15" s="227"/>
      <c r="AJ15" s="228"/>
      <c r="AK15" s="228"/>
      <c r="AL15" s="228"/>
      <c r="AM15" s="228"/>
      <c r="AN15" s="228"/>
      <c r="AO15" s="228"/>
      <c r="AP15" s="228"/>
      <c r="AQ15" s="228"/>
      <c r="AR15" s="228"/>
      <c r="AS15" s="228"/>
      <c r="AT15" s="152"/>
      <c r="AU15" s="160"/>
      <c r="AV15" s="152"/>
      <c r="AW15" s="152"/>
    </row>
    <row r="16" spans="1:49" ht="11.25" customHeight="1">
      <c r="A16" s="130">
        <v>0</v>
      </c>
      <c r="C16" s="147">
        <f t="shared" si="0"/>
        <v>2</v>
      </c>
      <c r="D16" s="157">
        <v>43132</v>
      </c>
      <c r="E16" s="168">
        <v>13867</v>
      </c>
      <c r="F16" s="168">
        <v>173810</v>
      </c>
      <c r="G16" s="158">
        <f>E16/F16</f>
        <v>7.9782521143777693E-2</v>
      </c>
      <c r="H16" s="168">
        <v>23524</v>
      </c>
      <c r="I16" s="168">
        <v>263994</v>
      </c>
      <c r="J16" s="168">
        <v>8.9099999999999999E-2</v>
      </c>
      <c r="K16" s="169">
        <v>8432</v>
      </c>
      <c r="L16" s="169">
        <v>140686</v>
      </c>
      <c r="M16" s="169">
        <v>14476</v>
      </c>
      <c r="N16" s="169">
        <v>199410</v>
      </c>
      <c r="O16" s="168">
        <v>8794</v>
      </c>
      <c r="P16" s="168">
        <v>127812</v>
      </c>
      <c r="Q16" s="168">
        <v>6.88E-2</v>
      </c>
      <c r="R16" s="168">
        <v>10489</v>
      </c>
      <c r="S16" s="168">
        <v>106711</v>
      </c>
      <c r="T16" s="168">
        <v>9.8299999999999998E-2</v>
      </c>
      <c r="U16" s="168">
        <v>699</v>
      </c>
      <c r="V16" s="168">
        <v>93338</v>
      </c>
      <c r="W16" s="168">
        <v>7.4999999999999997E-3</v>
      </c>
      <c r="X16" s="168">
        <v>14979</v>
      </c>
      <c r="Y16" s="168">
        <v>180628</v>
      </c>
      <c r="Z16" s="168">
        <v>8.2900000000000001E-2</v>
      </c>
      <c r="AA16" s="168">
        <v>9401</v>
      </c>
      <c r="AB16" s="168">
        <v>88187</v>
      </c>
      <c r="AC16" s="168">
        <v>0.1066</v>
      </c>
      <c r="AD16" s="168">
        <v>5320</v>
      </c>
      <c r="AE16" s="168">
        <v>90748</v>
      </c>
      <c r="AF16" s="168">
        <v>5.8599999999999999E-2</v>
      </c>
      <c r="AG16" s="168">
        <v>6350</v>
      </c>
      <c r="AH16" s="168">
        <v>95498</v>
      </c>
      <c r="AI16" s="168">
        <v>6.6500000000000004E-2</v>
      </c>
      <c r="AJ16" s="169">
        <v>57</v>
      </c>
      <c r="AK16" s="156"/>
      <c r="AL16" s="169">
        <v>1944</v>
      </c>
      <c r="AM16" s="168">
        <v>36000</v>
      </c>
      <c r="AN16" s="168">
        <v>2733</v>
      </c>
      <c r="AO16" s="168">
        <v>603</v>
      </c>
      <c r="AP16" s="168">
        <v>1960</v>
      </c>
      <c r="AQ16" s="168">
        <v>780</v>
      </c>
      <c r="AR16" s="168">
        <v>590</v>
      </c>
      <c r="AS16" s="168">
        <v>7127</v>
      </c>
      <c r="AT16" s="168">
        <v>1728948</v>
      </c>
      <c r="AU16" s="168">
        <v>-7.1099999999999997E-2</v>
      </c>
      <c r="AV16" s="156"/>
      <c r="AW16" s="156"/>
    </row>
    <row r="17" spans="1:49">
      <c r="A17" s="224">
        <f>0.005+A16</f>
        <v>5.0000000000000001E-3</v>
      </c>
      <c r="C17" s="147">
        <f t="shared" si="0"/>
        <v>2</v>
      </c>
      <c r="D17" s="157">
        <v>43497</v>
      </c>
      <c r="E17" s="168">
        <v>15603</v>
      </c>
      <c r="F17" s="168">
        <v>197396</v>
      </c>
      <c r="G17" s="158">
        <f t="shared" si="1"/>
        <v>7.9044154896755758E-2</v>
      </c>
      <c r="H17" s="168">
        <v>26425</v>
      </c>
      <c r="I17" s="168">
        <v>287501</v>
      </c>
      <c r="J17" s="168">
        <v>9.1899999999999996E-2</v>
      </c>
      <c r="K17" s="169">
        <v>10589</v>
      </c>
      <c r="L17" s="169">
        <v>124515</v>
      </c>
      <c r="M17" s="169">
        <v>16065</v>
      </c>
      <c r="N17" s="169">
        <v>214694</v>
      </c>
      <c r="O17" s="168">
        <v>6779</v>
      </c>
      <c r="P17" s="168">
        <v>124542</v>
      </c>
      <c r="Q17" s="168">
        <v>5.4399999999999997E-2</v>
      </c>
      <c r="R17" s="168">
        <v>9216</v>
      </c>
      <c r="S17" s="168">
        <v>102729</v>
      </c>
      <c r="T17" s="168">
        <v>8.9700000000000002E-2</v>
      </c>
      <c r="U17" s="168">
        <v>812</v>
      </c>
      <c r="V17" s="168">
        <v>95066</v>
      </c>
      <c r="W17" s="168">
        <v>8.5000000000000006E-3</v>
      </c>
      <c r="X17" s="168">
        <v>12692</v>
      </c>
      <c r="Y17" s="168">
        <v>138956</v>
      </c>
      <c r="Z17" s="168">
        <v>9.1300000000000006E-2</v>
      </c>
      <c r="AA17" s="168">
        <v>6363</v>
      </c>
      <c r="AB17" s="168">
        <v>105216</v>
      </c>
      <c r="AC17" s="168">
        <v>6.0499999999999998E-2</v>
      </c>
      <c r="AD17" s="168">
        <v>6211</v>
      </c>
      <c r="AE17" s="168">
        <v>95651</v>
      </c>
      <c r="AF17" s="168">
        <v>6.4899999999999999E-2</v>
      </c>
      <c r="AG17" s="168">
        <v>6333</v>
      </c>
      <c r="AH17" s="168">
        <v>119657</v>
      </c>
      <c r="AI17" s="168">
        <v>5.2900000000000003E-2</v>
      </c>
      <c r="AJ17" s="169">
        <v>154</v>
      </c>
      <c r="AK17" s="156"/>
      <c r="AL17" s="169">
        <v>3681</v>
      </c>
      <c r="AM17" s="168">
        <v>35400</v>
      </c>
      <c r="AN17" s="168">
        <v>2841</v>
      </c>
      <c r="AO17" s="168">
        <v>425</v>
      </c>
      <c r="AP17" s="168">
        <v>1730</v>
      </c>
      <c r="AQ17" s="168">
        <v>500</v>
      </c>
      <c r="AR17" s="168">
        <v>1070</v>
      </c>
      <c r="AS17" s="168">
        <v>7958</v>
      </c>
      <c r="AT17" s="168">
        <v>1776771</v>
      </c>
      <c r="AU17" s="168">
        <v>-0.1</v>
      </c>
      <c r="AV17" s="156"/>
      <c r="AW17" s="156"/>
    </row>
    <row r="18" spans="1:49" ht="11.25" customHeight="1">
      <c r="A18" s="224">
        <f t="shared" ref="A18:A81" si="11">0.005+A17</f>
        <v>0.01</v>
      </c>
      <c r="C18" s="147">
        <f t="shared" si="0"/>
        <v>2</v>
      </c>
      <c r="D18" s="157">
        <v>43862</v>
      </c>
      <c r="E18" s="168">
        <v>13525</v>
      </c>
      <c r="F18" s="168">
        <v>128526</v>
      </c>
      <c r="G18" s="158">
        <f t="shared" si="1"/>
        <v>0.10523162628573207</v>
      </c>
      <c r="H18" s="168">
        <v>22776</v>
      </c>
      <c r="I18" s="168">
        <v>246468</v>
      </c>
      <c r="J18" s="168">
        <v>9.2399999999999996E-2</v>
      </c>
      <c r="K18" s="169">
        <v>12380</v>
      </c>
      <c r="L18" s="169">
        <v>111977</v>
      </c>
      <c r="M18" s="169">
        <v>15934</v>
      </c>
      <c r="N18" s="169">
        <v>194957</v>
      </c>
      <c r="O18" s="168">
        <v>6652</v>
      </c>
      <c r="P18" s="168">
        <v>121753</v>
      </c>
      <c r="Q18" s="168">
        <v>5.4600000000000003E-2</v>
      </c>
      <c r="R18" s="168">
        <v>9428</v>
      </c>
      <c r="S18" s="168">
        <v>105708</v>
      </c>
      <c r="T18" s="168">
        <v>8.9200000000000002E-2</v>
      </c>
      <c r="U18" s="168">
        <v>739</v>
      </c>
      <c r="V18" s="168">
        <v>103556</v>
      </c>
      <c r="W18" s="168">
        <v>7.1000000000000004E-3</v>
      </c>
      <c r="X18" s="168">
        <v>12433</v>
      </c>
      <c r="Y18" s="168">
        <v>127145</v>
      </c>
      <c r="Z18" s="168">
        <v>9.7799999999999998E-2</v>
      </c>
      <c r="AA18" s="168">
        <v>8955</v>
      </c>
      <c r="AB18" s="168">
        <v>87037</v>
      </c>
      <c r="AC18" s="168">
        <v>0.10290000000000001</v>
      </c>
      <c r="AD18" s="168">
        <v>6562</v>
      </c>
      <c r="AE18" s="168">
        <v>92959</v>
      </c>
      <c r="AF18" s="168">
        <v>7.0599999999999996E-2</v>
      </c>
      <c r="AG18" s="168">
        <v>6498</v>
      </c>
      <c r="AH18" s="168">
        <v>91034</v>
      </c>
      <c r="AI18" s="168">
        <v>7.1400000000000005E-2</v>
      </c>
      <c r="AJ18" s="169">
        <v>129</v>
      </c>
      <c r="AK18" s="156"/>
      <c r="AL18" s="169">
        <v>2237</v>
      </c>
      <c r="AM18" s="168">
        <v>34200</v>
      </c>
      <c r="AN18" s="168">
        <v>2352</v>
      </c>
      <c r="AO18" s="168">
        <v>410</v>
      </c>
      <c r="AP18" s="168">
        <v>1550</v>
      </c>
      <c r="AQ18" s="168">
        <v>380</v>
      </c>
      <c r="AR18" s="168">
        <v>670</v>
      </c>
      <c r="AS18" s="168">
        <v>6738</v>
      </c>
      <c r="AT18" s="168">
        <v>1575669</v>
      </c>
      <c r="AU18" s="168">
        <v>-0.12939999999999999</v>
      </c>
      <c r="AV18" s="156"/>
      <c r="AW18" s="156"/>
    </row>
    <row r="19" spans="1:49">
      <c r="A19" s="224">
        <f t="shared" si="11"/>
        <v>1.4999999999999999E-2</v>
      </c>
      <c r="C19" s="147">
        <f t="shared" si="0"/>
        <v>2</v>
      </c>
      <c r="D19" s="157">
        <v>44228</v>
      </c>
      <c r="E19" s="168">
        <v>3751</v>
      </c>
      <c r="F19" s="168">
        <v>32176</v>
      </c>
      <c r="G19" s="158">
        <f t="shared" si="1"/>
        <v>0.11657757334659373</v>
      </c>
      <c r="H19" s="168">
        <v>16775</v>
      </c>
      <c r="I19" s="168">
        <v>196578</v>
      </c>
      <c r="J19" s="168">
        <v>8.5300000000000001E-2</v>
      </c>
      <c r="K19" s="169">
        <v>10273</v>
      </c>
      <c r="L19" s="169">
        <v>97710</v>
      </c>
      <c r="M19" s="169">
        <v>13046</v>
      </c>
      <c r="N19" s="169">
        <v>166478</v>
      </c>
      <c r="O19" s="168">
        <v>5752</v>
      </c>
      <c r="P19" s="168">
        <v>74271</v>
      </c>
      <c r="Q19" s="168">
        <v>7.7399999999999997E-2</v>
      </c>
      <c r="R19" s="168">
        <v>8699</v>
      </c>
      <c r="S19" s="168">
        <v>96322</v>
      </c>
      <c r="T19" s="168">
        <v>9.0300000000000005E-2</v>
      </c>
      <c r="U19" s="168">
        <v>3897</v>
      </c>
      <c r="V19" s="168">
        <v>88217</v>
      </c>
      <c r="W19" s="168">
        <v>4.4200000000000003E-2</v>
      </c>
      <c r="X19" s="168">
        <v>11296</v>
      </c>
      <c r="Y19" s="168">
        <v>112090</v>
      </c>
      <c r="Z19" s="168">
        <v>0.1008</v>
      </c>
      <c r="AA19" s="168">
        <v>5894</v>
      </c>
      <c r="AB19" s="168">
        <v>76364</v>
      </c>
      <c r="AC19" s="168">
        <v>7.7200000000000005E-2</v>
      </c>
      <c r="AD19" s="168">
        <v>4531</v>
      </c>
      <c r="AE19" s="168">
        <v>70379</v>
      </c>
      <c r="AF19" s="168">
        <v>6.4399999999999999E-2</v>
      </c>
      <c r="AG19" s="168">
        <v>5521</v>
      </c>
      <c r="AH19" s="168">
        <v>97144</v>
      </c>
      <c r="AI19" s="168">
        <v>5.6800000000000003E-2</v>
      </c>
      <c r="AJ19" s="169">
        <v>367</v>
      </c>
      <c r="AK19" s="156"/>
      <c r="AL19" s="169">
        <v>3845</v>
      </c>
      <c r="AM19" s="168">
        <v>24300</v>
      </c>
      <c r="AN19" s="168">
        <v>2782</v>
      </c>
      <c r="AO19" s="168">
        <v>307</v>
      </c>
      <c r="AP19" s="168">
        <v>1180</v>
      </c>
      <c r="AQ19" s="168">
        <v>310</v>
      </c>
      <c r="AR19" s="168">
        <v>700</v>
      </c>
      <c r="AS19" s="168">
        <v>2597</v>
      </c>
      <c r="AT19" s="168">
        <v>1233553</v>
      </c>
      <c r="AU19" s="168">
        <v>-0.2046</v>
      </c>
      <c r="AV19" s="156"/>
      <c r="AW19" s="156"/>
    </row>
    <row r="20" spans="1:49" ht="11.25" customHeight="1">
      <c r="A20" s="224">
        <f t="shared" si="11"/>
        <v>0.02</v>
      </c>
      <c r="C20" s="147">
        <f t="shared" si="0"/>
        <v>2</v>
      </c>
      <c r="D20" s="157">
        <v>44593</v>
      </c>
      <c r="E20" s="168">
        <v>9856</v>
      </c>
      <c r="F20" s="168">
        <v>99751</v>
      </c>
      <c r="G20" s="158">
        <f t="shared" si="1"/>
        <v>9.8806027007248054E-2</v>
      </c>
      <c r="H20" s="168">
        <v>15959</v>
      </c>
      <c r="I20" s="168">
        <v>198172</v>
      </c>
      <c r="J20" s="168">
        <v>8.0500000000000002E-2</v>
      </c>
      <c r="K20" s="169">
        <v>6560</v>
      </c>
      <c r="L20" s="169">
        <v>60668</v>
      </c>
      <c r="M20" s="169">
        <v>10891</v>
      </c>
      <c r="N20" s="169">
        <v>150477</v>
      </c>
      <c r="O20" s="168">
        <v>6412</v>
      </c>
      <c r="P20" s="168">
        <v>75911</v>
      </c>
      <c r="Q20" s="168">
        <v>8.4500000000000006E-2</v>
      </c>
      <c r="R20" s="168">
        <v>8711</v>
      </c>
      <c r="S20" s="168">
        <v>91079</v>
      </c>
      <c r="T20" s="168">
        <v>9.5600000000000004E-2</v>
      </c>
      <c r="U20" s="168">
        <v>497</v>
      </c>
      <c r="V20" s="168">
        <v>79354</v>
      </c>
      <c r="W20" s="168">
        <v>6.3E-3</v>
      </c>
      <c r="X20" s="168">
        <v>8832</v>
      </c>
      <c r="Y20" s="168">
        <v>90512</v>
      </c>
      <c r="Z20" s="168">
        <v>9.7600000000000006E-2</v>
      </c>
      <c r="AA20" s="168">
        <v>5779</v>
      </c>
      <c r="AB20" s="168">
        <v>71303</v>
      </c>
      <c r="AC20" s="168">
        <v>8.1000000000000003E-2</v>
      </c>
      <c r="AD20" s="168">
        <v>4129</v>
      </c>
      <c r="AE20" s="168">
        <v>64037</v>
      </c>
      <c r="AF20" s="168">
        <v>6.4500000000000002E-2</v>
      </c>
      <c r="AG20" s="168">
        <v>2886</v>
      </c>
      <c r="AH20" s="168">
        <v>57343</v>
      </c>
      <c r="AI20" s="168">
        <v>5.0299999999999997E-2</v>
      </c>
      <c r="AJ20" s="169">
        <v>71</v>
      </c>
      <c r="AK20" s="156"/>
      <c r="AL20" s="169">
        <v>1945</v>
      </c>
      <c r="AM20" s="168">
        <v>14700</v>
      </c>
      <c r="AN20" s="168">
        <v>2886</v>
      </c>
      <c r="AO20" s="168">
        <v>434</v>
      </c>
      <c r="AP20" s="168">
        <v>1320</v>
      </c>
      <c r="AQ20" s="168">
        <v>400</v>
      </c>
      <c r="AR20" s="168">
        <v>500</v>
      </c>
      <c r="AS20" s="168">
        <v>3603</v>
      </c>
      <c r="AT20" s="168">
        <v>1144979</v>
      </c>
      <c r="AU20" s="168">
        <v>-0.1206</v>
      </c>
      <c r="AV20" s="156"/>
      <c r="AW20" s="156"/>
    </row>
    <row r="21" spans="1:49">
      <c r="A21" s="224">
        <f t="shared" si="11"/>
        <v>2.5000000000000001E-2</v>
      </c>
      <c r="C21" s="147">
        <f t="shared" si="0"/>
        <v>2</v>
      </c>
      <c r="D21" s="157">
        <v>44958</v>
      </c>
      <c r="E21" s="168">
        <v>11390</v>
      </c>
      <c r="F21" s="168">
        <v>122446</v>
      </c>
      <c r="G21" s="158">
        <f t="shared" si="1"/>
        <v>9.3020596834522976E-2</v>
      </c>
      <c r="H21" s="168">
        <v>15227</v>
      </c>
      <c r="I21" s="168">
        <v>223833</v>
      </c>
      <c r="J21" s="168">
        <v>6.8000000000000005E-2</v>
      </c>
      <c r="K21" s="156"/>
      <c r="L21" s="156"/>
      <c r="M21" s="169">
        <v>13192</v>
      </c>
      <c r="N21" s="169">
        <v>165899</v>
      </c>
      <c r="O21" s="168">
        <v>9512</v>
      </c>
      <c r="P21" s="168">
        <v>106121</v>
      </c>
      <c r="Q21" s="168">
        <v>8.9599999999999999E-2</v>
      </c>
      <c r="R21" s="168">
        <v>9599</v>
      </c>
      <c r="S21" s="168">
        <v>102751</v>
      </c>
      <c r="T21" s="168">
        <v>9.3399999999999997E-2</v>
      </c>
      <c r="U21" s="168">
        <v>548</v>
      </c>
      <c r="V21" s="168">
        <v>73856</v>
      </c>
      <c r="W21" s="168">
        <v>7.4000000000000003E-3</v>
      </c>
      <c r="X21" s="168">
        <v>10804</v>
      </c>
      <c r="Y21" s="168">
        <v>103044</v>
      </c>
      <c r="Z21" s="168">
        <v>0.1048</v>
      </c>
      <c r="AA21" s="168">
        <v>6525</v>
      </c>
      <c r="AB21" s="168">
        <v>77409</v>
      </c>
      <c r="AC21" s="168">
        <v>8.43E-2</v>
      </c>
      <c r="AD21" s="168">
        <v>1843</v>
      </c>
      <c r="AE21" s="168">
        <v>70219</v>
      </c>
      <c r="AF21" s="168">
        <v>2.6200000000000001E-2</v>
      </c>
      <c r="AG21" s="168">
        <v>3949</v>
      </c>
      <c r="AH21" s="168">
        <v>69862</v>
      </c>
      <c r="AI21" s="168">
        <v>5.6500000000000002E-2</v>
      </c>
      <c r="AJ21" s="156"/>
      <c r="AK21" s="156"/>
      <c r="AL21" s="156"/>
      <c r="AM21" s="168">
        <v>30600</v>
      </c>
      <c r="AN21" s="168">
        <v>2728</v>
      </c>
      <c r="AO21" s="168">
        <v>125700</v>
      </c>
      <c r="AP21" s="168">
        <v>1250</v>
      </c>
      <c r="AQ21" s="168">
        <v>10200</v>
      </c>
      <c r="AR21" s="168">
        <v>710</v>
      </c>
      <c r="AS21" s="168">
        <v>2335</v>
      </c>
      <c r="AT21" s="168">
        <v>1371553</v>
      </c>
      <c r="AU21" s="168">
        <v>-8.8999999999999999E-3</v>
      </c>
      <c r="AV21" s="156"/>
      <c r="AW21" s="156"/>
    </row>
    <row r="22" spans="1:49">
      <c r="A22" s="224">
        <f t="shared" si="11"/>
        <v>3.0000000000000002E-2</v>
      </c>
      <c r="C22" s="147">
        <f t="shared" si="0"/>
        <v>2</v>
      </c>
      <c r="D22" s="170">
        <v>45323</v>
      </c>
      <c r="E22" s="168">
        <v>10421</v>
      </c>
      <c r="F22" s="168">
        <v>125839</v>
      </c>
      <c r="G22" s="158">
        <f t="shared" si="1"/>
        <v>8.2812164750196676E-2</v>
      </c>
      <c r="H22" s="168">
        <v>13475</v>
      </c>
      <c r="I22" s="168">
        <v>210117</v>
      </c>
      <c r="J22" s="168">
        <v>6.4100000000000004E-2</v>
      </c>
      <c r="K22" s="156"/>
      <c r="L22" s="156"/>
      <c r="M22" s="169">
        <v>18738</v>
      </c>
      <c r="N22" s="169">
        <v>169682</v>
      </c>
      <c r="O22" s="168">
        <v>9240</v>
      </c>
      <c r="P22" s="168">
        <v>100358</v>
      </c>
      <c r="Q22" s="168">
        <v>9.2100000000000001E-2</v>
      </c>
      <c r="R22" s="168">
        <v>9278</v>
      </c>
      <c r="S22" s="168">
        <v>108935</v>
      </c>
      <c r="T22" s="168">
        <v>8.5199999999999998E-2</v>
      </c>
      <c r="U22" s="168">
        <v>416</v>
      </c>
      <c r="V22" s="168">
        <v>59016</v>
      </c>
      <c r="W22" s="168">
        <v>7.0000000000000001E-3</v>
      </c>
      <c r="X22" s="168">
        <v>19101</v>
      </c>
      <c r="Y22" s="168">
        <v>197189</v>
      </c>
      <c r="Z22" s="168">
        <v>9.69E-2</v>
      </c>
      <c r="AA22" s="168">
        <v>8035</v>
      </c>
      <c r="AB22" s="168">
        <v>74862</v>
      </c>
      <c r="AC22" s="168">
        <v>0.10730000000000001</v>
      </c>
      <c r="AD22" s="168">
        <v>2558</v>
      </c>
      <c r="AE22" s="168">
        <v>82173</v>
      </c>
      <c r="AF22" s="168">
        <v>3.1099999999999999E-2</v>
      </c>
      <c r="AG22" s="168">
        <v>1915</v>
      </c>
      <c r="AH22" s="168">
        <v>39149</v>
      </c>
      <c r="AI22" s="168">
        <v>4.8899999999999999E-2</v>
      </c>
      <c r="AJ22" s="169">
        <v>0</v>
      </c>
      <c r="AK22" s="156"/>
      <c r="AL22" s="156"/>
      <c r="AM22" s="168">
        <v>36600</v>
      </c>
      <c r="AN22" s="168">
        <v>9637</v>
      </c>
      <c r="AO22" s="168">
        <v>591</v>
      </c>
      <c r="AP22" s="168">
        <v>1370</v>
      </c>
      <c r="AQ22" s="168">
        <v>520</v>
      </c>
      <c r="AR22" s="168">
        <v>750</v>
      </c>
      <c r="AS22" s="168">
        <v>3564</v>
      </c>
      <c r="AT22" s="168">
        <v>1313530</v>
      </c>
      <c r="AU22" s="156"/>
      <c r="AV22" s="156"/>
      <c r="AW22" s="156"/>
    </row>
    <row r="23" spans="1:49">
      <c r="A23" s="224">
        <f t="shared" si="11"/>
        <v>3.5000000000000003E-2</v>
      </c>
      <c r="C23" s="147">
        <f t="shared" si="0"/>
        <v>2</v>
      </c>
      <c r="D23" s="170">
        <v>45689</v>
      </c>
      <c r="E23" s="167">
        <f>_xlfn.FORECAST.ETS(DATE(2025,1,1),E$16:E$22,$D$16:$D$22,1,1)+_xlfn.FORECAST.ETS.CONFINT(DATE(2025,1,1),E$16:E$22,$D$16:$D$22,$B$4,1)</f>
        <v>13801.619748316287</v>
      </c>
      <c r="F23" s="167">
        <f>_xlfn.FORECAST.ETS(DATE(2025,1,1),F$16:F$22,$D$16:$D$22,1,1)+_xlfn.FORECAST.ETS.CONFINT(DATE(2025,1,1),F$16:F$22,$D$16:$D$22,$B$4,1)</f>
        <v>171094.85862844702</v>
      </c>
      <c r="G23" s="158">
        <f>E23/F23</f>
        <v>8.0666478577758771E-2</v>
      </c>
      <c r="H23" s="167">
        <f>_xlfn.FORECAST.ETS(DATE(2025,1,1),H$16:H$22,$D$16:$D$22,1,1)+_xlfn.FORECAST.ETS.CONFINT(DATE(2025,1,1),H$16:H$22,$D$16:$D$22,$B$5,1)</f>
        <v>13496.493180821089</v>
      </c>
      <c r="I23" s="167">
        <f>_xlfn.FORECAST.ETS(DATE(2025,1,1),I$16:I$22,$D$16:$D$22,1,1)+_xlfn.FORECAST.ETS.CONFINT(DATE(2025,1,1),I$16:I$22,$D$16:$D$22,$B$5,1)</f>
        <v>207677.7394283007</v>
      </c>
      <c r="J23" s="158">
        <f>H23/I23</f>
        <v>6.4987673777529051E-2</v>
      </c>
      <c r="K23" s="152"/>
      <c r="L23" s="152"/>
      <c r="M23" s="152"/>
      <c r="N23" s="152"/>
      <c r="O23" s="167">
        <f>_xlfn.FORECAST.ETS(DATE(2025,1,1),O$16:O$22,$D$16:$D$22,1,1)+_xlfn.FORECAST.ETS.CONFINT(DATE(2025,1,1),O$16:O$22,$D$16:$D$22,$B$6,1)</f>
        <v>11039.060035026005</v>
      </c>
      <c r="P23" s="167">
        <f>_xlfn.FORECAST.ETS(DATE(2025,1,1),P$16:P$22,$D$16:$D$22,1,1)+_xlfn.FORECAST.ETS.CONFINT(DATE(2025,1,1),P$16:P$22,$D$16:$D$22,$B$6,1)</f>
        <v>105755.17255059586</v>
      </c>
      <c r="Q23" s="158">
        <f>O23/P23</f>
        <v>0.10438316886811989</v>
      </c>
      <c r="R23" s="167">
        <f>_xlfn.FORECAST.ETS(DATE(2025,1,1),R$16:R$22,$D$16:$D$22,1,1)+_xlfn.FORECAST.ETS.CONFINT(DATE(2025,1,1),R$16:R$22,$D$16:$D$22,$B$7,1)</f>
        <v>9786.1124521848269</v>
      </c>
      <c r="S23" s="167">
        <f>_xlfn.FORECAST.ETS(DATE(2025,1,1),S$16:S$22,$D$16:$D$22,1,1)+_xlfn.FORECAST.ETS.CONFINT(DATE(2025,1,1),S$16:S$22,$D$16:$D$22,$B$7,1)</f>
        <v>109344.00024651876</v>
      </c>
      <c r="T23" s="158">
        <f>R23/S23</f>
        <v>8.9498394334593515E-2</v>
      </c>
      <c r="U23" s="167">
        <f>_xlfn.FORECAST.ETS(DATE(2025,1,1),U$16:U$22,$D$16:$D$22,1,1)+_xlfn.FORECAST.ETS.CONFINT(DATE(2025,1,1),U$16:U$22,$D$16:$D$22,$B$8,1)</f>
        <v>2550.9750649133703</v>
      </c>
      <c r="V23" s="167">
        <f>_xlfn.FORECAST.ETS(DATE(2025,1,1),V$16:V$22,$D$16:$D$22,1,1)+_xlfn.FORECAST.ETS.CONFINT(DATE(2025,1,1),V$16:V$22,$D$16:$D$22,$B$8,1)</f>
        <v>66553.043026163446</v>
      </c>
      <c r="W23" s="158">
        <f>U23/V23</f>
        <v>3.8329953807078765E-2</v>
      </c>
      <c r="X23" s="167">
        <f>_xlfn.FORECAST.ETS(DATE(2025,1,1),X$16:X$22,$D$16:$D$22,1,1)+_xlfn.FORECAST.ETS.CONFINT(DATE(2025,1,1),X$16:X$22,$D$16:$D$22,$B$9,1)</f>
        <v>26101.825679530404</v>
      </c>
      <c r="Y23" s="167">
        <f>_xlfn.FORECAST.ETS(DATE(2025,1,1),Y$16:Y$22,$D$16:$D$22,1,1)+_xlfn.FORECAST.ETS.CONFINT(DATE(2025,1,1),Y$16:Y$22,$D$16:$D$22,$B$9,1)</f>
        <v>276170.48643128877</v>
      </c>
      <c r="Z23" s="158">
        <f>X23/Y23</f>
        <v>9.4513450792014814E-2</v>
      </c>
      <c r="AA23" s="167">
        <f>_xlfn.FORECAST.ETS(DATE(2025,1,1),AA$16:AA$22,$D$16:$D$22,1,1)+_xlfn.FORECAST.ETS.CONFINT(DATE(2025,1,1),AA$16:AA$22,$D$16:$D$22,$B$10,1)</f>
        <v>8167.7002649783135</v>
      </c>
      <c r="AB23" s="167">
        <f>_xlfn.FORECAST.ETS(DATE(2025,1,1),AB$16:AB$22,$D$16:$D$22,1,1)+_xlfn.FORECAST.ETS.CONFINT(DATE(2025,1,1),AB$16:AB$22,$D$16:$D$22,$B$10,1)</f>
        <v>79584.944649858866</v>
      </c>
      <c r="AC23" s="158">
        <f>AA23/AB23</f>
        <v>0.10262871075569439</v>
      </c>
      <c r="AD23" s="167">
        <f>_xlfn.FORECAST.ETS(DATE(2025,1,1),AD$16:AD$22,$D$16:$D$22,1,1)+_xlfn.FORECAST.ETS.CONFINT(DATE(2025,1,1),AD$16:AD$22,$D$16:$D$22,$B$11,1)</f>
        <v>3597.8205102491406</v>
      </c>
      <c r="AE23" s="167">
        <f>_xlfn.FORECAST.ETS(DATE(2025,1,1),AE$16:AE$22,$D$16:$D$22,1,1)+_xlfn.FORECAST.ETS.CONFINT(DATE(2025,1,1),AE$16:AE$22,$D$16:$D$22,$B$11,1)</f>
        <v>80942.46232365098</v>
      </c>
      <c r="AF23" s="158">
        <f>AD23/AE23</f>
        <v>4.4449111220055827E-2</v>
      </c>
      <c r="AG23" s="167">
        <f>_xlfn.FORECAST.ETS(DATE(2025,1,1),AG$16:AG$22,$D$16:$D$22,1,1)+_xlfn.FORECAST.ETS.CONFINT(DATE(2025,1,1),AG$16:AG$22,$D$16:$D$22,$B$12,1)</f>
        <v>2323.8594623190647</v>
      </c>
      <c r="AH23" s="167">
        <f>_xlfn.FORECAST.ETS(DATE(2025,1,1),AH$16:AH$22,$D$16:$D$22,1,1)+_xlfn.FORECAST.ETS.CONFINT(DATE(2025,1,1),AH$16:AH$22,$D$16:$D$22,$B$12,1)</f>
        <v>56114.129646504458</v>
      </c>
      <c r="AI23" s="158">
        <f>AG23/AH23</f>
        <v>4.1413089304929207E-2</v>
      </c>
      <c r="AJ23" s="152"/>
      <c r="AK23" s="152"/>
      <c r="AL23" s="152"/>
      <c r="AM23" s="152">
        <f>_xlfn.FORECAST.ETS(DATE(2025,1,1),AM$4:AM$10,$D$4:$D$10,1,1)+_xlfn.FORECAST.ETS.CONFINT(DATE(2025,1,1),AM$4:AM$10,$D$4:$D$10,$C$1,1)</f>
        <v>24072.701348879662</v>
      </c>
      <c r="AN23" s="152">
        <f t="shared" ref="AN23:AS23" si="12">_xlfn.FORECAST.ETS(DATE(2025,1,1),AN$4:AN$10,$D$4:$D$10,1,1)+_xlfn.FORECAST.ETS.CONFINT(DATE(2025,1,1),AN$4:AN$10,$D$4:$D$10,$C$1,1)</f>
        <v>1920.2669853892069</v>
      </c>
      <c r="AO23" s="152">
        <f t="shared" si="12"/>
        <v>83771.504866385832</v>
      </c>
      <c r="AP23" s="152">
        <f t="shared" si="12"/>
        <v>1013.5220980185118</v>
      </c>
      <c r="AQ23" s="152">
        <f t="shared" si="12"/>
        <v>5135.832167884535</v>
      </c>
      <c r="AR23" s="152">
        <f t="shared" si="12"/>
        <v>505.68503908989902</v>
      </c>
      <c r="AS23" s="152">
        <f t="shared" si="12"/>
        <v>513.97937077964309</v>
      </c>
      <c r="AT23" s="171"/>
      <c r="AU23" s="156"/>
      <c r="AV23" s="171"/>
      <c r="AW23" s="171"/>
    </row>
    <row r="24" spans="1:49">
      <c r="A24" s="224">
        <f t="shared" si="11"/>
        <v>0.04</v>
      </c>
      <c r="C24" s="147">
        <f t="shared" si="0"/>
        <v>3</v>
      </c>
      <c r="D24" s="157">
        <v>43160</v>
      </c>
      <c r="E24" s="158">
        <v>14840</v>
      </c>
      <c r="F24" s="158">
        <v>145287</v>
      </c>
      <c r="G24" s="158">
        <f>E24/F24</f>
        <v>0.10214265557138628</v>
      </c>
      <c r="H24" s="158">
        <v>26343</v>
      </c>
      <c r="I24" s="158">
        <v>292869</v>
      </c>
      <c r="J24" s="158">
        <v>8.9899999999999994E-2</v>
      </c>
      <c r="K24" s="159">
        <v>8095</v>
      </c>
      <c r="L24" s="159">
        <v>118809</v>
      </c>
      <c r="M24" s="159">
        <v>16621</v>
      </c>
      <c r="N24" s="159">
        <v>227576</v>
      </c>
      <c r="O24" s="158">
        <v>9449</v>
      </c>
      <c r="P24" s="158">
        <v>139673</v>
      </c>
      <c r="Q24" s="158">
        <v>6.7699999999999996E-2</v>
      </c>
      <c r="R24" s="158">
        <v>11376</v>
      </c>
      <c r="S24" s="158">
        <v>119038</v>
      </c>
      <c r="T24" s="158">
        <v>9.5600000000000004E-2</v>
      </c>
      <c r="U24" s="158">
        <v>691</v>
      </c>
      <c r="V24" s="158">
        <v>109011</v>
      </c>
      <c r="W24" s="158">
        <v>6.3E-3</v>
      </c>
      <c r="X24" s="158">
        <v>14630</v>
      </c>
      <c r="Y24" s="158">
        <v>150506</v>
      </c>
      <c r="Z24" s="158">
        <v>9.7199999999999995E-2</v>
      </c>
      <c r="AA24" s="158">
        <v>12004</v>
      </c>
      <c r="AB24" s="158">
        <v>102106</v>
      </c>
      <c r="AC24" s="158">
        <v>0.1176</v>
      </c>
      <c r="AD24" s="158">
        <v>5800</v>
      </c>
      <c r="AE24" s="158">
        <v>94449</v>
      </c>
      <c r="AF24" s="158">
        <v>6.1400000000000003E-2</v>
      </c>
      <c r="AG24" s="158">
        <v>7313</v>
      </c>
      <c r="AH24" s="158">
        <v>110717</v>
      </c>
      <c r="AI24" s="158">
        <v>6.6100000000000006E-2</v>
      </c>
      <c r="AJ24" s="159">
        <v>273</v>
      </c>
      <c r="AK24" s="160"/>
      <c r="AL24" s="159">
        <v>3779</v>
      </c>
      <c r="AM24" s="158">
        <v>39300</v>
      </c>
      <c r="AN24" s="158">
        <v>2368</v>
      </c>
      <c r="AO24" s="158">
        <v>629</v>
      </c>
      <c r="AP24" s="158">
        <v>2610</v>
      </c>
      <c r="AQ24" s="158">
        <v>100</v>
      </c>
      <c r="AR24" s="158">
        <v>770</v>
      </c>
      <c r="AS24" s="158">
        <v>7590</v>
      </c>
      <c r="AT24" s="158">
        <v>1794623</v>
      </c>
      <c r="AU24" s="158">
        <v>3.7999999999999999E-2</v>
      </c>
      <c r="AV24" s="160"/>
      <c r="AW24" s="160"/>
    </row>
    <row r="25" spans="1:49">
      <c r="A25" s="224">
        <f t="shared" si="11"/>
        <v>4.4999999999999998E-2</v>
      </c>
      <c r="C25" s="147">
        <f t="shared" si="0"/>
        <v>3</v>
      </c>
      <c r="D25" s="157">
        <v>43525</v>
      </c>
      <c r="E25" s="158">
        <v>18329</v>
      </c>
      <c r="F25" s="158">
        <v>170602</v>
      </c>
      <c r="G25" s="158">
        <f t="shared" si="1"/>
        <v>0.10743719299890975</v>
      </c>
      <c r="H25" s="158">
        <v>29142</v>
      </c>
      <c r="I25" s="158">
        <v>276019</v>
      </c>
      <c r="J25" s="158">
        <v>0.1056</v>
      </c>
      <c r="K25" s="159">
        <v>13148</v>
      </c>
      <c r="L25" s="159">
        <v>139754</v>
      </c>
      <c r="M25" s="159">
        <v>18761</v>
      </c>
      <c r="N25" s="159">
        <v>228674</v>
      </c>
      <c r="O25" s="158">
        <v>8347</v>
      </c>
      <c r="P25" s="158">
        <v>143296</v>
      </c>
      <c r="Q25" s="158">
        <v>5.8299999999999998E-2</v>
      </c>
      <c r="R25" s="158">
        <v>11031</v>
      </c>
      <c r="S25" s="158">
        <v>114528</v>
      </c>
      <c r="T25" s="158">
        <v>9.6299999999999997E-2</v>
      </c>
      <c r="U25" s="158">
        <v>730</v>
      </c>
      <c r="V25" s="158">
        <v>117350</v>
      </c>
      <c r="W25" s="158">
        <v>6.1999999999999998E-3</v>
      </c>
      <c r="X25" s="158">
        <v>15980</v>
      </c>
      <c r="Y25" s="158">
        <v>159305</v>
      </c>
      <c r="Z25" s="158">
        <v>0.1003</v>
      </c>
      <c r="AA25" s="158">
        <v>8722</v>
      </c>
      <c r="AB25" s="158">
        <v>94781</v>
      </c>
      <c r="AC25" s="158">
        <v>9.1999999999999998E-2</v>
      </c>
      <c r="AD25" s="158">
        <v>8208</v>
      </c>
      <c r="AE25" s="158">
        <v>112854</v>
      </c>
      <c r="AF25" s="158">
        <v>7.2700000000000001E-2</v>
      </c>
      <c r="AG25" s="158">
        <v>9283</v>
      </c>
      <c r="AH25" s="158">
        <v>134553</v>
      </c>
      <c r="AI25" s="158">
        <v>6.9000000000000006E-2</v>
      </c>
      <c r="AJ25" s="159">
        <v>247</v>
      </c>
      <c r="AK25" s="160"/>
      <c r="AL25" s="159">
        <v>3777</v>
      </c>
      <c r="AM25" s="158">
        <v>35400</v>
      </c>
      <c r="AN25" s="158">
        <v>2355</v>
      </c>
      <c r="AO25" s="158">
        <v>390</v>
      </c>
      <c r="AP25" s="158">
        <v>1520</v>
      </c>
      <c r="AQ25" s="158">
        <v>470</v>
      </c>
      <c r="AR25" s="158">
        <v>970</v>
      </c>
      <c r="AS25" s="158">
        <v>7857</v>
      </c>
      <c r="AT25" s="158">
        <v>1886384</v>
      </c>
      <c r="AU25" s="158">
        <v>6.1699999999999998E-2</v>
      </c>
      <c r="AV25" s="160"/>
      <c r="AW25" s="160"/>
    </row>
    <row r="26" spans="1:49">
      <c r="A26" s="224">
        <f t="shared" si="11"/>
        <v>4.9999999999999996E-2</v>
      </c>
      <c r="C26" s="147">
        <f t="shared" si="0"/>
        <v>3</v>
      </c>
      <c r="D26" s="157">
        <v>43891</v>
      </c>
      <c r="E26" s="158">
        <v>13684</v>
      </c>
      <c r="F26" s="158">
        <v>121890</v>
      </c>
      <c r="G26" s="158">
        <f t="shared" si="1"/>
        <v>0.11226515710886865</v>
      </c>
      <c r="H26" s="158">
        <v>22546</v>
      </c>
      <c r="I26" s="158">
        <v>237229</v>
      </c>
      <c r="J26" s="158">
        <v>9.5000000000000001E-2</v>
      </c>
      <c r="K26" s="159">
        <v>13382</v>
      </c>
      <c r="L26" s="159">
        <v>105196</v>
      </c>
      <c r="M26" s="159">
        <v>15165</v>
      </c>
      <c r="N26" s="159">
        <v>173516</v>
      </c>
      <c r="O26" s="158">
        <v>6642</v>
      </c>
      <c r="P26" s="158">
        <v>121521</v>
      </c>
      <c r="Q26" s="158">
        <v>5.4699999999999999E-2</v>
      </c>
      <c r="R26" s="158">
        <v>9512</v>
      </c>
      <c r="S26" s="158">
        <v>97063</v>
      </c>
      <c r="T26" s="158">
        <v>9.8000000000000004E-2</v>
      </c>
      <c r="U26" s="158">
        <v>642</v>
      </c>
      <c r="V26" s="158">
        <v>114469</v>
      </c>
      <c r="W26" s="158">
        <v>5.5999999999999999E-3</v>
      </c>
      <c r="X26" s="158">
        <v>13701</v>
      </c>
      <c r="Y26" s="158">
        <v>122379</v>
      </c>
      <c r="Z26" s="158">
        <v>0.112</v>
      </c>
      <c r="AA26" s="158">
        <v>9117</v>
      </c>
      <c r="AB26" s="158">
        <v>87992</v>
      </c>
      <c r="AC26" s="158">
        <v>0.1036</v>
      </c>
      <c r="AD26" s="158">
        <v>6561</v>
      </c>
      <c r="AE26" s="158">
        <v>89162</v>
      </c>
      <c r="AF26" s="158">
        <v>7.3599999999999999E-2</v>
      </c>
      <c r="AG26" s="158">
        <v>7035</v>
      </c>
      <c r="AH26" s="158">
        <v>92027</v>
      </c>
      <c r="AI26" s="158">
        <v>7.6399999999999996E-2</v>
      </c>
      <c r="AJ26" s="159">
        <v>214</v>
      </c>
      <c r="AK26" s="160"/>
      <c r="AL26" s="159">
        <v>2846</v>
      </c>
      <c r="AM26" s="158">
        <v>26100</v>
      </c>
      <c r="AN26" s="158">
        <v>320</v>
      </c>
      <c r="AO26" s="158">
        <v>380</v>
      </c>
      <c r="AP26" s="158">
        <v>1430</v>
      </c>
      <c r="AQ26" s="158">
        <v>340</v>
      </c>
      <c r="AR26" s="158">
        <v>540</v>
      </c>
      <c r="AS26" s="158">
        <v>6579</v>
      </c>
      <c r="AT26" s="158">
        <v>1519181</v>
      </c>
      <c r="AU26" s="158">
        <v>-3.5900000000000001E-2</v>
      </c>
      <c r="AV26" s="160"/>
      <c r="AW26" s="160"/>
    </row>
    <row r="27" spans="1:49">
      <c r="A27" s="224">
        <f t="shared" si="11"/>
        <v>5.4999999999999993E-2</v>
      </c>
      <c r="C27" s="147">
        <f t="shared" si="0"/>
        <v>3</v>
      </c>
      <c r="D27" s="157">
        <v>44256</v>
      </c>
      <c r="E27" s="158">
        <v>21286</v>
      </c>
      <c r="F27" s="158">
        <v>193572</v>
      </c>
      <c r="G27" s="158">
        <f t="shared" si="1"/>
        <v>0.10996425102804125</v>
      </c>
      <c r="H27" s="158">
        <v>19217</v>
      </c>
      <c r="I27" s="158">
        <v>234649</v>
      </c>
      <c r="J27" s="158">
        <v>8.1900000000000001E-2</v>
      </c>
      <c r="K27" s="159">
        <v>10304</v>
      </c>
      <c r="L27" s="159">
        <v>87221</v>
      </c>
      <c r="M27" s="159">
        <v>16006</v>
      </c>
      <c r="N27" s="159">
        <v>183872</v>
      </c>
      <c r="O27" s="158">
        <v>7245</v>
      </c>
      <c r="P27" s="158">
        <v>85581</v>
      </c>
      <c r="Q27" s="158">
        <v>8.4699999999999998E-2</v>
      </c>
      <c r="R27" s="158">
        <v>6784</v>
      </c>
      <c r="S27" s="158">
        <v>67701</v>
      </c>
      <c r="T27" s="158">
        <v>0.1002</v>
      </c>
      <c r="U27" s="158">
        <v>4109</v>
      </c>
      <c r="V27" s="158">
        <v>106645</v>
      </c>
      <c r="W27" s="158">
        <v>3.85E-2</v>
      </c>
      <c r="X27" s="158">
        <v>13045</v>
      </c>
      <c r="Y27" s="158">
        <v>134284</v>
      </c>
      <c r="Z27" s="158">
        <v>9.7100000000000006E-2</v>
      </c>
      <c r="AA27" s="158">
        <v>6520</v>
      </c>
      <c r="AB27" s="158">
        <v>83344</v>
      </c>
      <c r="AC27" s="158">
        <v>7.8200000000000006E-2</v>
      </c>
      <c r="AD27" s="158">
        <v>5257</v>
      </c>
      <c r="AE27" s="158">
        <v>79835</v>
      </c>
      <c r="AF27" s="158">
        <v>6.5799999999999997E-2</v>
      </c>
      <c r="AG27" s="158">
        <v>3164</v>
      </c>
      <c r="AH27" s="158">
        <v>73175</v>
      </c>
      <c r="AI27" s="158">
        <v>4.3200000000000002E-2</v>
      </c>
      <c r="AJ27" s="159">
        <v>394</v>
      </c>
      <c r="AK27" s="160"/>
      <c r="AL27" s="159">
        <v>3572</v>
      </c>
      <c r="AM27" s="158">
        <v>25800</v>
      </c>
      <c r="AN27" s="158">
        <v>2628</v>
      </c>
      <c r="AO27" s="158">
        <v>347</v>
      </c>
      <c r="AP27" s="158">
        <v>1390</v>
      </c>
      <c r="AQ27" s="158">
        <v>350</v>
      </c>
      <c r="AR27" s="158">
        <v>750</v>
      </c>
      <c r="AS27" s="158">
        <v>2846</v>
      </c>
      <c r="AT27" s="158">
        <v>1480894</v>
      </c>
      <c r="AU27" s="158">
        <v>0.20050000000000001</v>
      </c>
      <c r="AV27" s="160"/>
      <c r="AW27" s="160"/>
    </row>
    <row r="28" spans="1:49">
      <c r="A28" s="224">
        <f t="shared" si="11"/>
        <v>5.9999999999999991E-2</v>
      </c>
      <c r="C28" s="147">
        <f t="shared" si="0"/>
        <v>3</v>
      </c>
      <c r="D28" s="157">
        <v>44621</v>
      </c>
      <c r="E28" s="158">
        <v>13175</v>
      </c>
      <c r="F28" s="158">
        <v>135785</v>
      </c>
      <c r="G28" s="158">
        <f t="shared" si="1"/>
        <v>9.7028390470228668E-2</v>
      </c>
      <c r="H28" s="158">
        <v>17407</v>
      </c>
      <c r="I28" s="158">
        <v>245552</v>
      </c>
      <c r="J28" s="158">
        <v>7.0900000000000005E-2</v>
      </c>
      <c r="K28" s="159">
        <v>10559</v>
      </c>
      <c r="L28" s="159">
        <v>96942</v>
      </c>
      <c r="M28" s="159">
        <v>12489</v>
      </c>
      <c r="N28" s="159">
        <v>173640</v>
      </c>
      <c r="O28" s="158">
        <v>8411</v>
      </c>
      <c r="P28" s="158">
        <v>104276</v>
      </c>
      <c r="Q28" s="158">
        <v>8.0699999999999994E-2</v>
      </c>
      <c r="R28" s="158">
        <v>10161</v>
      </c>
      <c r="S28" s="158">
        <v>108622</v>
      </c>
      <c r="T28" s="158">
        <v>9.35E-2</v>
      </c>
      <c r="U28" s="158">
        <v>490</v>
      </c>
      <c r="V28" s="158">
        <v>105459</v>
      </c>
      <c r="W28" s="158">
        <v>4.5999999999999999E-3</v>
      </c>
      <c r="X28" s="158">
        <v>10655</v>
      </c>
      <c r="Y28" s="158">
        <v>106917</v>
      </c>
      <c r="Z28" s="158">
        <v>9.9699999999999997E-2</v>
      </c>
      <c r="AA28" s="158">
        <v>6540</v>
      </c>
      <c r="AB28" s="158">
        <v>84615</v>
      </c>
      <c r="AC28" s="158">
        <v>7.7299999999999994E-2</v>
      </c>
      <c r="AD28" s="158">
        <v>4266</v>
      </c>
      <c r="AE28" s="158">
        <v>78733</v>
      </c>
      <c r="AF28" s="158">
        <v>5.4199999999999998E-2</v>
      </c>
      <c r="AG28" s="158">
        <v>3955</v>
      </c>
      <c r="AH28" s="158">
        <v>96207</v>
      </c>
      <c r="AI28" s="158">
        <v>4.1099999999999998E-2</v>
      </c>
      <c r="AJ28" s="159">
        <v>403</v>
      </c>
      <c r="AK28" s="160"/>
      <c r="AL28" s="159">
        <v>5764</v>
      </c>
      <c r="AM28" s="158">
        <v>36600</v>
      </c>
      <c r="AN28" s="158">
        <v>3266</v>
      </c>
      <c r="AO28" s="158">
        <v>479</v>
      </c>
      <c r="AP28" s="158">
        <v>1720</v>
      </c>
      <c r="AQ28" s="158">
        <v>610</v>
      </c>
      <c r="AR28" s="158">
        <v>550</v>
      </c>
      <c r="AS28" s="158">
        <v>3476</v>
      </c>
      <c r="AT28" s="158">
        <v>1487725</v>
      </c>
      <c r="AU28" s="158">
        <v>0.29930000000000001</v>
      </c>
      <c r="AV28" s="160"/>
      <c r="AW28" s="160"/>
    </row>
    <row r="29" spans="1:49">
      <c r="A29" s="224">
        <f t="shared" si="11"/>
        <v>6.4999999999999988E-2</v>
      </c>
      <c r="C29" s="147">
        <f t="shared" si="0"/>
        <v>3</v>
      </c>
      <c r="D29" s="157">
        <v>44986</v>
      </c>
      <c r="E29" s="158">
        <v>11501</v>
      </c>
      <c r="F29" s="158">
        <v>125208</v>
      </c>
      <c r="G29" s="158">
        <f t="shared" si="1"/>
        <v>9.1855153025365788E-2</v>
      </c>
      <c r="H29" s="158">
        <v>19608</v>
      </c>
      <c r="I29" s="158">
        <v>259446</v>
      </c>
      <c r="J29" s="158">
        <v>7.5600000000000001E-2</v>
      </c>
      <c r="K29" s="160"/>
      <c r="L29" s="160"/>
      <c r="M29" s="159">
        <v>16578</v>
      </c>
      <c r="N29" s="159">
        <v>190071</v>
      </c>
      <c r="O29" s="158">
        <v>10068</v>
      </c>
      <c r="P29" s="158">
        <v>107931</v>
      </c>
      <c r="Q29" s="158">
        <v>9.3299999999999994E-2</v>
      </c>
      <c r="R29" s="158">
        <v>11153</v>
      </c>
      <c r="S29" s="158">
        <v>116557</v>
      </c>
      <c r="T29" s="158">
        <v>9.5699999999999993E-2</v>
      </c>
      <c r="U29" s="158">
        <v>787</v>
      </c>
      <c r="V29" s="158">
        <v>86887</v>
      </c>
      <c r="W29" s="158">
        <v>9.1000000000000004E-3</v>
      </c>
      <c r="X29" s="158">
        <v>11322</v>
      </c>
      <c r="Y29" s="158">
        <v>108880</v>
      </c>
      <c r="Z29" s="158">
        <v>0.104</v>
      </c>
      <c r="AA29" s="158">
        <v>7962</v>
      </c>
      <c r="AB29" s="158">
        <v>85678</v>
      </c>
      <c r="AC29" s="158">
        <v>9.2899999999999996E-2</v>
      </c>
      <c r="AD29" s="158">
        <v>2418</v>
      </c>
      <c r="AE29" s="158">
        <v>85709</v>
      </c>
      <c r="AF29" s="158">
        <v>2.8199999999999999E-2</v>
      </c>
      <c r="AG29" s="158">
        <v>3840</v>
      </c>
      <c r="AH29" s="158">
        <v>76184</v>
      </c>
      <c r="AI29" s="158">
        <v>5.04E-2</v>
      </c>
      <c r="AJ29" s="160"/>
      <c r="AK29" s="160"/>
      <c r="AL29" s="160"/>
      <c r="AM29" s="158">
        <v>28500</v>
      </c>
      <c r="AN29" s="158">
        <v>3735</v>
      </c>
      <c r="AO29" s="158">
        <v>121200</v>
      </c>
      <c r="AP29" s="158">
        <v>1050</v>
      </c>
      <c r="AQ29" s="158">
        <v>7500</v>
      </c>
      <c r="AR29" s="158">
        <v>530</v>
      </c>
      <c r="AS29" s="158">
        <v>2175</v>
      </c>
      <c r="AT29" s="158">
        <v>1502479</v>
      </c>
      <c r="AU29" s="158">
        <v>9.5500000000000002E-2</v>
      </c>
      <c r="AV29" s="160"/>
      <c r="AW29" s="160"/>
    </row>
    <row r="30" spans="1:49">
      <c r="A30" s="224">
        <f t="shared" si="11"/>
        <v>6.9999999999999993E-2</v>
      </c>
      <c r="C30" s="147">
        <f t="shared" si="0"/>
        <v>3</v>
      </c>
      <c r="D30" s="166">
        <v>45352</v>
      </c>
      <c r="E30" s="158">
        <v>11516</v>
      </c>
      <c r="F30" s="158">
        <v>150280</v>
      </c>
      <c r="G30" s="158">
        <f t="shared" si="1"/>
        <v>7.6630290125099809E-2</v>
      </c>
      <c r="H30" s="158">
        <v>13856</v>
      </c>
      <c r="I30" s="158">
        <v>230674</v>
      </c>
      <c r="J30" s="158">
        <v>6.0100000000000001E-2</v>
      </c>
      <c r="K30" s="160"/>
      <c r="L30" s="160"/>
      <c r="M30" s="159">
        <v>19787</v>
      </c>
      <c r="N30" s="159">
        <v>189937</v>
      </c>
      <c r="O30" s="158">
        <v>11089</v>
      </c>
      <c r="P30" s="158">
        <v>121540</v>
      </c>
      <c r="Q30" s="158">
        <v>9.1200000000000003E-2</v>
      </c>
      <c r="R30" s="158">
        <v>10167</v>
      </c>
      <c r="S30" s="158">
        <v>126191</v>
      </c>
      <c r="T30" s="158">
        <v>8.0600000000000005E-2</v>
      </c>
      <c r="U30" s="158">
        <v>479</v>
      </c>
      <c r="V30" s="158">
        <v>86043</v>
      </c>
      <c r="W30" s="158">
        <v>5.5999999999999999E-3</v>
      </c>
      <c r="X30" s="158">
        <v>17900</v>
      </c>
      <c r="Y30" s="158">
        <v>196952</v>
      </c>
      <c r="Z30" s="158">
        <v>9.0899999999999995E-2</v>
      </c>
      <c r="AA30" s="158">
        <v>9059</v>
      </c>
      <c r="AB30" s="158">
        <v>87381</v>
      </c>
      <c r="AC30" s="158">
        <v>0.1037</v>
      </c>
      <c r="AD30" s="158">
        <v>2637</v>
      </c>
      <c r="AE30" s="158">
        <v>93696</v>
      </c>
      <c r="AF30" s="158">
        <v>2.81E-2</v>
      </c>
      <c r="AG30" s="158">
        <v>2095</v>
      </c>
      <c r="AH30" s="158">
        <v>45071</v>
      </c>
      <c r="AI30" s="158">
        <v>4.65E-2</v>
      </c>
      <c r="AJ30" s="159">
        <v>0</v>
      </c>
      <c r="AK30" s="160"/>
      <c r="AL30" s="160"/>
      <c r="AM30" s="158">
        <v>34200</v>
      </c>
      <c r="AN30" s="158">
        <v>3793</v>
      </c>
      <c r="AO30" s="158">
        <v>515</v>
      </c>
      <c r="AP30" s="158">
        <v>1130</v>
      </c>
      <c r="AQ30" s="158">
        <v>420</v>
      </c>
      <c r="AR30" s="158">
        <v>630</v>
      </c>
      <c r="AS30" s="158">
        <v>3271</v>
      </c>
      <c r="AT30" s="158">
        <v>1470310</v>
      </c>
      <c r="AU30" s="160"/>
      <c r="AV30" s="160"/>
      <c r="AW30" s="160"/>
    </row>
    <row r="31" spans="1:49">
      <c r="A31" s="224">
        <f t="shared" si="11"/>
        <v>7.4999999999999997E-2</v>
      </c>
      <c r="C31" s="147">
        <f t="shared" si="0"/>
        <v>3</v>
      </c>
      <c r="D31" s="166">
        <v>45717</v>
      </c>
      <c r="E31" s="167">
        <f>_xlfn.FORECAST.ETS(DATE(2025,1,1),E$24:E$30,$D$24:$D$30,1,1)+_xlfn.FORECAST.ETS.CONFINT(DATE(2025,1,1),E$24:E$30,$D$24:$D$30,$B$4,1)</f>
        <v>16675.5238322279</v>
      </c>
      <c r="F31" s="167">
        <f>_xlfn.FORECAST.ETS(DATE(2025,1,1),F$24:F$30,$D$24:$D$30,1,1)+_xlfn.FORECAST.ETS.CONFINT(DATE(2025,1,1),F$24:F$30,$D$24:$D$30,$B$4,1)</f>
        <v>189861.76503194927</v>
      </c>
      <c r="G31" s="158">
        <f t="shared" si="1"/>
        <v>8.7829815705241135E-2</v>
      </c>
      <c r="H31" s="167">
        <f>_xlfn.FORECAST.ETS(DATE(2025,1,1),H$24:H$30,$D$24:$D$30,1,1)+_xlfn.FORECAST.ETS.CONFINT(DATE(2025,1,1),H$24:H$30,$D$24:$D$30,$B$5,1)</f>
        <v>16315.029046120429</v>
      </c>
      <c r="I31" s="167">
        <f>_xlfn.FORECAST.ETS(DATE(2025,1,1),I$24:I$30,$D$24:$D$30,1,1)+_xlfn.FORECAST.ETS.CONFINT(DATE(2025,1,1),I$24:I$30,$D$24:$D$30,$B$5,1)</f>
        <v>247828.41746604224</v>
      </c>
      <c r="J31" s="158">
        <f>H31/I31</f>
        <v>6.5831954272782031E-2</v>
      </c>
      <c r="K31" s="152"/>
      <c r="L31" s="152"/>
      <c r="M31" s="152"/>
      <c r="N31" s="152"/>
      <c r="O31" s="167">
        <f>_xlfn.FORECAST.ETS(DATE(2025,1,1),O$24:O$30,$D$24:$D$30,1,1)+_xlfn.FORECAST.ETS.CONFINT(DATE(2025,1,1),O$24:O$30,$D$24:$D$30,$B$6,1)</f>
        <v>12536.795443860539</v>
      </c>
      <c r="P31" s="167">
        <f>_xlfn.FORECAST.ETS(DATE(2025,1,1),P$24:P$30,$D$24:$D$30,1,1)+_xlfn.FORECAST.ETS.CONFINT(DATE(2025,1,1),P$24:P$30,$D$24:$D$30,$B$6,1)</f>
        <v>121996.02775899999</v>
      </c>
      <c r="Q31" s="158">
        <f>O31/P31</f>
        <v>0.1027639643204339</v>
      </c>
      <c r="R31" s="167">
        <f>_xlfn.FORECAST.ETS(DATE(2025,1,1),R$24:R$30,$D$24:$D$30,1,1)+_xlfn.FORECAST.ETS.CONFINT(DATE(2025,1,1),R$24:R$30,$D$24:$D$30,$B$7,1)</f>
        <v>11554.370137623944</v>
      </c>
      <c r="S31" s="167">
        <f>_xlfn.FORECAST.ETS(DATE(2025,1,1),S$24:S$30,$D$24:$D$30,1,1)+_xlfn.FORECAST.ETS.CONFINT(DATE(2025,1,1),S$24:S$30,$D$24:$D$30,$B$7,1)</f>
        <v>146805.44054214694</v>
      </c>
      <c r="T31" s="158">
        <f>R31/S31</f>
        <v>7.8705326552981222E-2</v>
      </c>
      <c r="U31" s="167">
        <f>_xlfn.FORECAST.ETS(DATE(2025,1,1),U$24:U$30,$D$24:$D$30,1,1)+_xlfn.FORECAST.ETS.CONFINT(DATE(2025,1,1),U$24:U$30,$D$24:$D$30,$B$8,1)</f>
        <v>2482.6791209991115</v>
      </c>
      <c r="V31" s="167">
        <f>_xlfn.FORECAST.ETS(DATE(2025,1,1),V$24:V$30,$D$24:$D$30,1,1)+_xlfn.FORECAST.ETS.CONFINT(DATE(2025,1,1),V$24:V$30,$D$24:$D$30,$B$8,1)</f>
        <v>92504.630071807915</v>
      </c>
      <c r="W31" s="158">
        <f>U31/V31</f>
        <v>2.6838430887966364E-2</v>
      </c>
      <c r="X31" s="167">
        <f>_xlfn.FORECAST.ETS(DATE(2025,1,1),X$24:X$30,$D$24:$D$30,1,1)+_xlfn.FORECAST.ETS.CONFINT(DATE(2025,1,1),X$24:X$30,$D$24:$D$30,$B$9,1)</f>
        <v>18751.217005462189</v>
      </c>
      <c r="Y31" s="167">
        <f>_xlfn.FORECAST.ETS(DATE(2025,1,1),Y$24:Y$30,$D$24:$D$30,1,1)+_xlfn.FORECAST.ETS.CONFINT(DATE(2025,1,1),Y$24:Y$30,$D$24:$D$30,$B$9,1)</f>
        <v>219829.91251799252</v>
      </c>
      <c r="Z31" s="158">
        <f>X31/Y31</f>
        <v>8.5298751160297392E-2</v>
      </c>
      <c r="AA31" s="167">
        <f>_xlfn.FORECAST.ETS(DATE(2025,1,1),AA$24:AA$30,$D$24:$D$30,1,1)+_xlfn.FORECAST.ETS.CONFINT(DATE(2025,1,1),AA$24:AA$30,$D$24:$D$30,$B$10,1)</f>
        <v>10060.295443846715</v>
      </c>
      <c r="AB31" s="167">
        <f>_xlfn.FORECAST.ETS(DATE(2025,1,1),AB$24:AB$30,$D$24:$D$30,1,1)+_xlfn.FORECAST.ETS.CONFINT(DATE(2025,1,1),AB$24:AB$30,$D$24:$D$30,$B$10,1)</f>
        <v>88333.807347074035</v>
      </c>
      <c r="AC31" s="158">
        <f>AA31/AB31</f>
        <v>0.11388952594694145</v>
      </c>
      <c r="AD31" s="167">
        <f>_xlfn.FORECAST.ETS(DATE(2025,1,1),AD$24:AD$30,$D$24:$D$30,1,1)+_xlfn.FORECAST.ETS.CONFINT(DATE(2025,1,1),AD$24:AD$30,$D$24:$D$30,$B$11,1)</f>
        <v>4011.1699542330339</v>
      </c>
      <c r="AE31" s="167">
        <f>_xlfn.FORECAST.ETS(DATE(2025,1,1),AE$24:AE$30,$D$24:$D$30,1,1)+_xlfn.FORECAST.ETS.CONFINT(DATE(2025,1,1),AE$24:AE$30,$D$24:$D$30,$B$11,1)</f>
        <v>95368.840378009903</v>
      </c>
      <c r="AF31" s="158">
        <f>AD31/AE31</f>
        <v>4.2059544169081954E-2</v>
      </c>
      <c r="AG31" s="167">
        <f>_xlfn.FORECAST.ETS(DATE(2025,1,1),AG$24:AG$30,$D$24:$D$30,1,1)+_xlfn.FORECAST.ETS.CONFINT(DATE(2025,1,1),AG$24:AG$30,$D$24:$D$30,$B$12,1)</f>
        <v>2855.2654659333566</v>
      </c>
      <c r="AH31" s="167">
        <f>_xlfn.FORECAST.ETS(DATE(2025,1,1),AH$24:AH$30,$D$24:$D$30,1,1)+_xlfn.FORECAST.ETS.CONFINT(DATE(2025,1,1),AH$24:AH$30,$D$24:$D$30,$B$12,1)</f>
        <v>68090.774657351503</v>
      </c>
      <c r="AI31" s="158">
        <f>AG31/AH31</f>
        <v>4.1933220473723665E-2</v>
      </c>
      <c r="AJ31" s="152"/>
      <c r="AK31" s="152"/>
      <c r="AL31" s="152"/>
      <c r="AM31" s="167">
        <f t="shared" ref="AM31:AS31" si="13">_xlfn.FORECAST.ETS(DATE(2025,1,1),AM$24:AM$30,$D$24:$D$30,1,1)+_xlfn.FORECAST.ETS.CONFINT(DATE(2025,1,1),AM$24:AM$30,$D$24:$D$30,$C$1,1)</f>
        <v>31364.39247631083</v>
      </c>
      <c r="AN31" s="167">
        <f t="shared" si="13"/>
        <v>4259.8107909324935</v>
      </c>
      <c r="AO31" s="167">
        <f t="shared" si="13"/>
        <v>75058.208473965788</v>
      </c>
      <c r="AP31" s="167">
        <f t="shared" si="13"/>
        <v>954.66985294669303</v>
      </c>
      <c r="AQ31" s="167">
        <f t="shared" si="13"/>
        <v>4081.8125349262004</v>
      </c>
      <c r="AR31" s="167">
        <f t="shared" si="13"/>
        <v>498.01320956385672</v>
      </c>
      <c r="AS31" s="167">
        <f t="shared" si="13"/>
        <v>1025.9097002473281</v>
      </c>
      <c r="AT31" s="152"/>
      <c r="AU31" s="160"/>
      <c r="AV31" s="152"/>
      <c r="AW31" s="152"/>
    </row>
    <row r="32" spans="1:49">
      <c r="A32" s="224">
        <f t="shared" si="11"/>
        <v>0.08</v>
      </c>
      <c r="C32" s="147">
        <f t="shared" si="0"/>
        <v>4</v>
      </c>
      <c r="D32" s="157">
        <v>43191</v>
      </c>
      <c r="E32" s="168">
        <v>16227</v>
      </c>
      <c r="F32" s="168">
        <v>160223</v>
      </c>
      <c r="G32" s="158">
        <f>E32/F32</f>
        <v>0.10127759435287069</v>
      </c>
      <c r="H32" s="168">
        <v>27602</v>
      </c>
      <c r="I32" s="168">
        <v>283007</v>
      </c>
      <c r="J32" s="168">
        <v>9.7500000000000003E-2</v>
      </c>
      <c r="K32" s="169">
        <v>8754</v>
      </c>
      <c r="L32" s="169">
        <v>133865</v>
      </c>
      <c r="M32" s="169">
        <v>16566</v>
      </c>
      <c r="N32" s="169">
        <v>224545</v>
      </c>
      <c r="O32" s="168">
        <v>8658</v>
      </c>
      <c r="P32" s="168">
        <v>119202</v>
      </c>
      <c r="Q32" s="168">
        <v>7.2599999999999998E-2</v>
      </c>
      <c r="R32" s="168">
        <v>11847</v>
      </c>
      <c r="S32" s="168">
        <v>115473</v>
      </c>
      <c r="T32" s="168">
        <v>0.1026</v>
      </c>
      <c r="U32" s="168">
        <v>805</v>
      </c>
      <c r="V32" s="168">
        <v>91403</v>
      </c>
      <c r="W32" s="168">
        <v>8.8000000000000005E-3</v>
      </c>
      <c r="X32" s="168">
        <v>15861</v>
      </c>
      <c r="Y32" s="168">
        <v>163437</v>
      </c>
      <c r="Z32" s="168">
        <v>9.7000000000000003E-2</v>
      </c>
      <c r="AA32" s="168">
        <v>10770</v>
      </c>
      <c r="AB32" s="168">
        <v>95882</v>
      </c>
      <c r="AC32" s="168">
        <v>0.1123</v>
      </c>
      <c r="AD32" s="168">
        <v>5678</v>
      </c>
      <c r="AE32" s="168">
        <v>93027</v>
      </c>
      <c r="AF32" s="168">
        <v>6.0999999999999999E-2</v>
      </c>
      <c r="AG32" s="168">
        <v>11882</v>
      </c>
      <c r="AH32" s="168">
        <v>140131</v>
      </c>
      <c r="AI32" s="168">
        <v>8.48E-2</v>
      </c>
      <c r="AJ32" s="169">
        <v>261</v>
      </c>
      <c r="AK32" s="156"/>
      <c r="AL32" s="169">
        <v>3205</v>
      </c>
      <c r="AM32" s="168">
        <v>33600</v>
      </c>
      <c r="AN32" s="168">
        <v>2678</v>
      </c>
      <c r="AO32" s="168">
        <v>700</v>
      </c>
      <c r="AP32" s="168">
        <v>2020</v>
      </c>
      <c r="AQ32" s="168">
        <v>400</v>
      </c>
      <c r="AR32" s="168">
        <v>730</v>
      </c>
      <c r="AS32" s="168">
        <v>6863</v>
      </c>
      <c r="AT32" s="168">
        <v>1805303</v>
      </c>
      <c r="AU32" s="168">
        <v>6.0000000000000001E-3</v>
      </c>
      <c r="AV32" s="156"/>
      <c r="AW32" s="156"/>
    </row>
    <row r="33" spans="1:49">
      <c r="A33" s="224">
        <f t="shared" si="11"/>
        <v>8.5000000000000006E-2</v>
      </c>
      <c r="C33" s="147">
        <f t="shared" si="0"/>
        <v>4</v>
      </c>
      <c r="D33" s="157">
        <v>43556</v>
      </c>
      <c r="E33" s="168">
        <v>15929</v>
      </c>
      <c r="F33" s="168">
        <v>157949</v>
      </c>
      <c r="G33" s="158">
        <f t="shared" si="1"/>
        <v>0.10084900822417363</v>
      </c>
      <c r="H33" s="168">
        <v>27594</v>
      </c>
      <c r="I33" s="168">
        <v>287136</v>
      </c>
      <c r="J33" s="168">
        <v>9.6100000000000005E-2</v>
      </c>
      <c r="K33" s="169">
        <v>11622</v>
      </c>
      <c r="L33" s="169">
        <v>129208</v>
      </c>
      <c r="M33" s="169">
        <v>17585</v>
      </c>
      <c r="N33" s="169">
        <v>220723</v>
      </c>
      <c r="O33" s="168">
        <v>7040</v>
      </c>
      <c r="P33" s="168">
        <v>125995</v>
      </c>
      <c r="Q33" s="168">
        <v>5.5899999999999998E-2</v>
      </c>
      <c r="R33" s="168">
        <v>10013</v>
      </c>
      <c r="S33" s="168">
        <v>107841</v>
      </c>
      <c r="T33" s="168">
        <v>9.2799999999999994E-2</v>
      </c>
      <c r="U33" s="168">
        <v>559</v>
      </c>
      <c r="V33" s="168">
        <v>110998</v>
      </c>
      <c r="W33" s="168">
        <v>5.0000000000000001E-3</v>
      </c>
      <c r="X33" s="168">
        <v>13726</v>
      </c>
      <c r="Y33" s="168">
        <v>144255</v>
      </c>
      <c r="Z33" s="168">
        <v>9.5200000000000007E-2</v>
      </c>
      <c r="AA33" s="168">
        <v>10883</v>
      </c>
      <c r="AB33" s="168">
        <v>95750</v>
      </c>
      <c r="AC33" s="168">
        <v>0.1137</v>
      </c>
      <c r="AD33" s="168">
        <v>6866</v>
      </c>
      <c r="AE33" s="168">
        <v>84223</v>
      </c>
      <c r="AF33" s="168">
        <v>8.1500000000000003E-2</v>
      </c>
      <c r="AG33" s="168">
        <v>5616</v>
      </c>
      <c r="AH33" s="168">
        <v>90952</v>
      </c>
      <c r="AI33" s="168">
        <v>6.1699999999999998E-2</v>
      </c>
      <c r="AJ33" s="169">
        <v>214</v>
      </c>
      <c r="AK33" s="156"/>
      <c r="AL33" s="169">
        <v>3174</v>
      </c>
      <c r="AM33" s="168">
        <v>39600</v>
      </c>
      <c r="AN33" s="168">
        <v>2176</v>
      </c>
      <c r="AO33" s="168">
        <v>452</v>
      </c>
      <c r="AP33" s="168">
        <v>1720</v>
      </c>
      <c r="AQ33" s="168">
        <v>480</v>
      </c>
      <c r="AR33" s="168">
        <v>1030</v>
      </c>
      <c r="AS33" s="168">
        <v>10075</v>
      </c>
      <c r="AT33" s="168">
        <v>1741385</v>
      </c>
      <c r="AU33" s="168">
        <v>-7.6899999999999996E-2</v>
      </c>
      <c r="AV33" s="156"/>
      <c r="AW33" s="156"/>
    </row>
    <row r="34" spans="1:49">
      <c r="A34" s="224">
        <f t="shared" si="11"/>
        <v>9.0000000000000011E-2</v>
      </c>
      <c r="C34" s="147">
        <f t="shared" si="0"/>
        <v>4</v>
      </c>
      <c r="D34" s="157">
        <v>43922</v>
      </c>
      <c r="E34" s="168">
        <v>7418</v>
      </c>
      <c r="F34" s="168">
        <v>74127</v>
      </c>
      <c r="G34" s="158">
        <f t="shared" si="1"/>
        <v>0.10007149891402593</v>
      </c>
      <c r="H34" s="168">
        <v>16717</v>
      </c>
      <c r="I34" s="168">
        <v>186439</v>
      </c>
      <c r="J34" s="168">
        <v>8.9700000000000002E-2</v>
      </c>
      <c r="K34" s="169">
        <v>8241</v>
      </c>
      <c r="L34" s="169">
        <v>72680</v>
      </c>
      <c r="M34" s="169">
        <v>10089</v>
      </c>
      <c r="N34" s="169">
        <v>131923</v>
      </c>
      <c r="O34" s="168">
        <v>6500</v>
      </c>
      <c r="P34" s="168">
        <v>119706</v>
      </c>
      <c r="Q34" s="168">
        <v>5.4300000000000001E-2</v>
      </c>
      <c r="R34" s="168">
        <v>6780</v>
      </c>
      <c r="S34" s="168">
        <v>79739</v>
      </c>
      <c r="T34" s="168">
        <v>8.5000000000000006E-2</v>
      </c>
      <c r="U34" s="168">
        <v>267</v>
      </c>
      <c r="V34" s="168">
        <v>70673</v>
      </c>
      <c r="W34" s="168">
        <v>3.8E-3</v>
      </c>
      <c r="X34" s="168">
        <v>8491</v>
      </c>
      <c r="Y34" s="168">
        <v>86515</v>
      </c>
      <c r="Z34" s="168">
        <v>9.8100000000000007E-2</v>
      </c>
      <c r="AA34" s="168">
        <v>9474</v>
      </c>
      <c r="AB34" s="168">
        <v>91045</v>
      </c>
      <c r="AC34" s="168">
        <v>0.1041</v>
      </c>
      <c r="AD34" s="168">
        <v>5514</v>
      </c>
      <c r="AE34" s="168">
        <v>56026</v>
      </c>
      <c r="AF34" s="168">
        <v>9.8400000000000001E-2</v>
      </c>
      <c r="AG34" s="168">
        <v>5234</v>
      </c>
      <c r="AH34" s="168">
        <v>51992</v>
      </c>
      <c r="AI34" s="168">
        <v>0.1007</v>
      </c>
      <c r="AJ34" s="169">
        <v>214</v>
      </c>
      <c r="AK34" s="156"/>
      <c r="AL34" s="169">
        <v>2349</v>
      </c>
      <c r="AM34" s="168">
        <v>18900</v>
      </c>
      <c r="AN34" s="168">
        <v>2566</v>
      </c>
      <c r="AO34" s="168">
        <v>379</v>
      </c>
      <c r="AP34" s="168">
        <v>1270</v>
      </c>
      <c r="AQ34" s="168">
        <v>250</v>
      </c>
      <c r="AR34" s="168">
        <v>550</v>
      </c>
      <c r="AS34" s="168">
        <v>6005</v>
      </c>
      <c r="AT34" s="168">
        <v>1138074</v>
      </c>
      <c r="AU34" s="168">
        <v>-0.25090000000000001</v>
      </c>
      <c r="AV34" s="156"/>
      <c r="AW34" s="156"/>
    </row>
    <row r="35" spans="1:49">
      <c r="A35" s="224">
        <f t="shared" si="11"/>
        <v>9.5000000000000015E-2</v>
      </c>
      <c r="C35" s="147">
        <f t="shared" si="0"/>
        <v>4</v>
      </c>
      <c r="D35" s="157">
        <v>44287</v>
      </c>
      <c r="E35" s="168">
        <v>8870</v>
      </c>
      <c r="F35" s="168">
        <v>89328</v>
      </c>
      <c r="G35" s="158">
        <f t="shared" si="1"/>
        <v>9.9296972953609175E-2</v>
      </c>
      <c r="H35" s="168">
        <v>18131</v>
      </c>
      <c r="I35" s="168">
        <v>214923</v>
      </c>
      <c r="J35" s="168">
        <v>8.4400000000000003E-2</v>
      </c>
      <c r="K35" s="169">
        <v>10048</v>
      </c>
      <c r="L35" s="169">
        <v>85723</v>
      </c>
      <c r="M35" s="169">
        <v>14036</v>
      </c>
      <c r="N35" s="169">
        <v>165440</v>
      </c>
      <c r="O35" s="168">
        <v>6142</v>
      </c>
      <c r="P35" s="168">
        <v>85502</v>
      </c>
      <c r="Q35" s="168">
        <v>7.1800000000000003E-2</v>
      </c>
      <c r="R35" s="168">
        <v>8370</v>
      </c>
      <c r="S35" s="168">
        <v>90611</v>
      </c>
      <c r="T35" s="168">
        <v>9.2399999999999996E-2</v>
      </c>
      <c r="U35" s="168">
        <v>1965</v>
      </c>
      <c r="V35" s="168">
        <v>85482</v>
      </c>
      <c r="W35" s="168">
        <v>2.3E-2</v>
      </c>
      <c r="X35" s="168">
        <v>8508</v>
      </c>
      <c r="Y35" s="168">
        <v>84857</v>
      </c>
      <c r="Z35" s="168">
        <v>0.1003</v>
      </c>
      <c r="AA35" s="168">
        <v>5478</v>
      </c>
      <c r="AB35" s="168">
        <v>74021</v>
      </c>
      <c r="AC35" s="168">
        <v>7.3999999999999996E-2</v>
      </c>
      <c r="AD35" s="168">
        <v>3955</v>
      </c>
      <c r="AE35" s="168">
        <v>58952</v>
      </c>
      <c r="AF35" s="168">
        <v>6.7100000000000007E-2</v>
      </c>
      <c r="AG35" s="168">
        <v>3298</v>
      </c>
      <c r="AH35" s="168">
        <v>68840</v>
      </c>
      <c r="AI35" s="168">
        <v>4.7899999999999998E-2</v>
      </c>
      <c r="AJ35" s="169">
        <v>345</v>
      </c>
      <c r="AK35" s="156"/>
      <c r="AL35" s="169">
        <v>3427</v>
      </c>
      <c r="AM35" s="168">
        <v>23100</v>
      </c>
      <c r="AN35" s="168">
        <v>2599</v>
      </c>
      <c r="AO35" s="168">
        <v>283</v>
      </c>
      <c r="AP35" s="168">
        <v>1120</v>
      </c>
      <c r="AQ35" s="168">
        <v>240</v>
      </c>
      <c r="AR35" s="168">
        <v>810</v>
      </c>
      <c r="AS35" s="168">
        <v>2375</v>
      </c>
      <c r="AT35" s="168">
        <v>1226780</v>
      </c>
      <c r="AU35" s="168">
        <v>-0.1716</v>
      </c>
      <c r="AV35" s="156"/>
      <c r="AW35" s="156"/>
    </row>
    <row r="36" spans="1:49">
      <c r="A36" s="224">
        <f t="shared" si="11"/>
        <v>0.10000000000000002</v>
      </c>
      <c r="C36" s="147">
        <f t="shared" si="0"/>
        <v>4</v>
      </c>
      <c r="D36" s="157">
        <v>44652</v>
      </c>
      <c r="E36" s="168">
        <v>11052</v>
      </c>
      <c r="F36" s="168">
        <v>120148</v>
      </c>
      <c r="G36" s="158">
        <f t="shared" si="1"/>
        <v>9.1986549921763153E-2</v>
      </c>
      <c r="H36" s="168">
        <v>15356</v>
      </c>
      <c r="I36" s="168">
        <v>227908</v>
      </c>
      <c r="J36" s="168">
        <v>6.7400000000000002E-2</v>
      </c>
      <c r="K36" s="169">
        <v>11628</v>
      </c>
      <c r="L36" s="169">
        <v>102610</v>
      </c>
      <c r="M36" s="169">
        <v>10758</v>
      </c>
      <c r="N36" s="169">
        <v>161257</v>
      </c>
      <c r="O36" s="168">
        <v>6683</v>
      </c>
      <c r="P36" s="168">
        <v>94398</v>
      </c>
      <c r="Q36" s="168">
        <v>7.0800000000000002E-2</v>
      </c>
      <c r="R36" s="168">
        <v>9054</v>
      </c>
      <c r="S36" s="168">
        <v>106935</v>
      </c>
      <c r="T36" s="168">
        <v>8.4699999999999998E-2</v>
      </c>
      <c r="U36" s="168">
        <v>320</v>
      </c>
      <c r="V36" s="168">
        <v>93156</v>
      </c>
      <c r="W36" s="168">
        <v>3.3999999999999998E-3</v>
      </c>
      <c r="X36" s="168">
        <v>12320</v>
      </c>
      <c r="Y36" s="168">
        <v>126785</v>
      </c>
      <c r="Z36" s="168">
        <v>9.7199999999999995E-2</v>
      </c>
      <c r="AA36" s="168">
        <v>5630</v>
      </c>
      <c r="AB36" s="168">
        <v>79733</v>
      </c>
      <c r="AC36" s="168">
        <v>7.0599999999999996E-2</v>
      </c>
      <c r="AD36" s="168">
        <v>3922</v>
      </c>
      <c r="AE36" s="168">
        <v>66920</v>
      </c>
      <c r="AF36" s="168">
        <v>5.8599999999999999E-2</v>
      </c>
      <c r="AG36" s="168">
        <v>1991</v>
      </c>
      <c r="AH36" s="168">
        <v>49167</v>
      </c>
      <c r="AI36" s="168">
        <v>4.0500000000000001E-2</v>
      </c>
      <c r="AJ36" s="169">
        <v>491</v>
      </c>
      <c r="AK36" s="156"/>
      <c r="AL36" s="169">
        <v>6860</v>
      </c>
      <c r="AM36" s="168">
        <v>23700</v>
      </c>
      <c r="AN36" s="168">
        <v>3284</v>
      </c>
      <c r="AO36" s="168">
        <v>485</v>
      </c>
      <c r="AP36" s="168">
        <v>1570</v>
      </c>
      <c r="AQ36" s="168">
        <v>810</v>
      </c>
      <c r="AR36" s="168">
        <v>460</v>
      </c>
      <c r="AS36" s="168">
        <v>3432</v>
      </c>
      <c r="AT36" s="168">
        <v>1358824</v>
      </c>
      <c r="AU36" s="168">
        <v>-8.6599999999999996E-2</v>
      </c>
      <c r="AV36" s="156"/>
      <c r="AW36" s="156"/>
    </row>
    <row r="37" spans="1:49">
      <c r="A37" s="224">
        <f t="shared" si="11"/>
        <v>0.10500000000000002</v>
      </c>
      <c r="C37" s="147">
        <f t="shared" si="0"/>
        <v>4</v>
      </c>
      <c r="D37" s="157">
        <v>45017</v>
      </c>
      <c r="E37" s="168">
        <v>8092</v>
      </c>
      <c r="F37" s="168">
        <v>95666</v>
      </c>
      <c r="G37" s="158">
        <f t="shared" si="1"/>
        <v>8.4585955302824409E-2</v>
      </c>
      <c r="H37" s="168">
        <v>15876</v>
      </c>
      <c r="I37" s="168">
        <v>230492</v>
      </c>
      <c r="J37" s="168">
        <v>6.8900000000000003E-2</v>
      </c>
      <c r="K37" s="156"/>
      <c r="L37" s="156"/>
      <c r="M37" s="169">
        <v>12983</v>
      </c>
      <c r="N37" s="169">
        <v>162796</v>
      </c>
      <c r="O37" s="168">
        <v>7774</v>
      </c>
      <c r="P37" s="168">
        <v>89374</v>
      </c>
      <c r="Q37" s="168">
        <v>8.6999999999999994E-2</v>
      </c>
      <c r="R37" s="168">
        <v>8778</v>
      </c>
      <c r="S37" s="168">
        <v>102677</v>
      </c>
      <c r="T37" s="168">
        <v>8.5500000000000007E-2</v>
      </c>
      <c r="U37" s="168">
        <v>500</v>
      </c>
      <c r="V37" s="168">
        <v>66631</v>
      </c>
      <c r="W37" s="168">
        <v>7.4999999999999997E-3</v>
      </c>
      <c r="X37" s="168">
        <v>8803</v>
      </c>
      <c r="Y37" s="168">
        <v>95315</v>
      </c>
      <c r="Z37" s="168">
        <v>9.2399999999999996E-2</v>
      </c>
      <c r="AA37" s="168">
        <v>6694</v>
      </c>
      <c r="AB37" s="168">
        <v>77240</v>
      </c>
      <c r="AC37" s="168">
        <v>8.6699999999999999E-2</v>
      </c>
      <c r="AD37" s="168">
        <v>1816</v>
      </c>
      <c r="AE37" s="168">
        <v>64881</v>
      </c>
      <c r="AF37" s="168">
        <v>2.8000000000000001E-2</v>
      </c>
      <c r="AG37" s="168">
        <v>2881</v>
      </c>
      <c r="AH37" s="168">
        <v>52971</v>
      </c>
      <c r="AI37" s="168">
        <v>5.4399999999999997E-2</v>
      </c>
      <c r="AJ37" s="156"/>
      <c r="AK37" s="156"/>
      <c r="AL37" s="156"/>
      <c r="AM37" s="168">
        <v>26400</v>
      </c>
      <c r="AN37" s="168">
        <v>3769</v>
      </c>
      <c r="AO37" s="168">
        <v>125400</v>
      </c>
      <c r="AP37" s="168">
        <v>1020</v>
      </c>
      <c r="AQ37" s="168">
        <v>6600</v>
      </c>
      <c r="AR37" s="168">
        <v>490</v>
      </c>
      <c r="AS37" s="168">
        <v>1899</v>
      </c>
      <c r="AT37" s="168">
        <v>1277819</v>
      </c>
      <c r="AU37" s="168">
        <v>-0.14949999999999999</v>
      </c>
      <c r="AV37" s="156"/>
      <c r="AW37" s="156"/>
    </row>
    <row r="38" spans="1:49">
      <c r="A38" s="224">
        <f t="shared" si="11"/>
        <v>0.11000000000000003</v>
      </c>
      <c r="C38" s="147">
        <f t="shared" si="0"/>
        <v>4</v>
      </c>
      <c r="D38" s="170">
        <v>45383</v>
      </c>
      <c r="E38" s="168">
        <v>11655</v>
      </c>
      <c r="F38" s="168">
        <v>144597</v>
      </c>
      <c r="G38" s="158">
        <f t="shared" si="1"/>
        <v>8.0603332019336504E-2</v>
      </c>
      <c r="H38" s="168">
        <v>15757</v>
      </c>
      <c r="I38" s="168">
        <v>242835</v>
      </c>
      <c r="J38" s="168">
        <v>6.4899999999999999E-2</v>
      </c>
      <c r="K38" s="156"/>
      <c r="L38" s="156"/>
      <c r="M38" s="169">
        <v>19145</v>
      </c>
      <c r="N38" s="169">
        <v>189534</v>
      </c>
      <c r="O38" s="168">
        <v>11197</v>
      </c>
      <c r="P38" s="168">
        <v>117684</v>
      </c>
      <c r="Q38" s="168">
        <v>9.5100000000000004E-2</v>
      </c>
      <c r="R38" s="168">
        <v>11300</v>
      </c>
      <c r="S38" s="168">
        <v>125772</v>
      </c>
      <c r="T38" s="168">
        <v>8.9800000000000005E-2</v>
      </c>
      <c r="U38" s="168">
        <v>543</v>
      </c>
      <c r="V38" s="168">
        <v>83148</v>
      </c>
      <c r="W38" s="168">
        <v>6.4999999999999997E-3</v>
      </c>
      <c r="X38" s="168">
        <v>18110</v>
      </c>
      <c r="Y38" s="168">
        <v>184050</v>
      </c>
      <c r="Z38" s="168">
        <v>9.8400000000000001E-2</v>
      </c>
      <c r="AA38" s="168">
        <v>9402</v>
      </c>
      <c r="AB38" s="168">
        <v>83769</v>
      </c>
      <c r="AC38" s="168">
        <v>0.11219999999999999</v>
      </c>
      <c r="AD38" s="168">
        <v>2835</v>
      </c>
      <c r="AE38" s="168">
        <v>88815</v>
      </c>
      <c r="AF38" s="168">
        <v>3.1899999999999998E-2</v>
      </c>
      <c r="AG38" s="168">
        <v>1823</v>
      </c>
      <c r="AH38" s="168">
        <v>33659</v>
      </c>
      <c r="AI38" s="168">
        <v>5.4199999999999998E-2</v>
      </c>
      <c r="AJ38" s="169">
        <v>0</v>
      </c>
      <c r="AK38" s="156"/>
      <c r="AL38" s="156"/>
      <c r="AM38" s="168">
        <v>36000</v>
      </c>
      <c r="AN38" s="168">
        <v>3912</v>
      </c>
      <c r="AO38" s="168">
        <v>650</v>
      </c>
      <c r="AP38" s="168">
        <v>1230</v>
      </c>
      <c r="AQ38" s="168">
        <v>350</v>
      </c>
      <c r="AR38" s="168">
        <v>670</v>
      </c>
      <c r="AS38" s="168">
        <v>3475</v>
      </c>
      <c r="AT38" s="168">
        <v>1441918</v>
      </c>
      <c r="AU38" s="156"/>
      <c r="AV38" s="156"/>
      <c r="AW38" s="156"/>
    </row>
    <row r="39" spans="1:49">
      <c r="A39" s="224">
        <f t="shared" si="11"/>
        <v>0.11500000000000003</v>
      </c>
      <c r="C39" s="147">
        <f t="shared" si="0"/>
        <v>4</v>
      </c>
      <c r="D39" s="170">
        <v>45748</v>
      </c>
      <c r="E39" s="167">
        <f>_xlfn.FORECAST.ETS(DATE(2025,1,1),E$32:E$38,$D$32:$D$38,1,1)+_xlfn.FORECAST.ETS.CONFINT(DATE(2025,1,1),E$32:E$38,$D$32:$D$38,$B$4,1)</f>
        <v>13402.288832386628</v>
      </c>
      <c r="F39" s="167">
        <f>_xlfn.FORECAST.ETS(DATE(2025,1,1),F$32:F$38,$D$32:$D$38,1,1)+_xlfn.FORECAST.ETS.CONFINT(DATE(2025,1,1),F$32:F$38,$D$32:$D$38,$B$4,1)</f>
        <v>166619.34521639437</v>
      </c>
      <c r="G39" s="158">
        <f>E39/F39</f>
        <v>8.0436571245557392E-2</v>
      </c>
      <c r="H39" s="167">
        <f>_xlfn.FORECAST.ETS(DATE(2025,1,1),H$32:H$38,$D$32:$D$38,1,1)+_xlfn.FORECAST.ETS.CONFINT(DATE(2025,1,1),H$32:H$38,$D$32:$D$38,$B$5,1)</f>
        <v>15744.631881201445</v>
      </c>
      <c r="I39" s="167">
        <f>_xlfn.FORECAST.ETS(DATE(2025,1,1),I$32:I$38,$D$32:$D$38,1,1)+_xlfn.FORECAST.ETS.CONFINT(DATE(2025,1,1),I$32:I$38,$D$32:$D$38,$B$5,1)</f>
        <v>258316.90859585107</v>
      </c>
      <c r="J39" s="158">
        <f>H39/I39</f>
        <v>6.0950837352403676E-2</v>
      </c>
      <c r="K39" s="171"/>
      <c r="L39" s="171"/>
      <c r="M39" s="171"/>
      <c r="N39" s="171"/>
      <c r="O39" s="167">
        <f>_xlfn.FORECAST.ETS(DATE(2025,1,1),O$32:O$38,$D$32:$D$38,1,1)+_xlfn.FORECAST.ETS.CONFINT(DATE(2025,1,1),O$32:O$38,$D$32:$D$38,$B$6,1)</f>
        <v>12674.959238415369</v>
      </c>
      <c r="P39" s="167">
        <f>_xlfn.FORECAST.ETS(DATE(2025,1,1),P$32:P$38,$D$32:$D$38,1,1)+_xlfn.FORECAST.ETS.CONFINT(DATE(2025,1,1),P$32:P$38,$D$32:$D$38,$B$6,1)</f>
        <v>107576.14963518931</v>
      </c>
      <c r="Q39" s="158">
        <f>O39/P39</f>
        <v>0.11782313534550649</v>
      </c>
      <c r="R39" s="167">
        <f>_xlfn.FORECAST.ETS(DATE(2025,1,1),R$32:R$38,$D$32:$D$38,1,1)+_xlfn.FORECAST.ETS.CONFINT(DATE(2025,1,1),R$32:R$38,$D$32:$D$38,$B$7,1)</f>
        <v>12710.787855017832</v>
      </c>
      <c r="S39" s="167">
        <f>_xlfn.FORECAST.ETS(DATE(2025,1,1),S$32:S$38,$D$32:$D$38,1,1)+_xlfn.FORECAST.ETS.CONFINT(DATE(2025,1,1),S$32:S$38,$D$32:$D$38,$B$7,1)</f>
        <v>139834.29115114117</v>
      </c>
      <c r="T39" s="158">
        <f>R39/S39</f>
        <v>9.0898932946849642E-2</v>
      </c>
      <c r="U39" s="167">
        <f>_xlfn.FORECAST.ETS(DATE(2025,1,1),U$32:U$38,$D$32:$D$38,1,1)+_xlfn.FORECAST.ETS.CONFINT(DATE(2025,1,1),U$32:U$38,$D$32:$D$38,$B$8,1)</f>
        <v>1342.3935759780841</v>
      </c>
      <c r="V39" s="167">
        <f>_xlfn.FORECAST.ETS(DATE(2025,1,1),V$32:V$38,$D$32:$D$38,1,1)+_xlfn.FORECAST.ETS.CONFINT(DATE(2025,1,1),V$32:V$38,$D$32:$D$38,$B$8,1)</f>
        <v>89318.869605090425</v>
      </c>
      <c r="W39" s="158">
        <f>U39/V39</f>
        <v>1.5029227104118869E-2</v>
      </c>
      <c r="X39" s="167">
        <f>_xlfn.FORECAST.ETS(DATE(2025,1,1),X$32:X$38,$D$32:$D$38,1,1)+_xlfn.FORECAST.ETS.CONFINT(DATE(2025,1,1),X$32:X$38,$D$32:$D$38,$B$9,1)</f>
        <v>22234.873211326962</v>
      </c>
      <c r="Y39" s="167">
        <f>_xlfn.FORECAST.ETS(DATE(2025,1,1),Y$32:Y$38,$D$32:$D$38,1,1)+_xlfn.FORECAST.ETS.CONFINT(DATE(2025,1,1),Y$32:Y$38,$D$32:$D$38,$B$9,1)</f>
        <v>227040.84506481289</v>
      </c>
      <c r="Z39" s="158">
        <f>X39/Y39</f>
        <v>9.7933361748101397E-2</v>
      </c>
      <c r="AA39" s="167">
        <f>_xlfn.FORECAST.ETS(DATE(2025,1,1),AA$32:AA$38,$D$32:$D$38,1,1)+_xlfn.FORECAST.ETS.CONFINT(DATE(2025,1,1),AA$32:AA$38,$D$32:$D$38,$B$10,1)</f>
        <v>8549.2789557828837</v>
      </c>
      <c r="AB39" s="167">
        <f>_xlfn.FORECAST.ETS(DATE(2025,1,1),AB$32:AB$38,$D$32:$D$38,1,1)+_xlfn.FORECAST.ETS.CONFINT(DATE(2025,1,1),AB$32:AB$38,$D$32:$D$38,$B$10,1)</f>
        <v>80607.078936795311</v>
      </c>
      <c r="AC39" s="158">
        <f>AA39/AB39</f>
        <v>0.10606114337037874</v>
      </c>
      <c r="AD39" s="167">
        <f>_xlfn.FORECAST.ETS(DATE(2025,1,1),AD$32:AD$38,$D$32:$D$38,1,1)+_xlfn.FORECAST.ETS.CONFINT(DATE(2025,1,1),AD$32:AD$38,$D$32:$D$38,$B$10,1)</f>
        <v>1923.6756669850001</v>
      </c>
      <c r="AE39" s="167">
        <f>_xlfn.FORECAST.ETS(DATE(2025,1,1),AE$32:AE$38,$D$32:$D$38,1,1)+_xlfn.FORECAST.ETS.CONFINT(DATE(2025,1,1),AE$32:AE$38,$D$32:$D$38,$B$11,1)</f>
        <v>109033.1648241205</v>
      </c>
      <c r="AF39" s="158">
        <f>AD39/AE39</f>
        <v>1.7643032467121796E-2</v>
      </c>
      <c r="AG39" s="167">
        <f>_xlfn.FORECAST.ETS(DATE(2025,1,1),AG$32:AG$38,$D$32:$D$38,1,1)+_xlfn.FORECAST.ETS.CONFINT(DATE(2025,1,1),AG$32:AG$38,$D$32:$D$38,$B$12,1)</f>
        <v>2118.1679995090572</v>
      </c>
      <c r="AH39" s="167">
        <f>_xlfn.FORECAST.ETS(DATE(2025,1,1),AH$32:AH$38,$D$32:$D$38,1,1)+_xlfn.FORECAST.ETS.CONFINT(DATE(2025,1,1),AH$32:AH$38,$D$32:$D$38,$B$12,1)</f>
        <v>37637.969738398162</v>
      </c>
      <c r="AI39" s="158">
        <f>AG39/AH39</f>
        <v>5.627742447935781E-2</v>
      </c>
      <c r="AJ39" s="171"/>
      <c r="AK39" s="171"/>
      <c r="AL39" s="171"/>
      <c r="AM39" s="167">
        <f t="shared" ref="AM39:AS39" si="14">_xlfn.FORECAST.ETS(DATE(2025,1,1),AM$32:AM$38,$D$32:$D$38,1,1)+_xlfn.FORECAST.ETS.CONFINT(DATE(2025,1,1),AM$32:AM$38,$D$32:$D$38,$C$1,1)</f>
        <v>30842.356611893687</v>
      </c>
      <c r="AN39" s="167">
        <f t="shared" si="14"/>
        <v>4165.3700563718767</v>
      </c>
      <c r="AO39" s="167">
        <f t="shared" si="14"/>
        <v>74284.587826203599</v>
      </c>
      <c r="AP39" s="167">
        <f t="shared" si="14"/>
        <v>1028.6987138527518</v>
      </c>
      <c r="AQ39" s="167">
        <f t="shared" si="14"/>
        <v>3653.9258662511511</v>
      </c>
      <c r="AR39" s="167">
        <f t="shared" si="14"/>
        <v>503.75701530532109</v>
      </c>
      <c r="AS39" s="167">
        <f t="shared" si="14"/>
        <v>680.93118941804892</v>
      </c>
      <c r="AT39" s="171"/>
      <c r="AU39" s="156"/>
      <c r="AV39" s="171"/>
      <c r="AW39" s="171"/>
    </row>
    <row r="40" spans="1:49">
      <c r="A40" s="224">
        <f t="shared" si="11"/>
        <v>0.12000000000000004</v>
      </c>
      <c r="C40" s="147">
        <f t="shared" ref="C40:C71" si="15">MONTH(D40)</f>
        <v>5</v>
      </c>
      <c r="D40" s="166">
        <v>43221</v>
      </c>
      <c r="E40" s="158">
        <v>15165</v>
      </c>
      <c r="F40" s="158">
        <v>137581</v>
      </c>
      <c r="G40" s="158">
        <f>E40/F40</f>
        <v>0.11022597597051918</v>
      </c>
      <c r="H40" s="158">
        <v>27411</v>
      </c>
      <c r="I40" s="158">
        <v>276925</v>
      </c>
      <c r="J40" s="158">
        <v>9.9000000000000005E-2</v>
      </c>
      <c r="K40" s="159">
        <v>8615</v>
      </c>
      <c r="L40" s="159">
        <v>119956</v>
      </c>
      <c r="M40" s="159">
        <v>16434</v>
      </c>
      <c r="N40" s="159">
        <v>224177</v>
      </c>
      <c r="O40" s="158">
        <v>8227</v>
      </c>
      <c r="P40" s="158">
        <v>107560</v>
      </c>
      <c r="Q40" s="158">
        <v>7.6499999999999999E-2</v>
      </c>
      <c r="R40" s="158">
        <v>11518</v>
      </c>
      <c r="S40" s="158">
        <v>116251</v>
      </c>
      <c r="T40" s="158">
        <v>9.9099999999999994E-2</v>
      </c>
      <c r="U40" s="158">
        <v>471</v>
      </c>
      <c r="V40" s="158">
        <v>74555</v>
      </c>
      <c r="W40" s="158">
        <v>6.3E-3</v>
      </c>
      <c r="X40" s="158">
        <v>14079</v>
      </c>
      <c r="Y40" s="158">
        <v>137531</v>
      </c>
      <c r="Z40" s="158">
        <v>0.1024</v>
      </c>
      <c r="AA40" s="158">
        <v>9735</v>
      </c>
      <c r="AB40" s="158">
        <v>90112</v>
      </c>
      <c r="AC40" s="158">
        <v>0.108</v>
      </c>
      <c r="AD40" s="158">
        <v>5665</v>
      </c>
      <c r="AE40" s="158">
        <v>92993</v>
      </c>
      <c r="AF40" s="158">
        <v>6.0900000000000003E-2</v>
      </c>
      <c r="AG40" s="158">
        <v>18019</v>
      </c>
      <c r="AH40" s="158">
        <v>84380</v>
      </c>
      <c r="AI40" s="158">
        <v>0.2135</v>
      </c>
      <c r="AJ40" s="159">
        <v>390</v>
      </c>
      <c r="AK40" s="160"/>
      <c r="AL40" s="159">
        <v>4465</v>
      </c>
      <c r="AM40" s="158">
        <v>34800</v>
      </c>
      <c r="AN40" s="158">
        <v>2310</v>
      </c>
      <c r="AO40" s="158">
        <v>826</v>
      </c>
      <c r="AP40" s="158">
        <v>2100</v>
      </c>
      <c r="AQ40" s="158">
        <v>390</v>
      </c>
      <c r="AR40" s="158">
        <v>780</v>
      </c>
      <c r="AS40" s="158">
        <v>7272</v>
      </c>
      <c r="AT40" s="158">
        <v>1650694</v>
      </c>
      <c r="AU40" s="158">
        <v>-8.5599999999999996E-2</v>
      </c>
      <c r="AV40" s="160"/>
      <c r="AW40" s="160"/>
    </row>
    <row r="41" spans="1:49">
      <c r="A41" s="224">
        <f t="shared" si="11"/>
        <v>0.12500000000000003</v>
      </c>
      <c r="C41" s="147">
        <f t="shared" si="15"/>
        <v>5</v>
      </c>
      <c r="D41" s="166">
        <v>43586</v>
      </c>
      <c r="E41" s="158">
        <v>15481</v>
      </c>
      <c r="F41" s="158">
        <v>143303</v>
      </c>
      <c r="G41" s="158">
        <f t="shared" si="1"/>
        <v>0.10802983887287775</v>
      </c>
      <c r="H41" s="158">
        <v>27703</v>
      </c>
      <c r="I41" s="158">
        <v>291095</v>
      </c>
      <c r="J41" s="158">
        <v>9.5200000000000007E-2</v>
      </c>
      <c r="K41" s="159">
        <v>11503</v>
      </c>
      <c r="L41" s="159">
        <v>123545</v>
      </c>
      <c r="M41" s="159">
        <v>18169</v>
      </c>
      <c r="N41" s="159">
        <v>218457</v>
      </c>
      <c r="O41" s="158">
        <v>6847</v>
      </c>
      <c r="P41" s="158">
        <v>114186</v>
      </c>
      <c r="Q41" s="158">
        <v>0.06</v>
      </c>
      <c r="R41" s="158">
        <v>10886</v>
      </c>
      <c r="S41" s="158">
        <v>115617</v>
      </c>
      <c r="T41" s="158">
        <v>9.4200000000000006E-2</v>
      </c>
      <c r="U41" s="158">
        <v>671</v>
      </c>
      <c r="V41" s="158">
        <v>103634</v>
      </c>
      <c r="W41" s="158">
        <v>6.4999999999999997E-3</v>
      </c>
      <c r="X41" s="158">
        <v>13270</v>
      </c>
      <c r="Y41" s="158">
        <v>133596</v>
      </c>
      <c r="Z41" s="158">
        <v>9.9299999999999999E-2</v>
      </c>
      <c r="AA41" s="158">
        <v>10817</v>
      </c>
      <c r="AB41" s="158">
        <v>93312</v>
      </c>
      <c r="AC41" s="158">
        <v>0.1159</v>
      </c>
      <c r="AD41" s="158">
        <v>7968</v>
      </c>
      <c r="AE41" s="158">
        <v>108784</v>
      </c>
      <c r="AF41" s="158">
        <v>7.3200000000000001E-2</v>
      </c>
      <c r="AG41" s="158">
        <v>8169</v>
      </c>
      <c r="AH41" s="158">
        <v>111443</v>
      </c>
      <c r="AI41" s="158">
        <v>7.3300000000000004E-2</v>
      </c>
      <c r="AJ41" s="159">
        <v>202</v>
      </c>
      <c r="AK41" s="160"/>
      <c r="AL41" s="159">
        <v>3111</v>
      </c>
      <c r="AM41" s="158">
        <v>36600</v>
      </c>
      <c r="AN41" s="158">
        <v>2323</v>
      </c>
      <c r="AO41" s="158">
        <v>430</v>
      </c>
      <c r="AP41" s="158">
        <v>1920</v>
      </c>
      <c r="AQ41" s="158">
        <v>470</v>
      </c>
      <c r="AR41" s="158">
        <v>1040</v>
      </c>
      <c r="AS41" s="158">
        <v>8799</v>
      </c>
      <c r="AT41" s="158">
        <v>1743352</v>
      </c>
      <c r="AU41" s="158">
        <v>1.1000000000000001E-3</v>
      </c>
      <c r="AV41" s="160"/>
      <c r="AW41" s="160"/>
    </row>
    <row r="42" spans="1:49">
      <c r="A42" s="224">
        <f t="shared" si="11"/>
        <v>0.13000000000000003</v>
      </c>
      <c r="C42" s="147">
        <f t="shared" si="15"/>
        <v>5</v>
      </c>
      <c r="D42" s="166">
        <v>43952</v>
      </c>
      <c r="E42" s="158">
        <v>9338</v>
      </c>
      <c r="F42" s="158">
        <v>78921</v>
      </c>
      <c r="G42" s="158">
        <f t="shared" si="1"/>
        <v>0.11832085249806769</v>
      </c>
      <c r="H42" s="158">
        <v>19707</v>
      </c>
      <c r="I42" s="158">
        <v>191456</v>
      </c>
      <c r="J42" s="158">
        <v>0.10290000000000001</v>
      </c>
      <c r="K42" s="159">
        <v>9737</v>
      </c>
      <c r="L42" s="159">
        <v>73591</v>
      </c>
      <c r="M42" s="159">
        <v>12280</v>
      </c>
      <c r="N42" s="159">
        <v>135211</v>
      </c>
      <c r="O42" s="158">
        <v>6455</v>
      </c>
      <c r="P42" s="158">
        <v>119182</v>
      </c>
      <c r="Q42" s="158">
        <v>5.4199999999999998E-2</v>
      </c>
      <c r="R42" s="158">
        <v>8488</v>
      </c>
      <c r="S42" s="158">
        <v>84579</v>
      </c>
      <c r="T42" s="158">
        <v>0.1004</v>
      </c>
      <c r="U42" s="158">
        <v>287</v>
      </c>
      <c r="V42" s="158">
        <v>56752</v>
      </c>
      <c r="W42" s="158">
        <v>5.1000000000000004E-3</v>
      </c>
      <c r="X42" s="158">
        <v>10045</v>
      </c>
      <c r="Y42" s="158">
        <v>89514</v>
      </c>
      <c r="Z42" s="158">
        <v>0.11219999999999999</v>
      </c>
      <c r="AA42" s="158">
        <v>9362</v>
      </c>
      <c r="AB42" s="158">
        <v>90856</v>
      </c>
      <c r="AC42" s="158">
        <v>0.10299999999999999</v>
      </c>
      <c r="AD42" s="158">
        <v>6018</v>
      </c>
      <c r="AE42" s="158">
        <v>44380</v>
      </c>
      <c r="AF42" s="158">
        <v>0.1356</v>
      </c>
      <c r="AG42" s="158">
        <v>6505</v>
      </c>
      <c r="AH42" s="158">
        <v>60429</v>
      </c>
      <c r="AI42" s="158">
        <v>0.1076</v>
      </c>
      <c r="AJ42" s="159">
        <v>246</v>
      </c>
      <c r="AK42" s="160"/>
      <c r="AL42" s="159">
        <v>2451</v>
      </c>
      <c r="AM42" s="158">
        <v>16200</v>
      </c>
      <c r="AN42" s="158">
        <v>2047</v>
      </c>
      <c r="AO42" s="158">
        <v>294</v>
      </c>
      <c r="AP42" s="158">
        <v>840</v>
      </c>
      <c r="AQ42" s="158">
        <v>220</v>
      </c>
      <c r="AR42" s="158">
        <v>330</v>
      </c>
      <c r="AS42" s="158">
        <v>4265</v>
      </c>
      <c r="AT42" s="158">
        <v>1149987</v>
      </c>
      <c r="AU42" s="158">
        <v>1.0500000000000001E-2</v>
      </c>
      <c r="AV42" s="160"/>
      <c r="AW42" s="160"/>
    </row>
    <row r="43" spans="1:49">
      <c r="A43" s="224">
        <f t="shared" si="11"/>
        <v>0.13500000000000004</v>
      </c>
      <c r="C43" s="147">
        <f t="shared" si="15"/>
        <v>5</v>
      </c>
      <c r="D43" s="166">
        <v>44317</v>
      </c>
      <c r="E43" s="158">
        <v>10457</v>
      </c>
      <c r="F43" s="158">
        <v>93618</v>
      </c>
      <c r="G43" s="158">
        <f t="shared" si="1"/>
        <v>0.11169860496912987</v>
      </c>
      <c r="H43" s="158">
        <v>19166</v>
      </c>
      <c r="I43" s="158">
        <v>233333</v>
      </c>
      <c r="J43" s="158">
        <v>8.2100000000000006E-2</v>
      </c>
      <c r="K43" s="159">
        <v>7180</v>
      </c>
      <c r="L43" s="159">
        <v>118859</v>
      </c>
      <c r="M43" s="159">
        <v>13797</v>
      </c>
      <c r="N43" s="159">
        <v>163168</v>
      </c>
      <c r="O43" s="158">
        <v>5945</v>
      </c>
      <c r="P43" s="158">
        <v>59401</v>
      </c>
      <c r="Q43" s="158">
        <v>0.10009999999999999</v>
      </c>
      <c r="R43" s="158">
        <v>8876</v>
      </c>
      <c r="S43" s="158">
        <v>94776</v>
      </c>
      <c r="T43" s="158">
        <v>9.3700000000000006E-2</v>
      </c>
      <c r="U43" s="158">
        <v>1608</v>
      </c>
      <c r="V43" s="158">
        <v>86453</v>
      </c>
      <c r="W43" s="158">
        <v>1.8599999999999998E-2</v>
      </c>
      <c r="X43" s="158">
        <v>10895</v>
      </c>
      <c r="Y43" s="158">
        <v>104872</v>
      </c>
      <c r="Z43" s="158">
        <v>0.10390000000000001</v>
      </c>
      <c r="AA43" s="158">
        <v>5258</v>
      </c>
      <c r="AB43" s="158">
        <v>67951</v>
      </c>
      <c r="AC43" s="158">
        <v>7.7399999999999997E-2</v>
      </c>
      <c r="AD43" s="158">
        <v>3872</v>
      </c>
      <c r="AE43" s="158">
        <v>50558</v>
      </c>
      <c r="AF43" s="158">
        <v>7.6600000000000001E-2</v>
      </c>
      <c r="AG43" s="158">
        <v>3514</v>
      </c>
      <c r="AH43" s="158">
        <v>63673</v>
      </c>
      <c r="AI43" s="158">
        <v>5.5199999999999999E-2</v>
      </c>
      <c r="AJ43" s="159">
        <v>340</v>
      </c>
      <c r="AK43" s="160"/>
      <c r="AL43" s="159">
        <v>3632</v>
      </c>
      <c r="AM43" s="158">
        <v>24000</v>
      </c>
      <c r="AN43" s="158">
        <v>2440</v>
      </c>
      <c r="AO43" s="158">
        <v>320</v>
      </c>
      <c r="AP43" s="158">
        <v>1110</v>
      </c>
      <c r="AQ43" s="158">
        <v>250</v>
      </c>
      <c r="AR43" s="158">
        <v>630</v>
      </c>
      <c r="AS43" s="158">
        <v>2410</v>
      </c>
      <c r="AT43" s="158">
        <v>1262363</v>
      </c>
      <c r="AU43" s="158">
        <v>2.9000000000000001E-2</v>
      </c>
      <c r="AV43" s="160"/>
      <c r="AW43" s="160"/>
    </row>
    <row r="44" spans="1:49">
      <c r="A44" s="224">
        <f t="shared" si="11"/>
        <v>0.14000000000000004</v>
      </c>
      <c r="C44" s="147">
        <f t="shared" si="15"/>
        <v>5</v>
      </c>
      <c r="D44" s="166">
        <v>44682</v>
      </c>
      <c r="E44" s="158">
        <v>10040</v>
      </c>
      <c r="F44" s="158">
        <v>101425</v>
      </c>
      <c r="G44" s="158">
        <f t="shared" si="1"/>
        <v>9.8989401035247726E-2</v>
      </c>
      <c r="H44" s="158">
        <v>17283</v>
      </c>
      <c r="I44" s="158">
        <v>211422</v>
      </c>
      <c r="J44" s="158">
        <v>8.1699999999999995E-2</v>
      </c>
      <c r="K44" s="159">
        <v>8601</v>
      </c>
      <c r="L44" s="159">
        <v>69445</v>
      </c>
      <c r="M44" s="159">
        <v>13596</v>
      </c>
      <c r="N44" s="159">
        <v>159241</v>
      </c>
      <c r="O44" s="158">
        <v>6306</v>
      </c>
      <c r="P44" s="158">
        <v>78375</v>
      </c>
      <c r="Q44" s="158">
        <v>8.0500000000000002E-2</v>
      </c>
      <c r="R44" s="158">
        <v>10030</v>
      </c>
      <c r="S44" s="158">
        <v>107896</v>
      </c>
      <c r="T44" s="158">
        <v>9.2999999999999999E-2</v>
      </c>
      <c r="U44" s="158">
        <v>178</v>
      </c>
      <c r="V44" s="158">
        <v>76819</v>
      </c>
      <c r="W44" s="158">
        <v>2.3E-3</v>
      </c>
      <c r="X44" s="158">
        <v>8069</v>
      </c>
      <c r="Y44" s="158">
        <v>75757</v>
      </c>
      <c r="Z44" s="158">
        <v>0.1065</v>
      </c>
      <c r="AA44" s="158">
        <v>7081</v>
      </c>
      <c r="AB44" s="158">
        <v>79586</v>
      </c>
      <c r="AC44" s="158">
        <v>8.8999999999999996E-2</v>
      </c>
      <c r="AD44" s="158">
        <v>4788</v>
      </c>
      <c r="AE44" s="158">
        <v>58086</v>
      </c>
      <c r="AF44" s="158">
        <v>8.2400000000000001E-2</v>
      </c>
      <c r="AG44" s="158">
        <v>3339</v>
      </c>
      <c r="AH44" s="158">
        <v>61947</v>
      </c>
      <c r="AI44" s="158">
        <v>5.3900000000000003E-2</v>
      </c>
      <c r="AJ44" s="159">
        <v>429</v>
      </c>
      <c r="AK44" s="160"/>
      <c r="AL44" s="159">
        <v>5970</v>
      </c>
      <c r="AM44" s="158">
        <v>22200</v>
      </c>
      <c r="AN44" s="158">
        <v>2901</v>
      </c>
      <c r="AO44" s="158">
        <v>498</v>
      </c>
      <c r="AP44" s="158">
        <v>1280</v>
      </c>
      <c r="AQ44" s="158">
        <v>340</v>
      </c>
      <c r="AR44" s="158">
        <v>480</v>
      </c>
      <c r="AS44" s="158">
        <v>3116</v>
      </c>
      <c r="AT44" s="158">
        <v>1206525</v>
      </c>
      <c r="AU44" s="158">
        <v>-0.11210000000000001</v>
      </c>
      <c r="AV44" s="160"/>
      <c r="AW44" s="160"/>
    </row>
    <row r="45" spans="1:49">
      <c r="A45" s="224">
        <f t="shared" si="11"/>
        <v>0.14500000000000005</v>
      </c>
      <c r="C45" s="147">
        <f t="shared" si="15"/>
        <v>5</v>
      </c>
      <c r="D45" s="166">
        <v>45047</v>
      </c>
      <c r="E45" s="158">
        <v>9098</v>
      </c>
      <c r="F45" s="158">
        <v>97828</v>
      </c>
      <c r="G45" s="158">
        <f t="shared" si="1"/>
        <v>9.2999959111910696E-2</v>
      </c>
      <c r="H45" s="158">
        <v>18888</v>
      </c>
      <c r="I45" s="158">
        <v>235889</v>
      </c>
      <c r="J45" s="158">
        <v>8.0100000000000005E-2</v>
      </c>
      <c r="K45" s="160"/>
      <c r="L45" s="160"/>
      <c r="M45" s="159">
        <v>14492</v>
      </c>
      <c r="N45" s="159">
        <v>171453</v>
      </c>
      <c r="O45" s="158">
        <v>8682</v>
      </c>
      <c r="P45" s="158">
        <v>90265</v>
      </c>
      <c r="Q45" s="158">
        <v>9.6199999999999994E-2</v>
      </c>
      <c r="R45" s="158">
        <v>10206</v>
      </c>
      <c r="S45" s="158">
        <v>112217</v>
      </c>
      <c r="T45" s="158">
        <v>9.0899999999999995E-2</v>
      </c>
      <c r="U45" s="158">
        <v>361</v>
      </c>
      <c r="V45" s="158">
        <v>73247</v>
      </c>
      <c r="W45" s="158">
        <v>4.8999999999999998E-3</v>
      </c>
      <c r="X45" s="158">
        <v>10442</v>
      </c>
      <c r="Y45" s="158">
        <v>100852</v>
      </c>
      <c r="Z45" s="158">
        <v>0.10349999999999999</v>
      </c>
      <c r="AA45" s="158">
        <v>7501</v>
      </c>
      <c r="AB45" s="158">
        <v>79531</v>
      </c>
      <c r="AC45" s="158">
        <v>9.4299999999999995E-2</v>
      </c>
      <c r="AD45" s="158">
        <v>2538</v>
      </c>
      <c r="AE45" s="158">
        <v>71940</v>
      </c>
      <c r="AF45" s="158">
        <v>3.5299999999999998E-2</v>
      </c>
      <c r="AG45" s="158">
        <v>2880</v>
      </c>
      <c r="AH45" s="158">
        <v>49670</v>
      </c>
      <c r="AI45" s="158">
        <v>5.8000000000000003E-2</v>
      </c>
      <c r="AJ45" s="160"/>
      <c r="AK45" s="160"/>
      <c r="AL45" s="160"/>
      <c r="AM45" s="158">
        <v>28200</v>
      </c>
      <c r="AN45" s="158">
        <v>2499</v>
      </c>
      <c r="AO45" s="158">
        <v>129300</v>
      </c>
      <c r="AP45" s="158">
        <v>1010</v>
      </c>
      <c r="AQ45" s="158">
        <v>7200</v>
      </c>
      <c r="AR45" s="158">
        <v>550</v>
      </c>
      <c r="AS45" s="158">
        <v>2179</v>
      </c>
      <c r="AT45" s="158">
        <v>1338919</v>
      </c>
      <c r="AU45" s="158">
        <v>4.7800000000000002E-2</v>
      </c>
      <c r="AV45" s="160"/>
      <c r="AW45" s="160"/>
    </row>
    <row r="46" spans="1:49">
      <c r="A46" s="224">
        <f t="shared" si="11"/>
        <v>0.15000000000000005</v>
      </c>
      <c r="C46" s="147">
        <f t="shared" si="15"/>
        <v>5</v>
      </c>
      <c r="D46" s="166">
        <v>45413</v>
      </c>
      <c r="E46" s="158">
        <v>9825</v>
      </c>
      <c r="F46" s="158">
        <v>123131</v>
      </c>
      <c r="G46" s="158">
        <f t="shared" si="1"/>
        <v>7.9793065921660675E-2</v>
      </c>
      <c r="H46" s="158">
        <v>14584</v>
      </c>
      <c r="I46" s="158">
        <v>221420</v>
      </c>
      <c r="J46" s="158">
        <v>6.59E-2</v>
      </c>
      <c r="K46" s="160"/>
      <c r="L46" s="160"/>
      <c r="M46" s="159">
        <v>17021</v>
      </c>
      <c r="N46" s="159">
        <v>174832</v>
      </c>
      <c r="O46" s="158">
        <v>9624</v>
      </c>
      <c r="P46" s="158">
        <v>105088</v>
      </c>
      <c r="Q46" s="158">
        <v>9.1600000000000001E-2</v>
      </c>
      <c r="R46" s="158">
        <v>10504</v>
      </c>
      <c r="S46" s="158">
        <v>123734</v>
      </c>
      <c r="T46" s="158">
        <v>8.4900000000000003E-2</v>
      </c>
      <c r="U46" s="158">
        <v>391</v>
      </c>
      <c r="V46" s="158">
        <v>74092</v>
      </c>
      <c r="W46" s="158">
        <v>5.3E-3</v>
      </c>
      <c r="X46" s="158">
        <v>13573</v>
      </c>
      <c r="Y46" s="158">
        <v>139760</v>
      </c>
      <c r="Z46" s="158">
        <v>9.7100000000000006E-2</v>
      </c>
      <c r="AA46" s="158">
        <v>8306</v>
      </c>
      <c r="AB46" s="158">
        <v>78764</v>
      </c>
      <c r="AC46" s="158">
        <v>0.1055</v>
      </c>
      <c r="AD46" s="158">
        <v>2592</v>
      </c>
      <c r="AE46" s="158">
        <v>81672</v>
      </c>
      <c r="AF46" s="158">
        <v>3.1699999999999999E-2</v>
      </c>
      <c r="AG46" s="158">
        <v>1556</v>
      </c>
      <c r="AH46" s="158">
        <v>23983</v>
      </c>
      <c r="AI46" s="158">
        <v>6.4899999999999999E-2</v>
      </c>
      <c r="AJ46" s="159">
        <v>0</v>
      </c>
      <c r="AK46" s="160"/>
      <c r="AL46" s="160"/>
      <c r="AM46" s="158">
        <v>34500</v>
      </c>
      <c r="AN46" s="158">
        <v>3931</v>
      </c>
      <c r="AO46" s="158">
        <v>550</v>
      </c>
      <c r="AP46" s="158">
        <v>1310</v>
      </c>
      <c r="AQ46" s="158">
        <v>370</v>
      </c>
      <c r="AR46" s="158">
        <v>590</v>
      </c>
      <c r="AS46" s="158">
        <v>2744</v>
      </c>
      <c r="AT46" s="158">
        <v>1278448</v>
      </c>
      <c r="AU46" s="160"/>
      <c r="AV46" s="160"/>
      <c r="AW46" s="160"/>
    </row>
    <row r="47" spans="1:49">
      <c r="A47" s="224">
        <f t="shared" si="11"/>
        <v>0.15500000000000005</v>
      </c>
      <c r="C47" s="147">
        <f t="shared" si="15"/>
        <v>5</v>
      </c>
      <c r="D47" s="166">
        <v>45778</v>
      </c>
      <c r="E47" s="167">
        <f>_xlfn.FORECAST.ETS(DATE(2025,1,1),E$40:E$46,$D$40:$D$46,1,1)+_xlfn.FORECAST.ETS.CONFINT(DATE(2025,1,1),E$40:E$46,$D$40:$D$46,$B$4,1)</f>
        <v>10615.876451566637</v>
      </c>
      <c r="F47" s="167">
        <f>_xlfn.FORECAST.ETS(DATE(2025,1,1),F$40:F$46,$D$40:$D$46,1,1)+_xlfn.FORECAST.ETS.CONFINT(DATE(2025,1,1),F$40:F$46,$D$40:$D$46,$B$4,1)</f>
        <v>135273.94039268469</v>
      </c>
      <c r="G47" s="158">
        <f t="shared" si="1"/>
        <v>7.847687751794595E-2</v>
      </c>
      <c r="H47" s="167">
        <f>_xlfn.FORECAST.ETS(DATE(2025,1,1),H$40:H$46,$D$40:$D$46,1,1)+_xlfn.FORECAST.ETS.CONFINT(DATE(2025,1,1),H$40:H$46,$D$40:$D$46,$B$5,1)</f>
        <v>15582.559853256185</v>
      </c>
      <c r="I47" s="167">
        <f>_xlfn.FORECAST.ETS(DATE(2025,1,1),I$40:I$46,$D$40:$D$46,1,1)+_xlfn.FORECAST.ETS.CONFINT(DATE(2025,1,1),I$40:I$46,$D$40:$D$46,$B$5,1)</f>
        <v>246369.51062195282</v>
      </c>
      <c r="J47" s="158">
        <f>H47/I47</f>
        <v>6.3248734853263516E-2</v>
      </c>
      <c r="K47" s="152"/>
      <c r="L47" s="152"/>
      <c r="M47" s="152"/>
      <c r="N47" s="152"/>
      <c r="O47" s="167">
        <f>_xlfn.FORECAST.ETS(DATE(2025,1,1),O$40:O$46,$D$40:$D$46,1,1)+_xlfn.FORECAST.ETS.CONFINT(DATE(2025,1,1),O$40:O$46,$D$40:$D$46,$B$6,1)</f>
        <v>10854.358502498575</v>
      </c>
      <c r="P47" s="167">
        <f>_xlfn.FORECAST.ETS(DATE(2025,1,1),P$40:P$46,$D$40:$D$46,1,1)+_xlfn.FORECAST.ETS.CONFINT(DATE(2025,1,1),P$40:P$46,$D$40:$D$46,$B$6,1)</f>
        <v>101549.5619688187</v>
      </c>
      <c r="Q47" s="158">
        <f>O47/P47</f>
        <v>0.10688730007354891</v>
      </c>
      <c r="R47" s="167">
        <f>_xlfn.FORECAST.ETS(DATE(2025,1,1),R$40:R$46,$D$40:$D$46,1,1)+_xlfn.FORECAST.ETS.CONFINT(DATE(2025,1,1),R$40:R$46,$D$40:$D$46,$B$7,1)</f>
        <v>11329.636513307934</v>
      </c>
      <c r="S47" s="167">
        <f>_xlfn.FORECAST.ETS(DATE(2025,1,1),S$40:S$46,$D$40:$D$46,1,1)+_xlfn.FORECAST.ETS.CONFINT(DATE(2025,1,1),S$40:S$46,$D$40:$D$46,$B$7,1)</f>
        <v>136040.68400820767</v>
      </c>
      <c r="T47" s="158">
        <f>R47/S47</f>
        <v>8.3281237490869936E-2</v>
      </c>
      <c r="U47" s="167">
        <f>_xlfn.FORECAST.ETS(DATE(2025,1,1),U$40:U$46,$D$40:$D$46,1,1)+_xlfn.FORECAST.ETS.CONFINT(DATE(2025,1,1),U$40:U$46,$D$40:$D$46,$B$8,1)</f>
        <v>998.77699850169131</v>
      </c>
      <c r="V47" s="167">
        <f>_xlfn.FORECAST.ETS(DATE(2025,1,1),V$40:V$46,$D$40:$D$46,1,1)+_xlfn.FORECAST.ETS.CONFINT(DATE(2025,1,1),V$40:V$46,$D$40:$D$46,$B$8,1)</f>
        <v>89429.006151369424</v>
      </c>
      <c r="W47" s="158">
        <f>U47/V47</f>
        <v>1.1168378599792781E-2</v>
      </c>
      <c r="X47" s="167">
        <f>_xlfn.FORECAST.ETS(DATE(2025,1,1),X$40:X$46,$D$40:$D$46,1,1)+_xlfn.FORECAST.ETS.CONFINT(DATE(2025,1,1),X$40:X$46,$D$40:$D$46,$B$9,1)</f>
        <v>16976.64540046042</v>
      </c>
      <c r="Y47" s="167">
        <f>_xlfn.FORECAST.ETS(DATE(2025,1,1),Y$40:Y$46,$D$40:$D$46,1,1)+_xlfn.FORECAST.ETS.CONFINT(DATE(2025,1,1),Y$40:Y$46,$D$40:$D$46,$B$9,1)</f>
        <v>174200.66229082906</v>
      </c>
      <c r="Z47" s="158">
        <f>X47/Y47</f>
        <v>9.7454539938073306E-2</v>
      </c>
      <c r="AA47" s="167">
        <f>_xlfn.FORECAST.ETS(DATE(2025,1,1),AA$40:AA$46,$D$40:$D$46,1,1)+_xlfn.FORECAST.ETS.CONFINT(DATE(2025,1,1),AA$40:AA$46,$D$40:$D$46,$B$10,1)</f>
        <v>7808.3112988795228</v>
      </c>
      <c r="AB47" s="167">
        <f>_xlfn.FORECAST.ETS(DATE(2025,1,1),AB$40:AB$46,$D$40:$D$46,1,1)+_xlfn.FORECAST.ETS.CONFINT(DATE(2025,1,1),AB$40:AB$46,$D$40:$D$46,$B$10,1)</f>
        <v>78273.191394843554</v>
      </c>
      <c r="AC47" s="158">
        <f>AA47/AB47</f>
        <v>9.975716027076309E-2</v>
      </c>
      <c r="AD47" s="167">
        <f>_xlfn.FORECAST.ETS(DATE(2025,1,1),AD$40:AD$46,$D$40:$D$46,1,1)+_xlfn.FORECAST.ETS.CONFINT(DATE(2025,1,1),AD$40:AD$46,$D$40:$D$46,$B$11,1)</f>
        <v>3701.1345805682608</v>
      </c>
      <c r="AE47" s="167">
        <f>_xlfn.FORECAST.ETS(DATE(2025,1,1),AE$40:AE$46,$D$40:$D$46,1,1)+_xlfn.FORECAST.ETS.CONFINT(DATE(2025,1,1),AE$40:AE$46,$D$40:$D$46,$B$11,1)</f>
        <v>99919.198575656264</v>
      </c>
      <c r="AF47" s="158">
        <f>AD47/AE47</f>
        <v>3.7041275684030393E-2</v>
      </c>
      <c r="AG47" s="167">
        <f>_xlfn.FORECAST.ETS(DATE(2025,1,1),AG$40:AG$46,$D$40:$D$46,1,1)+_xlfn.FORECAST.ETS.CONFINT(DATE(2025,1,1),AG$40:AG$46,$D$40:$D$46,$B$12,1)</f>
        <v>1914.7200703072347</v>
      </c>
      <c r="AH47" s="167">
        <f>_xlfn.FORECAST.ETS(DATE(2025,1,1),AH$40:AH$46,$D$40:$D$46,1,1)+_xlfn.FORECAST.ETS.CONFINT(DATE(2025,1,1),AH$40:AH$46,$D$40:$D$46,$B$12,1)</f>
        <v>44109.706823867105</v>
      </c>
      <c r="AI47" s="158">
        <f>AG47/AH47</f>
        <v>4.3408134131401849E-2</v>
      </c>
      <c r="AJ47" s="152"/>
      <c r="AK47" s="152"/>
      <c r="AL47" s="152"/>
      <c r="AM47" s="167">
        <f t="shared" ref="AM47:AS47" si="16">_xlfn.FORECAST.ETS(DATE(2025,1,1),AM$40:AM$46,$D$40:$D$46,1,1)+_xlfn.FORECAST.ETS.CONFINT(DATE(2025,1,1),AM$40:AM$46,$D$40:$D$46,$C$1,1)</f>
        <v>28693.881060469881</v>
      </c>
      <c r="AN47" s="167">
        <f t="shared" si="16"/>
        <v>3551.74205268899</v>
      </c>
      <c r="AO47" s="167">
        <f t="shared" si="16"/>
        <v>73096.614853093721</v>
      </c>
      <c r="AP47" s="167">
        <f t="shared" si="16"/>
        <v>1045.8403626254797</v>
      </c>
      <c r="AQ47" s="167">
        <f t="shared" si="16"/>
        <v>4264.5719228139096</v>
      </c>
      <c r="AR47" s="167">
        <f t="shared" si="16"/>
        <v>555.45943699607449</v>
      </c>
      <c r="AS47" s="167">
        <f t="shared" si="16"/>
        <v>752.81052502842863</v>
      </c>
      <c r="AT47" s="152"/>
      <c r="AU47" s="160"/>
      <c r="AV47" s="152"/>
      <c r="AW47" s="152"/>
    </row>
    <row r="48" spans="1:49">
      <c r="A48" s="224">
        <f t="shared" si="11"/>
        <v>0.16000000000000006</v>
      </c>
      <c r="C48" s="147">
        <f t="shared" si="15"/>
        <v>6</v>
      </c>
      <c r="D48" s="170">
        <v>43252</v>
      </c>
      <c r="E48" s="168">
        <v>14450</v>
      </c>
      <c r="F48" s="168">
        <v>130011</v>
      </c>
      <c r="G48" s="158">
        <f>E48/F48</f>
        <v>0.11114444162417027</v>
      </c>
      <c r="H48" s="168">
        <v>26744</v>
      </c>
      <c r="I48" s="168">
        <v>261176</v>
      </c>
      <c r="J48" s="168">
        <v>0.1024</v>
      </c>
      <c r="K48" s="169">
        <v>8138</v>
      </c>
      <c r="L48" s="169">
        <v>111105</v>
      </c>
      <c r="M48" s="169">
        <v>15991</v>
      </c>
      <c r="N48" s="169">
        <v>222563</v>
      </c>
      <c r="O48" s="168">
        <v>7811</v>
      </c>
      <c r="P48" s="168">
        <v>99118</v>
      </c>
      <c r="Q48" s="168">
        <v>7.8799999999999995E-2</v>
      </c>
      <c r="R48" s="168">
        <v>11182</v>
      </c>
      <c r="S48" s="168">
        <v>110148</v>
      </c>
      <c r="T48" s="168">
        <v>0.10150000000000001</v>
      </c>
      <c r="U48" s="168">
        <v>305</v>
      </c>
      <c r="V48" s="168">
        <v>65838</v>
      </c>
      <c r="W48" s="168">
        <v>4.5999999999999999E-3</v>
      </c>
      <c r="X48" s="168">
        <v>13206</v>
      </c>
      <c r="Y48" s="168">
        <v>128769</v>
      </c>
      <c r="Z48" s="168">
        <v>0.1026</v>
      </c>
      <c r="AA48" s="168">
        <v>9109</v>
      </c>
      <c r="AB48" s="168">
        <v>84437</v>
      </c>
      <c r="AC48" s="168">
        <v>0.1079</v>
      </c>
      <c r="AD48" s="168">
        <v>6174</v>
      </c>
      <c r="AE48" s="168">
        <v>95707</v>
      </c>
      <c r="AF48" s="168">
        <v>6.4500000000000002E-2</v>
      </c>
      <c r="AG48" s="168">
        <v>12565</v>
      </c>
      <c r="AH48" s="168">
        <v>75726</v>
      </c>
      <c r="AI48" s="168">
        <v>0.16589999999999999</v>
      </c>
      <c r="AJ48" s="169">
        <v>393</v>
      </c>
      <c r="AK48" s="156"/>
      <c r="AL48" s="169">
        <v>4378</v>
      </c>
      <c r="AM48" s="168">
        <v>32100</v>
      </c>
      <c r="AN48" s="168">
        <v>2301</v>
      </c>
      <c r="AO48" s="168">
        <v>587</v>
      </c>
      <c r="AP48" s="168">
        <v>1960</v>
      </c>
      <c r="AQ48" s="168">
        <v>470</v>
      </c>
      <c r="AR48" s="168">
        <v>810</v>
      </c>
      <c r="AS48" s="168">
        <v>6580</v>
      </c>
      <c r="AT48" s="168">
        <v>1559853</v>
      </c>
      <c r="AU48" s="168">
        <v>-5.5E-2</v>
      </c>
      <c r="AV48" s="156"/>
      <c r="AW48" s="156"/>
    </row>
    <row r="49" spans="1:49">
      <c r="A49" s="224">
        <f t="shared" si="11"/>
        <v>0.16500000000000006</v>
      </c>
      <c r="C49" s="147">
        <f t="shared" si="15"/>
        <v>6</v>
      </c>
      <c r="D49" s="170">
        <v>43617</v>
      </c>
      <c r="E49" s="168">
        <v>13608</v>
      </c>
      <c r="F49" s="168">
        <v>119868</v>
      </c>
      <c r="G49" s="158">
        <f t="shared" si="1"/>
        <v>0.11352487736510161</v>
      </c>
      <c r="H49" s="168">
        <v>26319</v>
      </c>
      <c r="I49" s="168">
        <v>261520</v>
      </c>
      <c r="J49" s="168">
        <v>0.10059999999999999</v>
      </c>
      <c r="K49" s="169">
        <v>10187</v>
      </c>
      <c r="L49" s="169">
        <v>60483</v>
      </c>
      <c r="M49" s="169">
        <v>16948</v>
      </c>
      <c r="N49" s="169">
        <v>199913</v>
      </c>
      <c r="O49" s="168">
        <v>6325</v>
      </c>
      <c r="P49" s="168">
        <v>92048</v>
      </c>
      <c r="Q49" s="168">
        <v>6.8699999999999997E-2</v>
      </c>
      <c r="R49" s="168">
        <v>10574</v>
      </c>
      <c r="S49" s="168">
        <v>110710</v>
      </c>
      <c r="T49" s="168">
        <v>9.5500000000000002E-2</v>
      </c>
      <c r="U49" s="168">
        <v>371</v>
      </c>
      <c r="V49" s="168">
        <v>65834</v>
      </c>
      <c r="W49" s="168">
        <v>5.5999999999999999E-3</v>
      </c>
      <c r="X49" s="168">
        <v>11798</v>
      </c>
      <c r="Y49" s="168">
        <v>112087</v>
      </c>
      <c r="Z49" s="168">
        <v>0.1053</v>
      </c>
      <c r="AA49" s="168">
        <v>10859</v>
      </c>
      <c r="AB49" s="168">
        <v>93312</v>
      </c>
      <c r="AC49" s="168">
        <v>0.1164</v>
      </c>
      <c r="AD49" s="168">
        <v>6951</v>
      </c>
      <c r="AE49" s="168">
        <v>85044</v>
      </c>
      <c r="AF49" s="168">
        <v>8.1699999999999995E-2</v>
      </c>
      <c r="AG49" s="168">
        <v>8148</v>
      </c>
      <c r="AH49" s="168">
        <v>98011</v>
      </c>
      <c r="AI49" s="168">
        <v>8.3099999999999993E-2</v>
      </c>
      <c r="AJ49" s="169">
        <v>190</v>
      </c>
      <c r="AK49" s="156"/>
      <c r="AL49" s="169">
        <v>2900</v>
      </c>
      <c r="AM49" s="168">
        <v>28800</v>
      </c>
      <c r="AN49" s="168">
        <v>2273</v>
      </c>
      <c r="AO49" s="168">
        <v>384</v>
      </c>
      <c r="AP49" s="168">
        <v>1450</v>
      </c>
      <c r="AQ49" s="168">
        <v>340</v>
      </c>
      <c r="AR49" s="168">
        <v>870</v>
      </c>
      <c r="AS49" s="168">
        <v>6494</v>
      </c>
      <c r="AT49" s="168">
        <v>1464620</v>
      </c>
      <c r="AU49" s="168">
        <v>-0.15989999999999999</v>
      </c>
      <c r="AV49" s="156"/>
      <c r="AW49" s="156"/>
    </row>
    <row r="50" spans="1:49">
      <c r="A50" s="224">
        <f t="shared" si="11"/>
        <v>0.17000000000000007</v>
      </c>
      <c r="C50" s="147">
        <f t="shared" si="15"/>
        <v>6</v>
      </c>
      <c r="D50" s="170">
        <v>43983</v>
      </c>
      <c r="E50" s="168">
        <v>8708</v>
      </c>
      <c r="F50" s="168">
        <v>73111</v>
      </c>
      <c r="G50" s="158">
        <f t="shared" si="1"/>
        <v>0.11910656399173859</v>
      </c>
      <c r="H50" s="168">
        <v>18297</v>
      </c>
      <c r="I50" s="168">
        <v>178695</v>
      </c>
      <c r="J50" s="168">
        <v>0.1024</v>
      </c>
      <c r="K50" s="169">
        <v>9013</v>
      </c>
      <c r="L50" s="169">
        <v>69065</v>
      </c>
      <c r="M50" s="169">
        <v>10964</v>
      </c>
      <c r="N50" s="169">
        <v>122991</v>
      </c>
      <c r="O50" s="168">
        <v>6762</v>
      </c>
      <c r="P50" s="168">
        <v>12308</v>
      </c>
      <c r="Q50" s="156"/>
      <c r="R50" s="168">
        <v>8429</v>
      </c>
      <c r="S50" s="168">
        <v>81509</v>
      </c>
      <c r="T50" s="168">
        <v>0.10340000000000001</v>
      </c>
      <c r="U50" s="168">
        <v>244</v>
      </c>
      <c r="V50" s="168">
        <v>28002</v>
      </c>
      <c r="W50" s="168">
        <v>8.6999999999999994E-3</v>
      </c>
      <c r="X50" s="168">
        <v>9020</v>
      </c>
      <c r="Y50" s="168">
        <v>81396</v>
      </c>
      <c r="Z50" s="168">
        <v>0.1108</v>
      </c>
      <c r="AA50" s="168">
        <v>0</v>
      </c>
      <c r="AB50" s="168">
        <v>0</v>
      </c>
      <c r="AC50" s="172" t="e">
        <v>#DIV/0!</v>
      </c>
      <c r="AD50" s="168">
        <v>4490</v>
      </c>
      <c r="AE50" s="168">
        <v>39053</v>
      </c>
      <c r="AF50" s="168">
        <v>0.115</v>
      </c>
      <c r="AG50" s="168">
        <v>3508</v>
      </c>
      <c r="AH50" s="168">
        <v>42983</v>
      </c>
      <c r="AI50" s="168">
        <v>8.1600000000000006E-2</v>
      </c>
      <c r="AJ50" s="169">
        <v>253</v>
      </c>
      <c r="AK50" s="156"/>
      <c r="AL50" s="169">
        <v>2358</v>
      </c>
      <c r="AM50" s="168">
        <v>17400</v>
      </c>
      <c r="AN50" s="168">
        <v>1812</v>
      </c>
      <c r="AO50" s="168">
        <v>330</v>
      </c>
      <c r="AP50" s="168">
        <v>800</v>
      </c>
      <c r="AQ50" s="168">
        <v>200</v>
      </c>
      <c r="AR50" s="168">
        <v>300</v>
      </c>
      <c r="AS50" s="168">
        <v>4297</v>
      </c>
      <c r="AT50" s="172" t="e">
        <v>#DIV/0!</v>
      </c>
      <c r="AU50" s="172" t="e">
        <v>#DIV/0!</v>
      </c>
      <c r="AV50" s="156"/>
      <c r="AW50" s="156"/>
    </row>
    <row r="51" spans="1:49">
      <c r="A51" s="224">
        <f t="shared" si="11"/>
        <v>0.17500000000000007</v>
      </c>
      <c r="C51" s="147">
        <f t="shared" si="15"/>
        <v>6</v>
      </c>
      <c r="D51" s="170">
        <v>44348</v>
      </c>
      <c r="E51" s="168">
        <v>9101</v>
      </c>
      <c r="F51" s="168">
        <v>79733</v>
      </c>
      <c r="G51" s="158">
        <f t="shared" si="1"/>
        <v>0.11414345377698067</v>
      </c>
      <c r="H51" s="168">
        <v>16015</v>
      </c>
      <c r="I51" s="168">
        <v>178990</v>
      </c>
      <c r="J51" s="168">
        <v>8.9499999999999996E-2</v>
      </c>
      <c r="K51" s="169">
        <v>5410</v>
      </c>
      <c r="L51" s="169">
        <v>53798</v>
      </c>
      <c r="M51" s="169">
        <v>12797</v>
      </c>
      <c r="N51" s="169">
        <v>152188</v>
      </c>
      <c r="O51" s="168">
        <v>5913</v>
      </c>
      <c r="P51" s="168">
        <v>63595</v>
      </c>
      <c r="Q51" s="168">
        <v>9.2999999999999999E-2</v>
      </c>
      <c r="R51" s="168">
        <v>8639</v>
      </c>
      <c r="S51" s="168">
        <v>89464</v>
      </c>
      <c r="T51" s="168">
        <v>9.6600000000000005E-2</v>
      </c>
      <c r="U51" s="168">
        <v>517</v>
      </c>
      <c r="V51" s="168">
        <v>65649</v>
      </c>
      <c r="W51" s="168">
        <v>7.9000000000000008E-3</v>
      </c>
      <c r="X51" s="168">
        <v>3905</v>
      </c>
      <c r="Y51" s="168">
        <v>36730</v>
      </c>
      <c r="Z51" s="168">
        <v>0.10630000000000001</v>
      </c>
      <c r="AA51" s="168">
        <v>5583</v>
      </c>
      <c r="AB51" s="168">
        <v>60753</v>
      </c>
      <c r="AC51" s="168">
        <v>9.1899999999999996E-2</v>
      </c>
      <c r="AD51" s="168">
        <v>4084</v>
      </c>
      <c r="AE51" s="168">
        <v>44000</v>
      </c>
      <c r="AF51" s="168">
        <v>9.2799999999999994E-2</v>
      </c>
      <c r="AG51" s="168">
        <v>3278</v>
      </c>
      <c r="AH51" s="168">
        <v>48194</v>
      </c>
      <c r="AI51" s="168">
        <v>6.8000000000000005E-2</v>
      </c>
      <c r="AJ51" s="169">
        <v>353</v>
      </c>
      <c r="AK51" s="156"/>
      <c r="AL51" s="169">
        <v>3587</v>
      </c>
      <c r="AM51" s="168">
        <v>21600</v>
      </c>
      <c r="AN51" s="168">
        <v>2808</v>
      </c>
      <c r="AO51" s="168">
        <v>285</v>
      </c>
      <c r="AP51" s="168">
        <v>1180</v>
      </c>
      <c r="AQ51" s="168">
        <v>290</v>
      </c>
      <c r="AR51" s="168">
        <v>600</v>
      </c>
      <c r="AS51" s="168">
        <v>2471</v>
      </c>
      <c r="AT51" s="168">
        <v>981511</v>
      </c>
      <c r="AU51" s="168">
        <v>-0.2225</v>
      </c>
      <c r="AV51" s="156"/>
      <c r="AW51" s="156"/>
    </row>
    <row r="52" spans="1:49">
      <c r="A52" s="224">
        <f t="shared" si="11"/>
        <v>0.18000000000000008</v>
      </c>
      <c r="C52" s="147">
        <f t="shared" si="15"/>
        <v>6</v>
      </c>
      <c r="D52" s="170">
        <v>44713</v>
      </c>
      <c r="E52" s="168">
        <v>9108</v>
      </c>
      <c r="F52" s="168">
        <v>85892</v>
      </c>
      <c r="G52" s="158">
        <f t="shared" si="1"/>
        <v>0.10604014343594281</v>
      </c>
      <c r="H52" s="168">
        <v>15605</v>
      </c>
      <c r="I52" s="168">
        <v>179890</v>
      </c>
      <c r="J52" s="168">
        <v>8.6699999999999999E-2</v>
      </c>
      <c r="K52" s="169">
        <v>7228</v>
      </c>
      <c r="L52" s="169">
        <v>60941</v>
      </c>
      <c r="M52" s="169">
        <v>12100</v>
      </c>
      <c r="N52" s="169">
        <v>144205</v>
      </c>
      <c r="O52" s="168">
        <v>5895</v>
      </c>
      <c r="P52" s="168">
        <v>64798</v>
      </c>
      <c r="Q52" s="168">
        <v>9.0999999999999998E-2</v>
      </c>
      <c r="R52" s="168">
        <v>9469</v>
      </c>
      <c r="S52" s="168">
        <v>102789</v>
      </c>
      <c r="T52" s="168">
        <v>9.2100000000000001E-2</v>
      </c>
      <c r="U52" s="168">
        <v>128</v>
      </c>
      <c r="V52" s="168">
        <v>59948</v>
      </c>
      <c r="W52" s="168">
        <v>2.0999999999999999E-3</v>
      </c>
      <c r="X52" s="168">
        <v>8040</v>
      </c>
      <c r="Y52" s="168">
        <v>75894</v>
      </c>
      <c r="Z52" s="168">
        <v>0.10589999999999999</v>
      </c>
      <c r="AA52" s="168">
        <v>5852</v>
      </c>
      <c r="AB52" s="168">
        <v>71738</v>
      </c>
      <c r="AC52" s="168">
        <v>8.1600000000000006E-2</v>
      </c>
      <c r="AD52" s="168">
        <v>4304</v>
      </c>
      <c r="AE52" s="168">
        <v>50427</v>
      </c>
      <c r="AF52" s="168">
        <v>8.5400000000000004E-2</v>
      </c>
      <c r="AG52" s="168">
        <v>2115</v>
      </c>
      <c r="AH52" s="168">
        <v>33188</v>
      </c>
      <c r="AI52" s="168">
        <v>6.3700000000000007E-2</v>
      </c>
      <c r="AJ52" s="169">
        <v>422</v>
      </c>
      <c r="AK52" s="156"/>
      <c r="AL52" s="169">
        <v>5283</v>
      </c>
      <c r="AM52" s="168">
        <v>22200</v>
      </c>
      <c r="AN52" s="168">
        <v>2085</v>
      </c>
      <c r="AO52" s="168">
        <v>526</v>
      </c>
      <c r="AP52" s="168">
        <v>1270</v>
      </c>
      <c r="AQ52" s="168">
        <v>290</v>
      </c>
      <c r="AR52" s="168">
        <v>460</v>
      </c>
      <c r="AS52" s="168">
        <v>3127</v>
      </c>
      <c r="AT52" s="168">
        <v>1045218</v>
      </c>
      <c r="AU52" s="168">
        <v>-0.13370000000000001</v>
      </c>
      <c r="AV52" s="156"/>
      <c r="AW52" s="156"/>
    </row>
    <row r="53" spans="1:49">
      <c r="A53" s="224">
        <f t="shared" si="11"/>
        <v>0.18500000000000008</v>
      </c>
      <c r="C53" s="147">
        <f t="shared" si="15"/>
        <v>6</v>
      </c>
      <c r="D53" s="170">
        <v>45078</v>
      </c>
      <c r="E53" s="168">
        <v>7818</v>
      </c>
      <c r="F53" s="168">
        <v>81698</v>
      </c>
      <c r="G53" s="158">
        <f t="shared" si="1"/>
        <v>9.5693897035423151E-2</v>
      </c>
      <c r="H53" s="168">
        <v>16017</v>
      </c>
      <c r="I53" s="168">
        <v>97025</v>
      </c>
      <c r="J53" s="168">
        <v>0.1651</v>
      </c>
      <c r="K53" s="156"/>
      <c r="L53" s="156"/>
      <c r="M53" s="169">
        <v>13138</v>
      </c>
      <c r="N53" s="169">
        <v>49499</v>
      </c>
      <c r="O53" s="168">
        <v>7740</v>
      </c>
      <c r="P53" s="168">
        <v>77646</v>
      </c>
      <c r="Q53" s="168">
        <v>9.9699999999999997E-2</v>
      </c>
      <c r="R53" s="168">
        <v>9479</v>
      </c>
      <c r="S53" s="168">
        <v>105136</v>
      </c>
      <c r="T53" s="168">
        <v>9.0200000000000002E-2</v>
      </c>
      <c r="U53" s="168">
        <v>400</v>
      </c>
      <c r="V53" s="168">
        <v>48743</v>
      </c>
      <c r="W53" s="168">
        <v>8.2000000000000007E-3</v>
      </c>
      <c r="X53" s="168">
        <v>8865</v>
      </c>
      <c r="Y53" s="168">
        <v>87290</v>
      </c>
      <c r="Z53" s="168">
        <v>0.1016</v>
      </c>
      <c r="AA53" s="168">
        <v>6960</v>
      </c>
      <c r="AB53" s="168">
        <v>73275</v>
      </c>
      <c r="AC53" s="168">
        <v>9.5000000000000001E-2</v>
      </c>
      <c r="AD53" s="168">
        <v>2394</v>
      </c>
      <c r="AE53" s="168">
        <v>55650</v>
      </c>
      <c r="AF53" s="168">
        <v>4.2999999999999997E-2</v>
      </c>
      <c r="AG53" s="168">
        <v>1820</v>
      </c>
      <c r="AH53" s="168">
        <v>21422</v>
      </c>
      <c r="AI53" s="168">
        <v>8.5000000000000006E-2</v>
      </c>
      <c r="AJ53" s="156"/>
      <c r="AK53" s="156"/>
      <c r="AL53" s="156"/>
      <c r="AM53" s="168">
        <v>25500</v>
      </c>
      <c r="AN53" s="168">
        <v>2835</v>
      </c>
      <c r="AO53" s="168">
        <v>140100</v>
      </c>
      <c r="AP53" s="168">
        <v>1200</v>
      </c>
      <c r="AQ53" s="168">
        <v>8100</v>
      </c>
      <c r="AR53" s="168">
        <v>520</v>
      </c>
      <c r="AS53" s="168">
        <v>4549</v>
      </c>
      <c r="AT53" s="168">
        <v>954820</v>
      </c>
      <c r="AU53" s="168">
        <v>-0.28689999999999999</v>
      </c>
      <c r="AV53" s="156"/>
      <c r="AW53" s="156"/>
    </row>
    <row r="54" spans="1:49">
      <c r="A54" s="224">
        <f t="shared" si="11"/>
        <v>0.19000000000000009</v>
      </c>
      <c r="C54" s="147">
        <f t="shared" si="15"/>
        <v>6</v>
      </c>
      <c r="D54" s="170">
        <v>45444</v>
      </c>
      <c r="E54" s="156"/>
      <c r="F54" s="156"/>
      <c r="G54" s="158" t="e">
        <f>E54/F54</f>
        <v>#DIV/0!</v>
      </c>
      <c r="H54" s="156"/>
      <c r="I54" s="156"/>
      <c r="J54" s="172" t="e">
        <v>#DIV/0!</v>
      </c>
      <c r="K54" s="156"/>
      <c r="L54" s="156"/>
      <c r="M54" s="156"/>
      <c r="N54" s="156"/>
      <c r="O54" s="156"/>
      <c r="P54" s="156"/>
      <c r="Q54" s="172" t="e">
        <v>#DIV/0!</v>
      </c>
      <c r="R54" s="156"/>
      <c r="S54" s="156"/>
      <c r="T54" s="172" t="e">
        <v>#DIV/0!</v>
      </c>
      <c r="U54" s="156"/>
      <c r="V54" s="156"/>
      <c r="W54" s="156"/>
      <c r="X54" s="156"/>
      <c r="Y54" s="156"/>
      <c r="Z54" s="172" t="e">
        <v>#DIV/0!</v>
      </c>
      <c r="AA54" s="156"/>
      <c r="AB54" s="156"/>
      <c r="AC54" s="172" t="e">
        <v>#DIV/0!</v>
      </c>
      <c r="AD54" s="156"/>
      <c r="AE54" s="156"/>
      <c r="AF54" s="172" t="e">
        <v>#DIV/0!</v>
      </c>
      <c r="AG54" s="156"/>
      <c r="AH54" s="156"/>
      <c r="AI54" s="172" t="e">
        <v>#DIV/0!</v>
      </c>
      <c r="AJ54" s="169">
        <v>0</v>
      </c>
      <c r="AK54" s="156"/>
      <c r="AL54" s="156"/>
      <c r="AM54" s="156"/>
      <c r="AN54" s="168">
        <v>4216</v>
      </c>
      <c r="AO54" s="156"/>
      <c r="AP54" s="156"/>
      <c r="AQ54" s="156"/>
      <c r="AR54" s="156"/>
      <c r="AS54" s="156"/>
      <c r="AT54" s="156"/>
      <c r="AU54" s="156"/>
      <c r="AV54" s="156"/>
      <c r="AW54" s="156"/>
    </row>
    <row r="55" spans="1:49">
      <c r="A55" s="224">
        <f t="shared" si="11"/>
        <v>0.19500000000000009</v>
      </c>
      <c r="C55" s="147">
        <f t="shared" si="15"/>
        <v>6</v>
      </c>
      <c r="D55" s="170">
        <v>45809</v>
      </c>
      <c r="E55" s="167">
        <f>_xlfn.FORECAST.ETS(DATE(2025,1,1),E$48:E$54,$D$48:$D$54,1,1)+_xlfn.FORECAST.ETS.CONFINT(DATE(2025,1,1),E$48:E$54,$D$48:$D$54,$B$4,1)</f>
        <v>8317.1479521256279</v>
      </c>
      <c r="F55" s="167">
        <f>_xlfn.FORECAST.ETS(DATE(2025,1,1),F$48:F$54,$D$48:$D$54,1,1)+_xlfn.FORECAST.ETS.CONFINT(DATE(2025,1,1),F$48:F$54,$D$48:$D$54,$B$4,1)</f>
        <v>96200.947992182089</v>
      </c>
      <c r="G55" s="158">
        <f>E55/F55</f>
        <v>8.645598744828932E-2</v>
      </c>
      <c r="H55" s="167">
        <f>_xlfn.FORECAST.ETS(DATE(2025,1,1),H$48:H$54,$D$48:$D$54,1,1)+_xlfn.FORECAST.ETS.CONFINT(DATE(2025,1,1),H$48:H$54,$D$48:$D$54,$B$5,1)</f>
        <v>13556.78497137719</v>
      </c>
      <c r="I55" s="167">
        <f>_xlfn.FORECAST.ETS(DATE(2025,1,1),I$48:I$54,$D$48:$D$54,1,1)+_xlfn.FORECAST.ETS.CONFINT(DATE(2025,1,1),I$48:I$54,$D$48:$D$54,$B$5,1)</f>
        <v>86528.787272532878</v>
      </c>
      <c r="J55" s="158">
        <f>H55/I55</f>
        <v>0.15667369668175815</v>
      </c>
      <c r="K55" s="171"/>
      <c r="L55" s="171"/>
      <c r="M55" s="171"/>
      <c r="N55" s="171"/>
      <c r="O55" s="167">
        <f>_xlfn.FORECAST.ETS(DATE(2025,1,1),O$48:O$54,$D$48:$D$54,1,1)+_xlfn.FORECAST.ETS.CONFINT(DATE(2025,1,1),O$48:O$54,$D$48:$D$54,$B$6,1)</f>
        <v>8629.5250611845386</v>
      </c>
      <c r="P55" s="167">
        <f>_xlfn.FORECAST.ETS(DATE(2025,1,1),P$48:P$54,$D$48:$D$54,1,1)+_xlfn.FORECAST.ETS.CONFINT(DATE(2025,1,1),P$48:P$54,$D$48:$D$54,$B$6,1)</f>
        <v>104127.5794647049</v>
      </c>
      <c r="Q55" s="158">
        <f>O55/P55</f>
        <v>8.2874538191964817E-2</v>
      </c>
      <c r="R55" s="167">
        <f>_xlfn.FORECAST.ETS(DATE(2025,1,1),R$48:R$54,$D$48:$D$54,1,1)+_xlfn.FORECAST.ETS.CONFINT(DATE(2025,1,1),R$48:R$54,$D$48:$D$54,$B$7,1)</f>
        <v>10269.22245881352</v>
      </c>
      <c r="S55" s="167">
        <f>_xlfn.FORECAST.ETS(DATE(2025,1,1),S$48:S$54,$D$48:$D$54,1,1)+_xlfn.FORECAST.ETS.CONFINT(DATE(2025,1,1),S$48:S$54,$D$48:$D$54,$B$7,1)</f>
        <v>114254.75767619805</v>
      </c>
      <c r="T55" s="158">
        <f>R55/S55</f>
        <v>8.9880042351644152E-2</v>
      </c>
      <c r="U55" s="167">
        <f>_xlfn.FORECAST.ETS(DATE(2025,1,1),U$48:U$54,$D$48:$D$54,1,1)+_xlfn.FORECAST.ETS.CONFINT(DATE(2025,1,1),U$48:U$54,$D$48:$D$54,$B$8,1)</f>
        <v>410.92852192038339</v>
      </c>
      <c r="V55" s="167">
        <f>_xlfn.FORECAST.ETS(DATE(2025,1,1),V$48:V$54,$D$48:$D$54,1,1)+_xlfn.FORECAST.ETS.CONFINT(DATE(2025,1,1),V$48:V$54,$D$48:$D$54,$B$8,1)</f>
        <v>78205.830227831175</v>
      </c>
      <c r="W55" s="158">
        <f>U55/V55</f>
        <v>5.2544486865398164E-3</v>
      </c>
      <c r="X55" s="167">
        <f>_xlfn.FORECAST.ETS(DATE(2025,1,1),X$48:X$54,$D$48:$D$54,1,1)+_xlfn.FORECAST.ETS.CONFINT(DATE(2025,1,1),X$48:X$54,$D$48:$D$54,$B$9,1)</f>
        <v>11638.914722607631</v>
      </c>
      <c r="Y55" s="167">
        <f>_xlfn.FORECAST.ETS(DATE(2025,1,1),Y$48:Y$54,$D$48:$D$54,1,1)+_xlfn.FORECAST.ETS.CONFINT(DATE(2025,1,1),Y$48:Y$54,$D$48:$D$54,$B$9,1)</f>
        <v>144142.44439465867</v>
      </c>
      <c r="Z55" s="158">
        <f>X55/Y55</f>
        <v>8.0745923044988413E-2</v>
      </c>
      <c r="AA55" s="167">
        <f>_xlfn.FORECAST.ETS(DATE(2025,1,1),AA$48:AA$54,$D$48:$D$54,1,1)+_xlfn.FORECAST.ETS.CONFINT(DATE(2025,1,1),AA$48:AA$54,$D$48:$D$54,$B$10,1)</f>
        <v>9173.5667124724059</v>
      </c>
      <c r="AB55" s="167">
        <f>_xlfn.FORECAST.ETS(DATE(2025,1,1),AB$48:AB$54,$D$48:$D$54,1,1)+_xlfn.FORECAST.ETS.CONFINT(DATE(2025,1,1),AB$48:AB$54,$D$48:$D$54,$B$10,1)</f>
        <v>110028.12148507359</v>
      </c>
      <c r="AC55" s="158">
        <f>AA55/AB55</f>
        <v>8.3374746279903475E-2</v>
      </c>
      <c r="AD55" s="167">
        <f>_xlfn.FORECAST.ETS(DATE(2025,1,1),AD$48:AD$54,$D$48:$D$54,1,1)+_xlfn.FORECAST.ETS.CONFINT(DATE(2025,1,1),AD$48:AD$54,$D$48:$D$54,$B$11,1)</f>
        <v>2806.060744500669</v>
      </c>
      <c r="AE55" s="167">
        <f>_xlfn.FORECAST.ETS(DATE(2025,1,1),AE$48:AE$54,$D$48:$D$54,1,1)+_xlfn.FORECAST.ETS.CONFINT(DATE(2025,1,1),AE$48:AE$54,$D$48:$D$54,$B$11,1)</f>
        <v>83931.507816870464</v>
      </c>
      <c r="AF55" s="158">
        <f>AD55/AE55</f>
        <v>3.3432745550374149E-2</v>
      </c>
      <c r="AG55" s="167">
        <f>_xlfn.FORECAST.ETS(DATE(2025,1,1),AG$48:AG$54,$D$48:$D$54,1,1)+_xlfn.FORECAST.ETS.CONFINT(DATE(2025,1,1),AG$48:AG$54,$D$48:$D$54,$B$12,1)</f>
        <v>537.16590445807674</v>
      </c>
      <c r="AH55" s="167">
        <f>_xlfn.FORECAST.ETS(DATE(2025,1,1),AH$48:AH$54,$D$48:$D$54,1,1)+_xlfn.FORECAST.ETS.CONFINT(DATE(2025,1,1),AH$48:AH$54,$D$48:$D$54,$B$12,1)</f>
        <v>1815.3277736078471</v>
      </c>
      <c r="AI55" s="158">
        <f>AG55/AH55</f>
        <v>0.29590573794312314</v>
      </c>
      <c r="AJ55" s="171"/>
      <c r="AK55" s="171"/>
      <c r="AL55" s="171"/>
      <c r="AM55" s="171"/>
      <c r="AN55" s="171"/>
      <c r="AO55" s="171"/>
      <c r="AP55" s="171"/>
      <c r="AQ55" s="171"/>
      <c r="AR55" s="171"/>
      <c r="AS55" s="171"/>
      <c r="AT55" s="171"/>
      <c r="AU55" s="156"/>
      <c r="AV55" s="171"/>
      <c r="AW55" s="171"/>
    </row>
    <row r="56" spans="1:49">
      <c r="A56" s="224">
        <f t="shared" si="11"/>
        <v>0.20000000000000009</v>
      </c>
      <c r="C56" s="147">
        <f t="shared" si="15"/>
        <v>7</v>
      </c>
      <c r="D56" s="166">
        <v>43282</v>
      </c>
      <c r="E56" s="158">
        <v>13582</v>
      </c>
      <c r="F56" s="158">
        <v>120349</v>
      </c>
      <c r="G56" s="158">
        <v>0.1129</v>
      </c>
      <c r="H56" s="158">
        <v>30202</v>
      </c>
      <c r="I56" s="158">
        <v>286407</v>
      </c>
      <c r="J56" s="158">
        <v>0.1055</v>
      </c>
      <c r="K56" s="159">
        <v>7814</v>
      </c>
      <c r="L56" s="159">
        <v>102838</v>
      </c>
      <c r="M56" s="159">
        <v>21994</v>
      </c>
      <c r="N56" s="159">
        <v>196922</v>
      </c>
      <c r="O56" s="158">
        <v>8557</v>
      </c>
      <c r="P56" s="158">
        <v>110366</v>
      </c>
      <c r="Q56" s="158">
        <v>7.7499999999999999E-2</v>
      </c>
      <c r="R56" s="158">
        <v>12201</v>
      </c>
      <c r="S56" s="158">
        <v>115349</v>
      </c>
      <c r="T56" s="158">
        <v>0.10580000000000001</v>
      </c>
      <c r="U56" s="158">
        <v>449</v>
      </c>
      <c r="V56" s="158">
        <v>87262</v>
      </c>
      <c r="W56" s="158">
        <v>5.1000000000000004E-3</v>
      </c>
      <c r="X56" s="158">
        <v>12573</v>
      </c>
      <c r="Y56" s="158">
        <v>121464</v>
      </c>
      <c r="Z56" s="158">
        <v>0.10349999999999999</v>
      </c>
      <c r="AA56" s="158">
        <v>9109</v>
      </c>
      <c r="AB56" s="158">
        <v>84437</v>
      </c>
      <c r="AC56" s="158">
        <v>0.1079</v>
      </c>
      <c r="AD56" s="158">
        <v>6125</v>
      </c>
      <c r="AE56" s="158">
        <v>88370</v>
      </c>
      <c r="AF56" s="158">
        <v>6.93E-2</v>
      </c>
      <c r="AG56" s="158">
        <v>16460</v>
      </c>
      <c r="AH56" s="158">
        <v>95598</v>
      </c>
      <c r="AI56" s="158">
        <v>0.17219999999999999</v>
      </c>
      <c r="AJ56" s="159">
        <v>405</v>
      </c>
      <c r="AK56" s="160"/>
      <c r="AL56" s="159">
        <v>5364</v>
      </c>
      <c r="AM56" s="158">
        <v>31500</v>
      </c>
      <c r="AN56" s="158">
        <v>1700</v>
      </c>
      <c r="AO56" s="158">
        <v>577</v>
      </c>
      <c r="AP56" s="158">
        <v>1830</v>
      </c>
      <c r="AQ56" s="158">
        <v>660</v>
      </c>
      <c r="AR56" s="158">
        <v>830</v>
      </c>
      <c r="AS56" s="158">
        <v>6523</v>
      </c>
      <c r="AT56" s="158">
        <v>1597818</v>
      </c>
      <c r="AU56" s="158">
        <v>2.4299999999999999E-2</v>
      </c>
      <c r="AV56" s="160"/>
      <c r="AW56" s="160"/>
    </row>
    <row r="57" spans="1:49">
      <c r="A57" s="224">
        <f t="shared" si="11"/>
        <v>0.2050000000000001</v>
      </c>
      <c r="C57" s="147">
        <f t="shared" si="15"/>
        <v>7</v>
      </c>
      <c r="D57" s="166">
        <v>43647</v>
      </c>
      <c r="E57" s="158">
        <v>14627</v>
      </c>
      <c r="F57" s="158">
        <v>120651</v>
      </c>
      <c r="G57" s="158">
        <v>0.1212</v>
      </c>
      <c r="H57" s="158">
        <v>28755</v>
      </c>
      <c r="I57" s="158">
        <v>264475</v>
      </c>
      <c r="J57" s="158">
        <v>0.1087</v>
      </c>
      <c r="K57" s="159">
        <v>10614</v>
      </c>
      <c r="L57" s="159">
        <v>101738</v>
      </c>
      <c r="M57" s="159">
        <v>18356</v>
      </c>
      <c r="N57" s="159">
        <v>203245</v>
      </c>
      <c r="O57" s="158">
        <v>6728</v>
      </c>
      <c r="P57" s="158">
        <v>94133</v>
      </c>
      <c r="Q57" s="158">
        <v>7.1499999999999994E-2</v>
      </c>
      <c r="R57" s="158">
        <v>11156</v>
      </c>
      <c r="S57" s="158">
        <v>112609</v>
      </c>
      <c r="T57" s="158">
        <v>9.9099999999999994E-2</v>
      </c>
      <c r="U57" s="158">
        <v>360</v>
      </c>
      <c r="V57" s="158">
        <v>72617</v>
      </c>
      <c r="W57" s="158">
        <v>5.0000000000000001E-3</v>
      </c>
      <c r="X57" s="158">
        <v>12652</v>
      </c>
      <c r="Y57" s="158">
        <v>117835</v>
      </c>
      <c r="Z57" s="158">
        <v>0.1074</v>
      </c>
      <c r="AA57" s="158">
        <v>9600</v>
      </c>
      <c r="AB57" s="158">
        <v>83384</v>
      </c>
      <c r="AC57" s="158">
        <v>0.11509999999999999</v>
      </c>
      <c r="AD57" s="158">
        <v>6815</v>
      </c>
      <c r="AE57" s="158">
        <v>77748</v>
      </c>
      <c r="AF57" s="158">
        <v>8.77E-2</v>
      </c>
      <c r="AG57" s="158">
        <v>5992</v>
      </c>
      <c r="AH57" s="158">
        <v>63486</v>
      </c>
      <c r="AI57" s="158">
        <v>9.4399999999999998E-2</v>
      </c>
      <c r="AJ57" s="159">
        <v>194</v>
      </c>
      <c r="AK57" s="160"/>
      <c r="AL57" s="159">
        <v>2153</v>
      </c>
      <c r="AM57" s="158">
        <v>30000</v>
      </c>
      <c r="AN57" s="158">
        <v>0</v>
      </c>
      <c r="AO57" s="158">
        <v>452</v>
      </c>
      <c r="AP57" s="158">
        <v>1680</v>
      </c>
      <c r="AQ57" s="158">
        <v>410</v>
      </c>
      <c r="AR57" s="158">
        <v>910</v>
      </c>
      <c r="AS57" s="158">
        <v>7458</v>
      </c>
      <c r="AT57" s="158">
        <v>1480834</v>
      </c>
      <c r="AU57" s="158">
        <v>1.11E-2</v>
      </c>
      <c r="AV57" s="160"/>
      <c r="AW57" s="160"/>
    </row>
    <row r="58" spans="1:49">
      <c r="A58" s="224">
        <f t="shared" si="11"/>
        <v>0.2100000000000001</v>
      </c>
      <c r="C58" s="147">
        <f t="shared" si="15"/>
        <v>7</v>
      </c>
      <c r="D58" s="166">
        <v>44013</v>
      </c>
      <c r="E58" s="158">
        <v>8202</v>
      </c>
      <c r="F58" s="158">
        <v>73132</v>
      </c>
      <c r="G58" s="158">
        <v>0.11219999999999999</v>
      </c>
      <c r="H58" s="158">
        <v>17934</v>
      </c>
      <c r="I58" s="158">
        <v>181318</v>
      </c>
      <c r="J58" s="158">
        <v>9.8900000000000002E-2</v>
      </c>
      <c r="K58" s="159">
        <v>8911</v>
      </c>
      <c r="L58" s="159">
        <v>69193</v>
      </c>
      <c r="M58" s="159">
        <v>11013</v>
      </c>
      <c r="N58" s="159">
        <v>124427</v>
      </c>
      <c r="O58" s="158">
        <v>5891</v>
      </c>
      <c r="P58" s="158">
        <v>52005</v>
      </c>
      <c r="Q58" s="158">
        <v>0.1133</v>
      </c>
      <c r="R58" s="158">
        <v>8072</v>
      </c>
      <c r="S58" s="158">
        <v>84552</v>
      </c>
      <c r="T58" s="158">
        <v>9.5500000000000002E-2</v>
      </c>
      <c r="U58" s="158">
        <v>227</v>
      </c>
      <c r="V58" s="158">
        <v>21289</v>
      </c>
      <c r="W58" s="158">
        <v>1.0699999999999999E-2</v>
      </c>
      <c r="X58" s="158">
        <v>8884</v>
      </c>
      <c r="Y58" s="158">
        <v>82338</v>
      </c>
      <c r="Z58" s="158">
        <v>0.1079</v>
      </c>
      <c r="AA58" s="158">
        <v>2536</v>
      </c>
      <c r="AB58" s="158">
        <v>46851</v>
      </c>
      <c r="AC58" s="158">
        <v>5.4100000000000002E-2</v>
      </c>
      <c r="AD58" s="158">
        <v>6112</v>
      </c>
      <c r="AE58" s="158">
        <v>41051</v>
      </c>
      <c r="AF58" s="158">
        <v>0.1489</v>
      </c>
      <c r="AG58" s="158">
        <v>6967</v>
      </c>
      <c r="AH58" s="158">
        <v>61649</v>
      </c>
      <c r="AI58" s="158">
        <v>0.113</v>
      </c>
      <c r="AJ58" s="159">
        <v>278</v>
      </c>
      <c r="AK58" s="160"/>
      <c r="AL58" s="159">
        <v>2575</v>
      </c>
      <c r="AM58" s="158">
        <v>18900</v>
      </c>
      <c r="AN58" s="158">
        <v>840</v>
      </c>
      <c r="AO58" s="158">
        <v>407</v>
      </c>
      <c r="AP58" s="158">
        <v>890</v>
      </c>
      <c r="AQ58" s="158">
        <v>220</v>
      </c>
      <c r="AR58" s="158">
        <v>310</v>
      </c>
      <c r="AS58" s="158">
        <v>4439</v>
      </c>
      <c r="AT58" s="158">
        <v>951414</v>
      </c>
      <c r="AU58" s="161" t="e">
        <v>#DIV/0!</v>
      </c>
      <c r="AV58" s="160"/>
      <c r="AW58" s="160"/>
    </row>
    <row r="59" spans="1:49">
      <c r="A59" s="224">
        <f t="shared" si="11"/>
        <v>0.21500000000000011</v>
      </c>
      <c r="C59" s="147">
        <f t="shared" si="15"/>
        <v>7</v>
      </c>
      <c r="D59" s="166">
        <v>44378</v>
      </c>
      <c r="E59" s="158">
        <v>8939</v>
      </c>
      <c r="F59" s="158">
        <v>81476</v>
      </c>
      <c r="G59" s="158">
        <v>0.10970000000000001</v>
      </c>
      <c r="H59" s="158">
        <v>18267</v>
      </c>
      <c r="I59" s="158">
        <v>198273</v>
      </c>
      <c r="J59" s="158">
        <v>9.2100000000000001E-2</v>
      </c>
      <c r="K59" s="159">
        <v>7818</v>
      </c>
      <c r="L59" s="159">
        <v>76845</v>
      </c>
      <c r="M59" s="159">
        <v>13121</v>
      </c>
      <c r="N59" s="159">
        <v>147601</v>
      </c>
      <c r="O59" s="158">
        <v>5818</v>
      </c>
      <c r="P59" s="158">
        <v>61019</v>
      </c>
      <c r="Q59" s="158">
        <v>9.5299999999999996E-2</v>
      </c>
      <c r="R59" s="158">
        <v>9120</v>
      </c>
      <c r="S59" s="158">
        <v>93764</v>
      </c>
      <c r="T59" s="158">
        <v>9.7299999999999998E-2</v>
      </c>
      <c r="U59" s="158">
        <v>872</v>
      </c>
      <c r="V59" s="158">
        <v>41681</v>
      </c>
      <c r="W59" s="158">
        <v>2.0899999999999998E-2</v>
      </c>
      <c r="X59" s="158">
        <v>8331</v>
      </c>
      <c r="Y59" s="158">
        <v>80743</v>
      </c>
      <c r="Z59" s="158">
        <v>0.1032</v>
      </c>
      <c r="AA59" s="158">
        <v>5912</v>
      </c>
      <c r="AB59" s="158">
        <v>60638</v>
      </c>
      <c r="AC59" s="158">
        <v>9.7500000000000003E-2</v>
      </c>
      <c r="AD59" s="158">
        <v>4153</v>
      </c>
      <c r="AE59" s="158">
        <v>38014</v>
      </c>
      <c r="AF59" s="158">
        <v>0.10920000000000001</v>
      </c>
      <c r="AG59" s="158">
        <v>3262</v>
      </c>
      <c r="AH59" s="158">
        <v>38942</v>
      </c>
      <c r="AI59" s="158">
        <v>8.3799999999999999E-2</v>
      </c>
      <c r="AJ59" s="159">
        <v>346</v>
      </c>
      <c r="AK59" s="160"/>
      <c r="AL59" s="159">
        <v>3691</v>
      </c>
      <c r="AM59" s="158">
        <v>24900</v>
      </c>
      <c r="AN59" s="158">
        <v>820</v>
      </c>
      <c r="AO59" s="158">
        <v>268</v>
      </c>
      <c r="AP59" s="158">
        <v>1230</v>
      </c>
      <c r="AQ59" s="158">
        <v>310</v>
      </c>
      <c r="AR59" s="158">
        <v>680</v>
      </c>
      <c r="AS59" s="158">
        <v>2426</v>
      </c>
      <c r="AT59" s="158">
        <v>1039281</v>
      </c>
      <c r="AU59" s="158">
        <v>5.8900000000000001E-2</v>
      </c>
      <c r="AV59" s="160"/>
      <c r="AW59" s="160"/>
    </row>
    <row r="60" spans="1:49">
      <c r="A60" s="224">
        <f t="shared" si="11"/>
        <v>0.22000000000000011</v>
      </c>
      <c r="C60" s="147">
        <f t="shared" si="15"/>
        <v>7</v>
      </c>
      <c r="D60" s="166">
        <v>44743</v>
      </c>
      <c r="E60" s="158">
        <v>8274</v>
      </c>
      <c r="F60" s="158">
        <v>84748</v>
      </c>
      <c r="G60" s="158">
        <v>9.7600000000000006E-2</v>
      </c>
      <c r="H60" s="158">
        <v>14967</v>
      </c>
      <c r="I60" s="158">
        <v>179365</v>
      </c>
      <c r="J60" s="158">
        <v>8.3400000000000002E-2</v>
      </c>
      <c r="K60" s="159">
        <v>8209</v>
      </c>
      <c r="L60" s="159">
        <v>68547</v>
      </c>
      <c r="M60" s="159">
        <v>11941</v>
      </c>
      <c r="N60" s="159">
        <v>145388</v>
      </c>
      <c r="O60" s="158">
        <v>5627</v>
      </c>
      <c r="P60" s="158">
        <v>64505</v>
      </c>
      <c r="Q60" s="158">
        <v>8.72E-2</v>
      </c>
      <c r="R60" s="158">
        <v>9385</v>
      </c>
      <c r="S60" s="158">
        <v>102981</v>
      </c>
      <c r="T60" s="158">
        <v>9.11E-2</v>
      </c>
      <c r="U60" s="158">
        <v>109</v>
      </c>
      <c r="V60" s="158">
        <v>49580</v>
      </c>
      <c r="W60" s="158">
        <v>2.2000000000000001E-3</v>
      </c>
      <c r="X60" s="158">
        <v>9396</v>
      </c>
      <c r="Y60" s="158">
        <v>89105</v>
      </c>
      <c r="Z60" s="158">
        <v>0.10539999999999999</v>
      </c>
      <c r="AA60" s="158">
        <v>5675</v>
      </c>
      <c r="AB60" s="158">
        <v>72229</v>
      </c>
      <c r="AC60" s="158">
        <v>7.8600000000000003E-2</v>
      </c>
      <c r="AD60" s="158">
        <v>4278</v>
      </c>
      <c r="AE60" s="158">
        <v>33005</v>
      </c>
      <c r="AF60" s="158">
        <v>0.12959999999999999</v>
      </c>
      <c r="AG60" s="158">
        <v>2607</v>
      </c>
      <c r="AH60" s="158">
        <v>30047</v>
      </c>
      <c r="AI60" s="158">
        <v>8.6800000000000002E-2</v>
      </c>
      <c r="AJ60" s="160"/>
      <c r="AK60" s="160"/>
      <c r="AL60" s="160"/>
      <c r="AM60" s="158">
        <v>22500</v>
      </c>
      <c r="AN60" s="158">
        <v>1530</v>
      </c>
      <c r="AO60" s="158">
        <v>429</v>
      </c>
      <c r="AP60" s="158">
        <v>1030</v>
      </c>
      <c r="AQ60" s="158">
        <v>240</v>
      </c>
      <c r="AR60" s="158">
        <v>560</v>
      </c>
      <c r="AS60" s="158">
        <v>2863</v>
      </c>
      <c r="AT60" s="158">
        <v>1029121</v>
      </c>
      <c r="AU60" s="158">
        <v>-1.54E-2</v>
      </c>
      <c r="AV60" s="160"/>
      <c r="AW60" s="160"/>
    </row>
    <row r="61" spans="1:49">
      <c r="A61" s="224">
        <f t="shared" si="11"/>
        <v>0.22500000000000012</v>
      </c>
      <c r="C61" s="147">
        <f t="shared" si="15"/>
        <v>7</v>
      </c>
      <c r="D61" s="166">
        <v>45108</v>
      </c>
      <c r="E61" s="158">
        <v>7988</v>
      </c>
      <c r="F61" s="158">
        <v>84587</v>
      </c>
      <c r="G61" s="158">
        <v>9.4399999999999998E-2</v>
      </c>
      <c r="H61" s="158">
        <v>15975</v>
      </c>
      <c r="I61" s="158">
        <v>325000</v>
      </c>
      <c r="J61" s="158">
        <v>4.9200000000000001E-2</v>
      </c>
      <c r="K61" s="160"/>
      <c r="L61" s="160"/>
      <c r="M61" s="159">
        <v>11683</v>
      </c>
      <c r="N61" s="159">
        <v>50884</v>
      </c>
      <c r="O61" s="158">
        <v>7715</v>
      </c>
      <c r="P61" s="158">
        <v>80932</v>
      </c>
      <c r="Q61" s="158">
        <v>9.5299999999999996E-2</v>
      </c>
      <c r="R61" s="158">
        <v>9786</v>
      </c>
      <c r="S61" s="158">
        <v>109751</v>
      </c>
      <c r="T61" s="158">
        <v>8.9200000000000002E-2</v>
      </c>
      <c r="U61" s="158">
        <v>470</v>
      </c>
      <c r="V61" s="158">
        <v>42667</v>
      </c>
      <c r="W61" s="158">
        <v>1.0999999999999999E-2</v>
      </c>
      <c r="X61" s="158">
        <v>10501</v>
      </c>
      <c r="Y61" s="158">
        <v>102148</v>
      </c>
      <c r="Z61" s="158">
        <v>0.1028</v>
      </c>
      <c r="AA61" s="158">
        <v>6606</v>
      </c>
      <c r="AB61" s="158">
        <v>74084</v>
      </c>
      <c r="AC61" s="158">
        <v>8.9200000000000002E-2</v>
      </c>
      <c r="AD61" s="158">
        <v>2519</v>
      </c>
      <c r="AE61" s="158">
        <v>55459</v>
      </c>
      <c r="AF61" s="158">
        <v>4.5400000000000003E-2</v>
      </c>
      <c r="AG61" s="158">
        <v>1626</v>
      </c>
      <c r="AH61" s="158">
        <v>24280</v>
      </c>
      <c r="AI61" s="158">
        <v>6.7000000000000004E-2</v>
      </c>
      <c r="AJ61" s="160"/>
      <c r="AK61" s="160"/>
      <c r="AL61" s="160"/>
      <c r="AM61" s="158">
        <v>27900</v>
      </c>
      <c r="AN61" s="158">
        <v>1380</v>
      </c>
      <c r="AO61" s="158">
        <v>300</v>
      </c>
      <c r="AP61" s="158">
        <v>1130</v>
      </c>
      <c r="AQ61" s="158">
        <v>290</v>
      </c>
      <c r="AR61" s="158">
        <v>510</v>
      </c>
      <c r="AS61" s="158">
        <v>2051</v>
      </c>
      <c r="AT61" s="158">
        <v>1058223</v>
      </c>
      <c r="AU61" s="160"/>
      <c r="AV61" s="160"/>
      <c r="AW61" s="160"/>
    </row>
    <row r="62" spans="1:49">
      <c r="A62" s="224">
        <f t="shared" si="11"/>
        <v>0.23000000000000012</v>
      </c>
      <c r="C62" s="147">
        <f t="shared" si="15"/>
        <v>7</v>
      </c>
      <c r="D62" s="166">
        <v>45474</v>
      </c>
      <c r="E62" s="160"/>
      <c r="F62" s="160"/>
      <c r="G62" s="161" t="e">
        <v>#DIV/0!</v>
      </c>
      <c r="H62" s="160"/>
      <c r="I62" s="160"/>
      <c r="J62" s="161" t="e">
        <v>#DIV/0!</v>
      </c>
      <c r="K62" s="160"/>
      <c r="L62" s="160"/>
      <c r="M62" s="160"/>
      <c r="N62" s="160"/>
      <c r="O62" s="160"/>
      <c r="P62" s="160"/>
      <c r="Q62" s="161" t="e">
        <v>#DIV/0!</v>
      </c>
      <c r="R62" s="160"/>
      <c r="S62" s="160"/>
      <c r="T62" s="161" t="e">
        <v>#DIV/0!</v>
      </c>
      <c r="U62" s="160"/>
      <c r="V62" s="160"/>
      <c r="W62" s="160"/>
      <c r="X62" s="160"/>
      <c r="Y62" s="160"/>
      <c r="Z62" s="161" t="e">
        <v>#DIV/0!</v>
      </c>
      <c r="AA62" s="160"/>
      <c r="AB62" s="160"/>
      <c r="AC62" s="161" t="e">
        <v>#DIV/0!</v>
      </c>
      <c r="AD62" s="160"/>
      <c r="AE62" s="160"/>
      <c r="AF62" s="161" t="e">
        <v>#DIV/0!</v>
      </c>
      <c r="AG62" s="158">
        <v>0</v>
      </c>
      <c r="AH62" s="160"/>
      <c r="AI62" s="161" t="e">
        <v>#DIV/0!</v>
      </c>
      <c r="AJ62" s="159">
        <v>0</v>
      </c>
      <c r="AK62" s="160"/>
      <c r="AL62" s="160"/>
      <c r="AM62" s="160"/>
      <c r="AN62" s="158">
        <v>10</v>
      </c>
      <c r="AO62" s="160"/>
      <c r="AP62" s="160"/>
      <c r="AQ62" s="160"/>
      <c r="AR62" s="160"/>
      <c r="AS62" s="160"/>
      <c r="AT62" s="160"/>
      <c r="AU62" s="160"/>
      <c r="AV62" s="160"/>
      <c r="AW62" s="160"/>
    </row>
    <row r="63" spans="1:49">
      <c r="A63" s="224">
        <f t="shared" si="11"/>
        <v>0.23500000000000013</v>
      </c>
      <c r="C63" s="147">
        <f t="shared" si="15"/>
        <v>7</v>
      </c>
      <c r="D63" s="166">
        <v>45839</v>
      </c>
      <c r="E63" s="167">
        <f>_xlfn.FORECAST.ETS(DATE(2025,1,1),E$56:E$62,$D$56:$D$62,1,1)+_xlfn.FORECAST.ETS.CONFINT(DATE(2025,1,1),E$56:E$62,$D$56:$D$62,$B$4,1)</f>
        <v>7989.1707732468858</v>
      </c>
      <c r="F63" s="167">
        <f>_xlfn.FORECAST.ETS(DATE(2025,1,1),F$56:F$62,$D$56:$D$62,1,1)+_xlfn.FORECAST.ETS.CONFINT(DATE(2025,1,1),F$56:F$62,$D$56:$D$62,$B$4,1)</f>
        <v>95903.124377722997</v>
      </c>
      <c r="G63" s="158">
        <f>E63/F63</f>
        <v>8.3304593307938796E-2</v>
      </c>
      <c r="H63" s="167">
        <f>_xlfn.FORECAST.ETS(DATE(2025,1,1),H$56:H$62,$D$56:$D$62,1,1)+_xlfn.FORECAST.ETS.CONFINT(DATE(2025,1,1),H$56:H$62,$D$56:$D$62,$B$5,1)</f>
        <v>13383.694454139128</v>
      </c>
      <c r="I63" s="167">
        <f>_xlfn.FORECAST.ETS(DATE(2025,1,1),I$56:I$62,$D$56:$D$62,1,1)+_xlfn.FORECAST.ETS.CONFINT(DATE(2025,1,1),I$56:I$62,$D$56:$D$62,$B$5,1)</f>
        <v>362370.52739298285</v>
      </c>
      <c r="J63" s="158">
        <f>H63/I63</f>
        <v>3.6933727890140489E-2</v>
      </c>
      <c r="K63" s="152"/>
      <c r="L63" s="152"/>
      <c r="M63" s="152"/>
      <c r="N63" s="152"/>
      <c r="O63" s="167">
        <f>_xlfn.FORECAST.ETS(DATE(2025,1,1),O$56:O$62,$D$56:$D$62,1,1)+_xlfn.FORECAST.ETS.CONFINT(DATE(2025,1,1),O$56:O$62,$D$56:$D$62,$B$6,1)</f>
        <v>8948.9929184531284</v>
      </c>
      <c r="P63" s="167">
        <f>_xlfn.FORECAST.ETS(DATE(2025,1,1),P$56:P$62,$D$56:$D$62,1,1)+_xlfn.FORECAST.ETS.CONFINT(DATE(2025,1,1),P$56:P$62,$D$56:$D$62,$B$6,1)</f>
        <v>97287.063306803728</v>
      </c>
      <c r="Q63" s="158">
        <f>O63/P63</f>
        <v>9.1985435825436043E-2</v>
      </c>
      <c r="R63" s="167">
        <f>_xlfn.FORECAST.ETS(DATE(2025,1,1),R$56:R$62,$D$56:$D$62,1,1)+_xlfn.FORECAST.ETS.CONFINT(DATE(2025,1,1),R$56:R$62,$D$56:$D$62,$B$7,1)</f>
        <v>10895.250551593303</v>
      </c>
      <c r="S63" s="167">
        <f>_xlfn.FORECAST.ETS(DATE(2025,1,1),S$56:S$62,$D$56:$D$62,1,1)+_xlfn.FORECAST.ETS.CONFINT(DATE(2025,1,1),S$56:S$62,$D$56:$D$62,$B$7,1)</f>
        <v>124876.83403269813</v>
      </c>
      <c r="T63" s="158">
        <f>R63/S63</f>
        <v>8.7247972259934595E-2</v>
      </c>
      <c r="U63" s="167">
        <f>_xlfn.FORECAST.ETS(DATE(2025,1,1),U$56:U$62,$D$56:$D$62,1,1)+_xlfn.FORECAST.ETS.CONFINT(DATE(2025,1,1),U$56:U$62,$D$56:$D$62,$B$8,1)</f>
        <v>860.83084233478507</v>
      </c>
      <c r="V63" s="167">
        <f>_xlfn.FORECAST.ETS(DATE(2025,1,1),V$56:V$62,$D$56:$D$62,1,1)+_xlfn.FORECAST.ETS.CONFINT(DATE(2025,1,1),V$56:V$62,$D$56:$D$62,$B$8,1)</f>
        <v>66637.298611227627</v>
      </c>
      <c r="W63" s="158">
        <f>U63/V63</f>
        <v>1.2918153350678366E-2</v>
      </c>
      <c r="X63" s="167">
        <f>_xlfn.FORECAST.ETS(DATE(2025,1,1),X$56:X$62,$D$56:$D$62,1,1)+_xlfn.FORECAST.ETS.CONFINT(DATE(2025,1,1),X$56:X$62,$D$56:$D$62,$B$9,1)</f>
        <v>12191.715586132614</v>
      </c>
      <c r="Y63" s="167">
        <f>_xlfn.FORECAST.ETS(DATE(2025,1,1),Y$56:Y$62,$D$56:$D$62,1,1)+_xlfn.FORECAST.ETS.CONFINT(DATE(2025,1,1),Y$56:Y$62,$D$56:$D$62,$B$9,1)</f>
        <v>134290.12373916415</v>
      </c>
      <c r="Z63" s="158">
        <f>X63/Y63</f>
        <v>9.0786390291909769E-2</v>
      </c>
      <c r="AA63" s="167">
        <f>_xlfn.FORECAST.ETS(DATE(2025,1,1),AA$56:AA$62,$D$56:$D$62,1,1)+_xlfn.FORECAST.ETS.CONFINT(DATE(2025,1,1),AA$56:AA$62,$D$56:$D$62,$B$10,1)</f>
        <v>7715.9171517107225</v>
      </c>
      <c r="AB63" s="167">
        <f>_xlfn.FORECAST.ETS(DATE(2025,1,1),AB$56:AB$62,$D$56:$D$62,1,1)+_xlfn.FORECAST.ETS.CONFINT(DATE(2025,1,1),AB$56:AB$62,$D$56:$D$62,$B$10,1)</f>
        <v>84141.6008686149</v>
      </c>
      <c r="AC63" s="158">
        <f>AA63/AB63</f>
        <v>9.1701572968155703E-2</v>
      </c>
      <c r="AD63" s="167">
        <f>_xlfn.FORECAST.ETS(DATE(2025,1,1),AD$56:AD$62,$D$56:$D$62,1,1)+_xlfn.FORECAST.ETS.CONFINT(DATE(2025,1,1),AD$56:AD$62,$D$56:$D$62,$B$11,1)</f>
        <v>3165.4725705716273</v>
      </c>
      <c r="AE63" s="167">
        <f>_xlfn.FORECAST.ETS(DATE(2025,1,1),AE$56:AE$62,$D$56:$D$62,1,1)+_xlfn.FORECAST.ETS.CONFINT(DATE(2025,1,1),AE$56:AE$62,$D$56:$D$62,$B$11,1)</f>
        <v>73393.212007245165</v>
      </c>
      <c r="AF63" s="158">
        <f>AD63/AE63</f>
        <v>4.3130317968085946E-2</v>
      </c>
      <c r="AG63" s="167">
        <f>_xlfn.FORECAST.ETS(DATE(2025,1,1),AG$56:AG$62,$D$56:$D$62,1,1)+_xlfn.FORECAST.ETS.CONFINT(DATE(2025,1,1),AG$56:AG$62,$D$56:$D$62,$B$12,1)</f>
        <v>444.88960435925469</v>
      </c>
      <c r="AH63" s="167">
        <f>_xlfn.FORECAST.ETS(DATE(2025,1,1),AH$56:AH$62,$D$56:$D$62,1,1)+_xlfn.FORECAST.ETS.CONFINT(DATE(2025,1,1),AH$56:AH$62,$D$56:$D$62,$B$12,1)</f>
        <v>9412.4327253127722</v>
      </c>
      <c r="AI63" s="158">
        <f>AG63/AH63</f>
        <v>4.7266165649483688E-2</v>
      </c>
      <c r="AJ63" s="152"/>
      <c r="AK63" s="152"/>
      <c r="AL63" s="152"/>
      <c r="AM63" s="152"/>
      <c r="AN63" s="152"/>
      <c r="AO63" s="152"/>
      <c r="AP63" s="152"/>
      <c r="AQ63" s="152"/>
      <c r="AR63" s="152"/>
      <c r="AS63" s="152"/>
      <c r="AT63" s="152"/>
      <c r="AU63" s="160"/>
      <c r="AV63" s="152"/>
      <c r="AW63" s="152"/>
    </row>
    <row r="64" spans="1:49">
      <c r="A64" s="224">
        <f t="shared" si="11"/>
        <v>0.24000000000000013</v>
      </c>
      <c r="C64" s="147">
        <f t="shared" si="15"/>
        <v>8</v>
      </c>
      <c r="D64" s="170">
        <v>43313</v>
      </c>
      <c r="E64" s="168">
        <v>15930</v>
      </c>
      <c r="F64" s="168">
        <v>137348</v>
      </c>
      <c r="G64" s="168">
        <v>0.11600000000000001</v>
      </c>
      <c r="H64" s="168">
        <v>26186</v>
      </c>
      <c r="I64" s="168">
        <v>285689</v>
      </c>
      <c r="J64" s="168">
        <v>9.1700000000000004E-2</v>
      </c>
      <c r="K64" s="169">
        <v>7861</v>
      </c>
      <c r="L64" s="169">
        <v>117033</v>
      </c>
      <c r="M64" s="169">
        <v>16204</v>
      </c>
      <c r="N64" s="169">
        <v>205858</v>
      </c>
      <c r="O64" s="168">
        <v>7662</v>
      </c>
      <c r="P64" s="168">
        <v>119356</v>
      </c>
      <c r="Q64" s="168">
        <v>6.4199999999999993E-2</v>
      </c>
      <c r="R64" s="168">
        <v>10527</v>
      </c>
      <c r="S64" s="168">
        <v>111764</v>
      </c>
      <c r="T64" s="168">
        <v>9.4200000000000006E-2</v>
      </c>
      <c r="U64" s="168">
        <v>582</v>
      </c>
      <c r="V64" s="168">
        <v>58634</v>
      </c>
      <c r="W64" s="168">
        <v>9.9000000000000008E-3</v>
      </c>
      <c r="X64" s="168">
        <v>14231</v>
      </c>
      <c r="Y64" s="168">
        <v>133565</v>
      </c>
      <c r="Z64" s="168">
        <v>0.1065</v>
      </c>
      <c r="AA64" s="168">
        <v>9719</v>
      </c>
      <c r="AB64" s="168">
        <v>85485</v>
      </c>
      <c r="AC64" s="168">
        <v>0.1137</v>
      </c>
      <c r="AD64" s="168">
        <v>5677</v>
      </c>
      <c r="AE64" s="168">
        <v>94244</v>
      </c>
      <c r="AF64" s="168">
        <v>6.0199999999999997E-2</v>
      </c>
      <c r="AG64" s="168">
        <v>21479</v>
      </c>
      <c r="AH64" s="168">
        <v>106336</v>
      </c>
      <c r="AI64" s="168">
        <v>0.20200000000000001</v>
      </c>
      <c r="AJ64" s="169">
        <v>370</v>
      </c>
      <c r="AK64" s="156"/>
      <c r="AL64" s="169">
        <v>4510</v>
      </c>
      <c r="AM64" s="168">
        <v>36000</v>
      </c>
      <c r="AN64" s="168">
        <v>1850</v>
      </c>
      <c r="AO64" s="168">
        <v>561</v>
      </c>
      <c r="AP64" s="168">
        <v>2320</v>
      </c>
      <c r="AQ64" s="168">
        <v>1020</v>
      </c>
      <c r="AR64" s="168">
        <v>1000</v>
      </c>
      <c r="AS64" s="168">
        <v>7866</v>
      </c>
      <c r="AT64" s="168">
        <v>1646868</v>
      </c>
      <c r="AU64" s="168">
        <v>3.0700000000000002E-2</v>
      </c>
      <c r="AV64" s="156"/>
      <c r="AW64" s="156"/>
    </row>
    <row r="65" spans="1:49">
      <c r="A65" s="224">
        <f t="shared" si="11"/>
        <v>0.24500000000000013</v>
      </c>
      <c r="C65" s="147">
        <f t="shared" si="15"/>
        <v>8</v>
      </c>
      <c r="D65" s="170">
        <v>43678</v>
      </c>
      <c r="E65" s="168">
        <v>14258</v>
      </c>
      <c r="F65" s="168">
        <v>144851</v>
      </c>
      <c r="G65" s="168">
        <v>9.8400000000000001E-2</v>
      </c>
      <c r="H65" s="168">
        <v>22889</v>
      </c>
      <c r="I65" s="168">
        <v>283522</v>
      </c>
      <c r="J65" s="168">
        <v>8.0699999999999994E-2</v>
      </c>
      <c r="K65" s="169">
        <v>10272</v>
      </c>
      <c r="L65" s="169">
        <v>119242</v>
      </c>
      <c r="M65" s="169">
        <v>15548</v>
      </c>
      <c r="N65" s="169">
        <v>206058</v>
      </c>
      <c r="O65" s="168">
        <v>6204</v>
      </c>
      <c r="P65" s="168">
        <v>116931</v>
      </c>
      <c r="Q65" s="168">
        <v>5.3100000000000001E-2</v>
      </c>
      <c r="R65" s="168">
        <v>9853</v>
      </c>
      <c r="S65" s="168">
        <v>116847</v>
      </c>
      <c r="T65" s="168">
        <v>8.43E-2</v>
      </c>
      <c r="U65" s="168">
        <v>1157</v>
      </c>
      <c r="V65" s="168">
        <v>96973</v>
      </c>
      <c r="W65" s="168">
        <v>1.1900000000000001E-2</v>
      </c>
      <c r="X65" s="168">
        <v>11973</v>
      </c>
      <c r="Y65" s="168">
        <v>137926</v>
      </c>
      <c r="Z65" s="168">
        <v>8.6800000000000002E-2</v>
      </c>
      <c r="AA65" s="168">
        <v>9868</v>
      </c>
      <c r="AB65" s="168">
        <v>83231</v>
      </c>
      <c r="AC65" s="168">
        <v>0.1186</v>
      </c>
      <c r="AD65" s="168">
        <v>6735</v>
      </c>
      <c r="AE65" s="168">
        <v>101991</v>
      </c>
      <c r="AF65" s="168">
        <v>6.6000000000000003E-2</v>
      </c>
      <c r="AG65" s="168">
        <v>7327</v>
      </c>
      <c r="AH65" s="168">
        <v>104725</v>
      </c>
      <c r="AI65" s="168">
        <v>7.0000000000000007E-2</v>
      </c>
      <c r="AJ65" s="169">
        <v>173</v>
      </c>
      <c r="AK65" s="156"/>
      <c r="AL65" s="169">
        <v>2292</v>
      </c>
      <c r="AM65" s="168">
        <v>35700</v>
      </c>
      <c r="AN65" s="168">
        <v>1520</v>
      </c>
      <c r="AO65" s="168">
        <v>452</v>
      </c>
      <c r="AP65" s="168">
        <v>1860</v>
      </c>
      <c r="AQ65" s="168">
        <v>440</v>
      </c>
      <c r="AR65" s="168">
        <v>910</v>
      </c>
      <c r="AS65" s="168">
        <v>8034</v>
      </c>
      <c r="AT65" s="168">
        <v>1679763</v>
      </c>
      <c r="AU65" s="168">
        <v>0.1343</v>
      </c>
      <c r="AV65" s="156"/>
      <c r="AW65" s="156"/>
    </row>
    <row r="66" spans="1:49">
      <c r="A66" s="224">
        <f t="shared" si="11"/>
        <v>0.25000000000000011</v>
      </c>
      <c r="C66" s="147">
        <f t="shared" si="15"/>
        <v>8</v>
      </c>
      <c r="D66" s="170">
        <v>44044</v>
      </c>
      <c r="E66" s="168">
        <v>10277</v>
      </c>
      <c r="F66" s="168">
        <v>91375</v>
      </c>
      <c r="G66" s="168">
        <v>0.1125</v>
      </c>
      <c r="H66" s="168">
        <v>20533</v>
      </c>
      <c r="I66" s="168">
        <v>205086</v>
      </c>
      <c r="J66" s="168">
        <v>0.10009999999999999</v>
      </c>
      <c r="K66" s="169">
        <v>10722</v>
      </c>
      <c r="L66" s="169">
        <v>82296</v>
      </c>
      <c r="M66" s="169">
        <v>12372</v>
      </c>
      <c r="N66" s="169">
        <v>138557</v>
      </c>
      <c r="O66" s="168">
        <v>7203</v>
      </c>
      <c r="P66" s="168">
        <v>66931</v>
      </c>
      <c r="Q66" s="168">
        <v>0.1076</v>
      </c>
      <c r="R66" s="168">
        <v>8959</v>
      </c>
      <c r="S66" s="168">
        <v>93096</v>
      </c>
      <c r="T66" s="168">
        <v>9.6199999999999994E-2</v>
      </c>
      <c r="U66" s="168">
        <v>386</v>
      </c>
      <c r="V66" s="168">
        <v>49248</v>
      </c>
      <c r="W66" s="168">
        <v>7.7999999999999996E-3</v>
      </c>
      <c r="X66" s="168">
        <v>10647</v>
      </c>
      <c r="Y66" s="168">
        <v>98480</v>
      </c>
      <c r="Z66" s="168">
        <v>0.1081</v>
      </c>
      <c r="AA66" s="168">
        <v>6117</v>
      </c>
      <c r="AB66" s="168">
        <v>66322</v>
      </c>
      <c r="AC66" s="168">
        <v>9.2200000000000004E-2</v>
      </c>
      <c r="AD66" s="168">
        <v>5870</v>
      </c>
      <c r="AE66" s="168">
        <v>58770</v>
      </c>
      <c r="AF66" s="168">
        <v>9.9900000000000003E-2</v>
      </c>
      <c r="AG66" s="168">
        <v>5227</v>
      </c>
      <c r="AH66" s="168">
        <v>64974</v>
      </c>
      <c r="AI66" s="168">
        <v>8.0399999999999999E-2</v>
      </c>
      <c r="AJ66" s="169">
        <v>275</v>
      </c>
      <c r="AK66" s="156"/>
      <c r="AL66" s="169">
        <v>2525</v>
      </c>
      <c r="AM66" s="168">
        <v>18600</v>
      </c>
      <c r="AN66" s="168">
        <v>1130</v>
      </c>
      <c r="AO66" s="168">
        <v>368</v>
      </c>
      <c r="AP66" s="168">
        <v>830</v>
      </c>
      <c r="AQ66" s="168">
        <v>210</v>
      </c>
      <c r="AR66" s="168">
        <v>250</v>
      </c>
      <c r="AS66" s="168">
        <v>3668</v>
      </c>
      <c r="AT66" s="168">
        <v>1141305</v>
      </c>
      <c r="AU66" s="168">
        <v>0.1996</v>
      </c>
      <c r="AV66" s="156"/>
      <c r="AW66" s="156"/>
    </row>
    <row r="67" spans="1:49">
      <c r="A67" s="224">
        <f t="shared" si="11"/>
        <v>0.25500000000000012</v>
      </c>
      <c r="C67" s="147">
        <f t="shared" si="15"/>
        <v>8</v>
      </c>
      <c r="D67" s="170">
        <v>44409</v>
      </c>
      <c r="E67" s="168">
        <v>11088</v>
      </c>
      <c r="F67" s="168">
        <v>107110</v>
      </c>
      <c r="G67" s="168">
        <v>0.10349999999999999</v>
      </c>
      <c r="H67" s="168">
        <v>18994</v>
      </c>
      <c r="I67" s="168">
        <v>214911</v>
      </c>
      <c r="J67" s="168">
        <v>8.8400000000000006E-2</v>
      </c>
      <c r="K67" s="169">
        <v>8547</v>
      </c>
      <c r="L67" s="169">
        <v>88365</v>
      </c>
      <c r="M67" s="169">
        <v>13332</v>
      </c>
      <c r="N67" s="169">
        <v>158577</v>
      </c>
      <c r="O67" s="168">
        <v>6644</v>
      </c>
      <c r="P67" s="168">
        <v>75534</v>
      </c>
      <c r="Q67" s="168">
        <v>8.7999999999999995E-2</v>
      </c>
      <c r="R67" s="168">
        <v>9473</v>
      </c>
      <c r="S67" s="168">
        <v>97262</v>
      </c>
      <c r="T67" s="168">
        <v>9.74E-2</v>
      </c>
      <c r="U67" s="168">
        <v>596</v>
      </c>
      <c r="V67" s="168">
        <v>64701</v>
      </c>
      <c r="W67" s="168">
        <v>9.1999999999999998E-3</v>
      </c>
      <c r="X67" s="168">
        <v>9081</v>
      </c>
      <c r="Y67" s="168">
        <v>97225</v>
      </c>
      <c r="Z67" s="168">
        <v>9.3399999999999997E-2</v>
      </c>
      <c r="AA67" s="168">
        <v>6134</v>
      </c>
      <c r="AB67" s="168">
        <v>72734</v>
      </c>
      <c r="AC67" s="168">
        <v>8.43E-2</v>
      </c>
      <c r="AD67" s="168">
        <v>4078</v>
      </c>
      <c r="AE67" s="168">
        <v>58525</v>
      </c>
      <c r="AF67" s="168">
        <v>6.9699999999999998E-2</v>
      </c>
      <c r="AG67" s="168">
        <v>3316</v>
      </c>
      <c r="AH67" s="168">
        <v>51735</v>
      </c>
      <c r="AI67" s="168">
        <v>6.4100000000000004E-2</v>
      </c>
      <c r="AJ67" s="169">
        <v>460</v>
      </c>
      <c r="AK67" s="156"/>
      <c r="AL67" s="169">
        <v>4430</v>
      </c>
      <c r="AM67" s="168">
        <v>29400</v>
      </c>
      <c r="AN67" s="168">
        <v>1150</v>
      </c>
      <c r="AO67" s="168">
        <v>544</v>
      </c>
      <c r="AP67" s="168">
        <v>1340</v>
      </c>
      <c r="AQ67" s="168">
        <v>300</v>
      </c>
      <c r="AR67" s="168">
        <v>610</v>
      </c>
      <c r="AS67" s="168">
        <v>2634</v>
      </c>
      <c r="AT67" s="168">
        <v>1218831</v>
      </c>
      <c r="AU67" s="168">
        <v>0.17280000000000001</v>
      </c>
      <c r="AV67" s="156"/>
      <c r="AW67" s="156"/>
    </row>
    <row r="68" spans="1:49">
      <c r="A68" s="224">
        <f t="shared" si="11"/>
        <v>0.26000000000000012</v>
      </c>
      <c r="C68" s="147">
        <f t="shared" si="15"/>
        <v>8</v>
      </c>
      <c r="D68" s="170">
        <v>44774</v>
      </c>
      <c r="E68" s="168">
        <v>10545</v>
      </c>
      <c r="F68" s="168">
        <v>104927</v>
      </c>
      <c r="G68" s="168">
        <v>0.10050000000000001</v>
      </c>
      <c r="H68" s="168">
        <v>16659</v>
      </c>
      <c r="I68" s="168">
        <v>199913</v>
      </c>
      <c r="J68" s="168">
        <v>8.3299999999999999E-2</v>
      </c>
      <c r="K68" s="156"/>
      <c r="L68" s="156"/>
      <c r="M68" s="169">
        <v>12859</v>
      </c>
      <c r="N68" s="169">
        <v>163486</v>
      </c>
      <c r="O68" s="168">
        <v>6491</v>
      </c>
      <c r="P68" s="168">
        <v>78793</v>
      </c>
      <c r="Q68" s="168">
        <v>8.2400000000000001E-2</v>
      </c>
      <c r="R68" s="168">
        <v>10694</v>
      </c>
      <c r="S68" s="168">
        <v>108677</v>
      </c>
      <c r="T68" s="168">
        <v>9.8400000000000001E-2</v>
      </c>
      <c r="U68" s="168">
        <v>228</v>
      </c>
      <c r="V68" s="168">
        <v>75455</v>
      </c>
      <c r="W68" s="168">
        <v>3.0000000000000001E-3</v>
      </c>
      <c r="X68" s="168">
        <v>9560</v>
      </c>
      <c r="Y68" s="168">
        <v>95706</v>
      </c>
      <c r="Z68" s="168">
        <v>9.9900000000000003E-2</v>
      </c>
      <c r="AA68" s="168">
        <v>6221</v>
      </c>
      <c r="AB68" s="168">
        <v>76558</v>
      </c>
      <c r="AC68" s="168">
        <v>8.1299999999999997E-2</v>
      </c>
      <c r="AD68" s="168">
        <v>4384</v>
      </c>
      <c r="AE68" s="168">
        <v>58375</v>
      </c>
      <c r="AF68" s="168">
        <v>7.51E-2</v>
      </c>
      <c r="AG68" s="168">
        <v>2790</v>
      </c>
      <c r="AH68" s="168">
        <v>51413</v>
      </c>
      <c r="AI68" s="168">
        <v>5.4300000000000001E-2</v>
      </c>
      <c r="AJ68" s="156"/>
      <c r="AK68" s="156"/>
      <c r="AL68" s="156"/>
      <c r="AM68" s="168">
        <v>28200</v>
      </c>
      <c r="AN68" s="168">
        <v>2380</v>
      </c>
      <c r="AO68" s="168">
        <v>145200</v>
      </c>
      <c r="AP68" s="168">
        <v>1050</v>
      </c>
      <c r="AQ68" s="168">
        <v>240</v>
      </c>
      <c r="AR68" s="168">
        <v>520</v>
      </c>
      <c r="AS68" s="168">
        <v>3371</v>
      </c>
      <c r="AT68" s="168">
        <v>1274696</v>
      </c>
      <c r="AU68" s="168">
        <v>0.23860000000000001</v>
      </c>
      <c r="AV68" s="156"/>
      <c r="AW68" s="156"/>
    </row>
    <row r="69" spans="1:49">
      <c r="A69" s="224">
        <f t="shared" si="11"/>
        <v>0.26500000000000012</v>
      </c>
      <c r="C69" s="147">
        <f t="shared" si="15"/>
        <v>8</v>
      </c>
      <c r="D69" s="170">
        <v>45139</v>
      </c>
      <c r="E69" s="168">
        <v>10078</v>
      </c>
      <c r="F69" s="168">
        <v>106619</v>
      </c>
      <c r="G69" s="168">
        <v>9.4500000000000001E-2</v>
      </c>
      <c r="H69" s="168">
        <v>17813</v>
      </c>
      <c r="I69" s="168">
        <v>226520</v>
      </c>
      <c r="J69" s="168">
        <v>7.8600000000000003E-2</v>
      </c>
      <c r="K69" s="156"/>
      <c r="L69" s="156"/>
      <c r="M69" s="169">
        <v>13295</v>
      </c>
      <c r="N69" s="169">
        <v>72869</v>
      </c>
      <c r="O69" s="168">
        <v>11773</v>
      </c>
      <c r="P69" s="168">
        <v>110184</v>
      </c>
      <c r="Q69" s="168">
        <v>0.10680000000000001</v>
      </c>
      <c r="R69" s="168">
        <v>10963</v>
      </c>
      <c r="S69" s="168">
        <v>116506</v>
      </c>
      <c r="T69" s="168">
        <v>9.4100000000000003E-2</v>
      </c>
      <c r="U69" s="168">
        <v>665</v>
      </c>
      <c r="V69" s="168">
        <v>73442</v>
      </c>
      <c r="W69" s="168">
        <v>9.1000000000000004E-3</v>
      </c>
      <c r="X69" s="168">
        <v>15233</v>
      </c>
      <c r="Y69" s="168">
        <v>146985</v>
      </c>
      <c r="Z69" s="168">
        <v>0.1036</v>
      </c>
      <c r="AA69" s="168">
        <v>8046</v>
      </c>
      <c r="AB69" s="168">
        <v>79946</v>
      </c>
      <c r="AC69" s="168">
        <v>0.10059999999999999</v>
      </c>
      <c r="AD69" s="168">
        <v>2782</v>
      </c>
      <c r="AE69" s="168">
        <v>84060</v>
      </c>
      <c r="AF69" s="168">
        <v>3.3099999999999997E-2</v>
      </c>
      <c r="AG69" s="168">
        <v>2219</v>
      </c>
      <c r="AH69" s="168">
        <v>41455</v>
      </c>
      <c r="AI69" s="168">
        <v>5.3499999999999999E-2</v>
      </c>
      <c r="AJ69" s="156"/>
      <c r="AK69" s="156"/>
      <c r="AL69" s="156"/>
      <c r="AM69" s="168">
        <v>33900</v>
      </c>
      <c r="AN69" s="168">
        <v>2120</v>
      </c>
      <c r="AO69" s="168">
        <v>1088</v>
      </c>
      <c r="AP69" s="168">
        <v>1260</v>
      </c>
      <c r="AQ69" s="168">
        <v>350</v>
      </c>
      <c r="AR69" s="168">
        <v>570</v>
      </c>
      <c r="AS69" s="168">
        <v>1945</v>
      </c>
      <c r="AT69" s="168">
        <v>1192687</v>
      </c>
      <c r="AU69" s="156"/>
      <c r="AV69" s="156"/>
      <c r="AW69" s="156"/>
    </row>
    <row r="70" spans="1:49">
      <c r="A70" s="224">
        <f t="shared" si="11"/>
        <v>0.27000000000000013</v>
      </c>
      <c r="C70" s="147">
        <f t="shared" si="15"/>
        <v>8</v>
      </c>
      <c r="D70" s="170">
        <v>45505</v>
      </c>
      <c r="E70" s="156"/>
      <c r="F70" s="156"/>
      <c r="G70" s="172" t="e">
        <v>#DIV/0!</v>
      </c>
      <c r="H70" s="156"/>
      <c r="I70" s="156"/>
      <c r="J70" s="172" t="e">
        <v>#DIV/0!</v>
      </c>
      <c r="K70" s="156"/>
      <c r="L70" s="156"/>
      <c r="M70" s="156"/>
      <c r="N70" s="156"/>
      <c r="O70" s="156"/>
      <c r="P70" s="156"/>
      <c r="Q70" s="172" t="e">
        <v>#DIV/0!</v>
      </c>
      <c r="R70" s="156"/>
      <c r="S70" s="156"/>
      <c r="T70" s="172" t="e">
        <v>#DIV/0!</v>
      </c>
      <c r="U70" s="156"/>
      <c r="V70" s="156"/>
      <c r="W70" s="156"/>
      <c r="X70" s="168">
        <v>0</v>
      </c>
      <c r="Y70" s="156"/>
      <c r="Z70" s="172" t="e">
        <v>#DIV/0!</v>
      </c>
      <c r="AA70" s="156"/>
      <c r="AB70" s="156"/>
      <c r="AC70" s="172" t="e">
        <v>#DIV/0!</v>
      </c>
      <c r="AD70" s="156"/>
      <c r="AE70" s="156"/>
      <c r="AF70" s="172" t="e">
        <v>#DIV/0!</v>
      </c>
      <c r="AG70" s="168">
        <v>0</v>
      </c>
      <c r="AH70" s="156"/>
      <c r="AI70" s="172" t="e">
        <v>#DIV/0!</v>
      </c>
      <c r="AJ70" s="169">
        <v>0</v>
      </c>
      <c r="AK70" s="156"/>
      <c r="AL70" s="156"/>
      <c r="AM70" s="156"/>
      <c r="AN70" s="168">
        <v>0</v>
      </c>
      <c r="AO70" s="156"/>
      <c r="AP70" s="156"/>
      <c r="AQ70" s="156"/>
      <c r="AR70" s="156"/>
      <c r="AS70" s="156"/>
      <c r="AT70" s="156"/>
      <c r="AU70" s="156"/>
      <c r="AV70" s="156"/>
      <c r="AW70" s="156"/>
    </row>
    <row r="71" spans="1:49">
      <c r="A71" s="224">
        <f t="shared" si="11"/>
        <v>0.27500000000000013</v>
      </c>
      <c r="C71" s="147">
        <f t="shared" si="15"/>
        <v>8</v>
      </c>
      <c r="D71" s="170">
        <v>45870</v>
      </c>
      <c r="E71" s="167">
        <f>_xlfn.FORECAST.ETS(DATE(2025,1,1),E$64:E$70,$D$64:$D$70,1,1)+_xlfn.FORECAST.ETS.CONFINT(DATE(2025,1,1),E$64:E$70,$D$64:$D$70,$B$4,1)</f>
        <v>11296.542021813577</v>
      </c>
      <c r="F71" s="167">
        <f>_xlfn.FORECAST.ETS(DATE(2025,1,1),F$64:F$70,$D$64:$D$70,1,1)+_xlfn.FORECAST.ETS.CONFINT(DATE(2025,1,1),F$64:F$70,$D$64:$D$70,$C$1,1)</f>
        <v>94282.777322751179</v>
      </c>
      <c r="G71" s="158">
        <f>E71/F71</f>
        <v>0.11981554152931845</v>
      </c>
      <c r="H71" s="167">
        <f>_xlfn.FORECAST.ETS(DATE(2025,1,1),H$64:H$70,$D$64:$D$70,1,1)+_xlfn.FORECAST.ETS.CONFINT(DATE(2025,1,1),H$64:H$70,$D$64:$D$70,$B$5,1)</f>
        <v>16794.275131822484</v>
      </c>
      <c r="I71" s="167">
        <f>_xlfn.FORECAST.ETS(DATE(2025,1,1),I$64:I$70,$D$64:$D$70,1,1)+_xlfn.FORECAST.ETS.CONFINT(DATE(2025,1,1),I$64:I$70,$D$64:$D$70,$B$5,1)</f>
        <v>222099.80500972859</v>
      </c>
      <c r="J71" s="158">
        <f>H71/I71</f>
        <v>7.5615893184088331E-2</v>
      </c>
      <c r="K71" s="171"/>
      <c r="L71" s="171"/>
      <c r="M71" s="171"/>
      <c r="N71" s="171"/>
      <c r="O71" s="167">
        <f>_xlfn.FORECAST.ETS(DATE(2025,1,1),O$64:O$70,$D$64:$D$70,1,1)+_xlfn.FORECAST.ETS.CONFINT(DATE(2025,1,1),O$64:O$70,$D$64:$D$70,$B$6,1)</f>
        <v>13390.588775201933</v>
      </c>
      <c r="P71" s="167">
        <f>_xlfn.FORECAST.ETS(DATE(2025,1,1),P$64:P$70,$D$64:$D$70,1,1)+_xlfn.FORECAST.ETS.CONFINT(DATE(2025,1,1),P$64:P$70,$D$64:$D$70,$B$6,1)</f>
        <v>117050.50115605703</v>
      </c>
      <c r="Q71" s="158">
        <f>O71/P71</f>
        <v>0.11440009776078612</v>
      </c>
      <c r="R71" s="167">
        <f>_xlfn.FORECAST.ETS(DATE(2025,1,1),R$64:R$70,$D$64:$D$70,1,1)+_xlfn.FORECAST.ETS.CONFINT(DATE(2025,1,1),R$64:R$70,$D$64:$D$70,$B$7,1)</f>
        <v>12221.868496836672</v>
      </c>
      <c r="S71" s="167">
        <f>_xlfn.FORECAST.ETS(DATE(2025,1,1),S$64:S$70,$D$64:$D$70,1,1)+_xlfn.FORECAST.ETS.CONFINT(DATE(2025,1,1),S$64:S$70,$D$64:$D$70,$B$7,1)</f>
        <v>123715.42720730155</v>
      </c>
      <c r="T71" s="158">
        <f>R71/S71</f>
        <v>9.8790173325411693E-2</v>
      </c>
      <c r="U71" s="167">
        <f>_xlfn.FORECAST.ETS(DATE(2025,1,1),U$64:U$70,$D$64:$D$70,1,1)+_xlfn.FORECAST.ETS.CONFINT(DATE(2025,1,1),U$64:U$70,$D$64:$D$70,$B$8,1)</f>
        <v>365.97001088178308</v>
      </c>
      <c r="V71" s="167">
        <f>_xlfn.FORECAST.ETS(DATE(2025,1,1),V$64:V$70,$D$64:$D$70,1,1)+_xlfn.FORECAST.ETS.CONFINT(DATE(2025,1,1),V$64:V$70,$D$64:$D$70,$B$8,1)</f>
        <v>103349.13137179172</v>
      </c>
      <c r="W71" s="158">
        <f>U71/V71</f>
        <v>3.5411038876101432E-3</v>
      </c>
      <c r="X71" s="167">
        <f>_xlfn.FORECAST.ETS(DATE(2025,1,1),X$64:X$70,$D$64:$D$70,1,1)+_xlfn.FORECAST.ETS.CONFINT(DATE(2025,1,1),X$64:X$70,$D$64:$D$70,$B$9,1)</f>
        <v>11031.244974690424</v>
      </c>
      <c r="Y71" s="167">
        <f>_xlfn.FORECAST.ETS(DATE(2025,1,1),Y$64:Y$70,$D$64:$D$70,1,1)+_xlfn.FORECAST.ETS.CONFINT(DATE(2025,1,1),Y$64:Y$70,$D$64:$D$70,$B$9,1)</f>
        <v>176134.73805613723</v>
      </c>
      <c r="Z71" s="158">
        <f>X71/Y71</f>
        <v>6.2629581741987614E-2</v>
      </c>
      <c r="AA71" s="167">
        <f>_xlfn.FORECAST.ETS(DATE(2025,1,1),AA$64:AA$70,$D$64:$D$70,1,1)+_xlfn.FORECAST.ETS.CONFINT(DATE(2025,1,1),AA$64:AA$70,$D$64:$D$70,$B$10,1)</f>
        <v>7748.4136140245701</v>
      </c>
      <c r="AB71" s="167">
        <f>_xlfn.FORECAST.ETS(DATE(2025,1,1),AB$64:AB$70,$D$64:$D$70,1,1)+_xlfn.FORECAST.ETS.CONFINT(DATE(2025,1,1),AB$64:AB$70,$D$64:$D$70,$B$10,1)</f>
        <v>86362.287024314253</v>
      </c>
      <c r="AC71" s="158">
        <f>AA71/AB71</f>
        <v>8.9719875202507071E-2</v>
      </c>
      <c r="AD71" s="167">
        <f>_xlfn.FORECAST.ETS(DATE(2025,1,1),AD$64:AD$70,$D$64:$D$70,1,1)+_xlfn.FORECAST.ETS.CONFINT(DATE(2025,1,1),AD$64:AD$70,$D$64:$D$70,$B$11,1)</f>
        <v>3730.276999838803</v>
      </c>
      <c r="AE71" s="167">
        <f>_xlfn.FORECAST.ETS(DATE(2025,1,1),AE$64:AE$70,$D$64:$D$70,1,1)+_xlfn.FORECAST.ETS.CONFINT(DATE(2025,1,1),AE$64:AE$70,$D$64:$D$70,$B$11,1)</f>
        <v>96085.322626553665</v>
      </c>
      <c r="AF71" s="158">
        <f>AD71/AE71</f>
        <v>3.8822547480398657E-2</v>
      </c>
      <c r="AG71" s="167">
        <f>_xlfn.FORECAST.ETS(DATE(2025,1,1),AG$64:AG$70,$D$64:$D$70,1,1)+_xlfn.FORECAST.ETS.CONFINT(DATE(2025,1,1),AG$64:AG$70,$D$64:$D$70,$B$12,1)</f>
        <v>1047.1183224066565</v>
      </c>
      <c r="AH71" s="167">
        <f>_xlfn.FORECAST.ETS(DATE(2025,1,1),AH$64:AH$70,$D$64:$D$70,1,1)+_xlfn.FORECAST.ETS.CONFINT(DATE(2025,1,1),AH$64:AH$70,$D$64:$D$70,$B$12,1)</f>
        <v>22751.234862571968</v>
      </c>
      <c r="AI71" s="158">
        <f>AG71/AH71</f>
        <v>4.6024680802239433E-2</v>
      </c>
      <c r="AJ71" s="171"/>
      <c r="AK71" s="171"/>
      <c r="AL71" s="171"/>
      <c r="AM71" s="171"/>
      <c r="AN71" s="171"/>
      <c r="AO71" s="171"/>
      <c r="AP71" s="171"/>
      <c r="AQ71" s="171"/>
      <c r="AR71" s="171"/>
      <c r="AS71" s="171"/>
      <c r="AT71" s="171"/>
      <c r="AU71" s="156"/>
      <c r="AV71" s="171"/>
      <c r="AW71" s="171"/>
    </row>
    <row r="72" spans="1:49">
      <c r="A72" s="224">
        <f t="shared" si="11"/>
        <v>0.28000000000000014</v>
      </c>
      <c r="C72" s="147">
        <f t="shared" ref="C72:C103" si="17">MONTH(D72)</f>
        <v>9</v>
      </c>
      <c r="D72" s="157">
        <v>43344</v>
      </c>
      <c r="E72" s="158">
        <v>14905</v>
      </c>
      <c r="F72" s="158">
        <v>144046</v>
      </c>
      <c r="G72" s="158">
        <v>0.10349999999999999</v>
      </c>
      <c r="H72" s="158">
        <v>30152</v>
      </c>
      <c r="I72" s="158">
        <v>310709</v>
      </c>
      <c r="J72" s="158">
        <v>9.7000000000000003E-2</v>
      </c>
      <c r="K72" s="159">
        <v>9100</v>
      </c>
      <c r="L72" s="159">
        <v>142552</v>
      </c>
      <c r="M72" s="159">
        <v>17936</v>
      </c>
      <c r="N72" s="159">
        <v>218559</v>
      </c>
      <c r="O72" s="158">
        <v>8788</v>
      </c>
      <c r="P72" s="158">
        <v>152245</v>
      </c>
      <c r="Q72" s="158">
        <v>5.7700000000000001E-2</v>
      </c>
      <c r="R72" s="158">
        <v>11759</v>
      </c>
      <c r="S72" s="158">
        <v>117435</v>
      </c>
      <c r="T72" s="158">
        <v>0.10009999999999999</v>
      </c>
      <c r="U72" s="158">
        <v>581</v>
      </c>
      <c r="V72" s="158">
        <v>104972</v>
      </c>
      <c r="W72" s="158">
        <v>5.4999999999999997E-3</v>
      </c>
      <c r="X72" s="158">
        <v>13551</v>
      </c>
      <c r="Y72" s="158">
        <v>141629</v>
      </c>
      <c r="Z72" s="158">
        <v>9.5699999999999993E-2</v>
      </c>
      <c r="AA72" s="158">
        <v>10096</v>
      </c>
      <c r="AB72" s="158">
        <v>93079</v>
      </c>
      <c r="AC72" s="158">
        <v>0.1085</v>
      </c>
      <c r="AD72" s="158">
        <v>5503</v>
      </c>
      <c r="AE72" s="158">
        <v>96636</v>
      </c>
      <c r="AF72" s="158">
        <v>5.6899999999999999E-2</v>
      </c>
      <c r="AG72" s="158">
        <v>29014</v>
      </c>
      <c r="AH72" s="158">
        <v>111702</v>
      </c>
      <c r="AI72" s="158">
        <v>0.25969999999999999</v>
      </c>
      <c r="AJ72" s="159">
        <v>318</v>
      </c>
      <c r="AK72" s="160"/>
      <c r="AL72" s="159">
        <v>4188</v>
      </c>
      <c r="AM72" s="158">
        <v>43500</v>
      </c>
      <c r="AN72" s="158">
        <v>2130</v>
      </c>
      <c r="AO72" s="158">
        <v>466</v>
      </c>
      <c r="AP72" s="158">
        <v>2430</v>
      </c>
      <c r="AQ72" s="158">
        <v>1110</v>
      </c>
      <c r="AR72" s="158">
        <v>1120</v>
      </c>
      <c r="AS72" s="158">
        <v>8604</v>
      </c>
      <c r="AT72" s="158">
        <v>1848816</v>
      </c>
      <c r="AU72" s="158">
        <v>0.1226</v>
      </c>
      <c r="AV72" s="160"/>
      <c r="AW72" s="160"/>
    </row>
    <row r="73" spans="1:49">
      <c r="A73" s="224">
        <f t="shared" si="11"/>
        <v>0.28500000000000014</v>
      </c>
      <c r="C73" s="147">
        <f t="shared" si="17"/>
        <v>9</v>
      </c>
      <c r="D73" s="157">
        <v>43709</v>
      </c>
      <c r="E73" s="158">
        <v>15303</v>
      </c>
      <c r="F73" s="158">
        <v>170275</v>
      </c>
      <c r="G73" s="158">
        <v>8.9899999999999994E-2</v>
      </c>
      <c r="H73" s="158">
        <v>20058</v>
      </c>
      <c r="I73" s="158">
        <v>294047</v>
      </c>
      <c r="J73" s="158">
        <v>6.8199999999999997E-2</v>
      </c>
      <c r="K73" s="159">
        <v>10699</v>
      </c>
      <c r="L73" s="159">
        <v>139402</v>
      </c>
      <c r="M73" s="159">
        <v>16120</v>
      </c>
      <c r="N73" s="159">
        <v>216487</v>
      </c>
      <c r="O73" s="158">
        <v>6619</v>
      </c>
      <c r="P73" s="158">
        <v>143246</v>
      </c>
      <c r="Q73" s="158">
        <v>4.6199999999999998E-2</v>
      </c>
      <c r="R73" s="158">
        <v>9580</v>
      </c>
      <c r="S73" s="158">
        <v>119644</v>
      </c>
      <c r="T73" s="158">
        <v>8.0100000000000005E-2</v>
      </c>
      <c r="U73" s="158">
        <v>549</v>
      </c>
      <c r="V73" s="158">
        <v>131820</v>
      </c>
      <c r="W73" s="158">
        <v>4.1999999999999997E-3</v>
      </c>
      <c r="X73" s="158">
        <v>13021</v>
      </c>
      <c r="Y73" s="158">
        <v>158819</v>
      </c>
      <c r="Z73" s="158">
        <v>8.2000000000000003E-2</v>
      </c>
      <c r="AA73" s="158">
        <v>8077</v>
      </c>
      <c r="AB73" s="158">
        <v>95083</v>
      </c>
      <c r="AC73" s="158">
        <v>8.4900000000000003E-2</v>
      </c>
      <c r="AD73" s="158">
        <v>3811</v>
      </c>
      <c r="AE73" s="158">
        <v>102979</v>
      </c>
      <c r="AF73" s="158">
        <v>3.6999999999999998E-2</v>
      </c>
      <c r="AG73" s="158">
        <v>3489</v>
      </c>
      <c r="AH73" s="158">
        <v>95647</v>
      </c>
      <c r="AI73" s="158">
        <v>3.6499999999999998E-2</v>
      </c>
      <c r="AJ73" s="159">
        <v>212</v>
      </c>
      <c r="AK73" s="160"/>
      <c r="AL73" s="159">
        <v>4051</v>
      </c>
      <c r="AM73" s="158">
        <v>36000</v>
      </c>
      <c r="AN73" s="158">
        <v>1690</v>
      </c>
      <c r="AO73" s="158">
        <v>485</v>
      </c>
      <c r="AP73" s="158">
        <v>2030</v>
      </c>
      <c r="AQ73" s="158">
        <v>540</v>
      </c>
      <c r="AR73" s="158">
        <v>840</v>
      </c>
      <c r="AS73" s="158">
        <v>0</v>
      </c>
      <c r="AT73" s="158">
        <v>1820624</v>
      </c>
      <c r="AU73" s="158">
        <v>8.3900000000000002E-2</v>
      </c>
      <c r="AV73" s="160"/>
      <c r="AW73" s="160"/>
    </row>
    <row r="74" spans="1:49">
      <c r="A74" s="224">
        <f t="shared" si="11"/>
        <v>0.29000000000000015</v>
      </c>
      <c r="C74" s="147">
        <f t="shared" si="17"/>
        <v>9</v>
      </c>
      <c r="D74" s="157">
        <v>44075</v>
      </c>
      <c r="E74" s="158">
        <v>13189</v>
      </c>
      <c r="F74" s="158">
        <v>120957</v>
      </c>
      <c r="G74" s="158">
        <v>0.109</v>
      </c>
      <c r="H74" s="158">
        <v>20636</v>
      </c>
      <c r="I74" s="158">
        <v>226121</v>
      </c>
      <c r="J74" s="158">
        <v>9.1300000000000006E-2</v>
      </c>
      <c r="K74" s="159">
        <v>12255</v>
      </c>
      <c r="L74" s="159">
        <v>101206</v>
      </c>
      <c r="M74" s="159">
        <v>14747</v>
      </c>
      <c r="N74" s="159">
        <v>177957</v>
      </c>
      <c r="O74" s="158">
        <v>2161</v>
      </c>
      <c r="P74" s="158">
        <v>95748</v>
      </c>
      <c r="Q74" s="158">
        <v>2.2599999999999999E-2</v>
      </c>
      <c r="R74" s="158">
        <v>9514</v>
      </c>
      <c r="S74" s="158">
        <v>98185</v>
      </c>
      <c r="T74" s="158">
        <v>9.69E-2</v>
      </c>
      <c r="U74" s="158">
        <v>559</v>
      </c>
      <c r="V74" s="158">
        <v>103411</v>
      </c>
      <c r="W74" s="158">
        <v>5.4000000000000003E-3</v>
      </c>
      <c r="X74" s="158">
        <v>12687</v>
      </c>
      <c r="Y74" s="158">
        <v>122724</v>
      </c>
      <c r="Z74" s="158">
        <v>0.10340000000000001</v>
      </c>
      <c r="AA74" s="158">
        <v>6012</v>
      </c>
      <c r="AB74" s="158">
        <v>75417</v>
      </c>
      <c r="AC74" s="158">
        <v>7.9699999999999993E-2</v>
      </c>
      <c r="AD74" s="158">
        <v>5636</v>
      </c>
      <c r="AE74" s="158">
        <v>76642</v>
      </c>
      <c r="AF74" s="158">
        <v>7.3499999999999996E-2</v>
      </c>
      <c r="AG74" s="158">
        <v>5571</v>
      </c>
      <c r="AH74" s="158">
        <v>63732</v>
      </c>
      <c r="AI74" s="158">
        <v>8.7400000000000005E-2</v>
      </c>
      <c r="AJ74" s="159">
        <v>371</v>
      </c>
      <c r="AK74" s="160"/>
      <c r="AL74" s="159">
        <v>3480</v>
      </c>
      <c r="AM74" s="158">
        <v>23400</v>
      </c>
      <c r="AN74" s="158">
        <v>1470</v>
      </c>
      <c r="AO74" s="158">
        <v>428</v>
      </c>
      <c r="AP74" s="158">
        <v>1370</v>
      </c>
      <c r="AQ74" s="158">
        <v>290</v>
      </c>
      <c r="AR74" s="158">
        <v>660</v>
      </c>
      <c r="AS74" s="158">
        <v>3669</v>
      </c>
      <c r="AT74" s="158">
        <v>1400206</v>
      </c>
      <c r="AU74" s="158">
        <v>0.2268</v>
      </c>
      <c r="AV74" s="160"/>
      <c r="AW74" s="160"/>
    </row>
    <row r="75" spans="1:49">
      <c r="A75" s="224">
        <f t="shared" si="11"/>
        <v>0.29500000000000015</v>
      </c>
      <c r="C75" s="147">
        <f t="shared" si="17"/>
        <v>9</v>
      </c>
      <c r="D75" s="157">
        <v>44440</v>
      </c>
      <c r="E75" s="158">
        <v>9500</v>
      </c>
      <c r="F75" s="158">
        <v>98893</v>
      </c>
      <c r="G75" s="158">
        <v>9.6100000000000005E-2</v>
      </c>
      <c r="H75" s="158">
        <v>19436</v>
      </c>
      <c r="I75" s="158">
        <v>248897</v>
      </c>
      <c r="J75" s="158">
        <v>7.8100000000000003E-2</v>
      </c>
      <c r="K75" s="159">
        <v>9628</v>
      </c>
      <c r="L75" s="159">
        <v>106035</v>
      </c>
      <c r="M75" s="159">
        <v>12402</v>
      </c>
      <c r="N75" s="159">
        <v>166954</v>
      </c>
      <c r="O75" s="158">
        <v>8029</v>
      </c>
      <c r="P75" s="158">
        <v>103637</v>
      </c>
      <c r="Q75" s="158">
        <v>7.7499999999999999E-2</v>
      </c>
      <c r="R75" s="158">
        <v>9345</v>
      </c>
      <c r="S75" s="158">
        <v>99734</v>
      </c>
      <c r="T75" s="158">
        <v>9.3700000000000006E-2</v>
      </c>
      <c r="U75" s="158">
        <v>649</v>
      </c>
      <c r="V75" s="158">
        <v>109126</v>
      </c>
      <c r="W75" s="158">
        <v>5.8999999999999999E-3</v>
      </c>
      <c r="X75" s="158">
        <v>10834</v>
      </c>
      <c r="Y75" s="158">
        <v>121735</v>
      </c>
      <c r="Z75" s="158">
        <v>8.8999999999999996E-2</v>
      </c>
      <c r="AA75" s="158">
        <v>6192</v>
      </c>
      <c r="AB75" s="158">
        <v>82463</v>
      </c>
      <c r="AC75" s="158">
        <v>7.51E-2</v>
      </c>
      <c r="AD75" s="158">
        <v>4283</v>
      </c>
      <c r="AE75" s="158">
        <v>76827</v>
      </c>
      <c r="AF75" s="158">
        <v>5.57E-2</v>
      </c>
      <c r="AG75" s="158">
        <v>3386</v>
      </c>
      <c r="AH75" s="158">
        <v>83070</v>
      </c>
      <c r="AI75" s="158">
        <v>4.0800000000000003E-2</v>
      </c>
      <c r="AJ75" s="159">
        <v>560</v>
      </c>
      <c r="AK75" s="160"/>
      <c r="AL75" s="159">
        <v>7136</v>
      </c>
      <c r="AM75" s="158">
        <v>32100</v>
      </c>
      <c r="AN75" s="158">
        <v>1360</v>
      </c>
      <c r="AO75" s="158">
        <v>370</v>
      </c>
      <c r="AP75" s="158">
        <v>1790</v>
      </c>
      <c r="AQ75" s="158">
        <v>320</v>
      </c>
      <c r="AR75" s="158">
        <v>730</v>
      </c>
      <c r="AS75" s="158">
        <v>2518</v>
      </c>
      <c r="AT75" s="158">
        <v>1437940</v>
      </c>
      <c r="AU75" s="158">
        <v>0.17979999999999999</v>
      </c>
      <c r="AV75" s="160"/>
      <c r="AW75" s="160"/>
    </row>
    <row r="76" spans="1:49">
      <c r="A76" s="224">
        <f t="shared" si="11"/>
        <v>0.30000000000000016</v>
      </c>
      <c r="C76" s="147">
        <f t="shared" si="17"/>
        <v>9</v>
      </c>
      <c r="D76" s="166">
        <v>44805</v>
      </c>
      <c r="E76" s="158">
        <v>10727</v>
      </c>
      <c r="F76" s="158">
        <v>115687</v>
      </c>
      <c r="G76" s="158">
        <v>9.2700000000000005E-2</v>
      </c>
      <c r="H76" s="158">
        <v>16778</v>
      </c>
      <c r="I76" s="158">
        <v>218095</v>
      </c>
      <c r="J76" s="158">
        <v>7.6899999999999996E-2</v>
      </c>
      <c r="K76" s="159">
        <v>7554</v>
      </c>
      <c r="L76" s="159">
        <v>74043</v>
      </c>
      <c r="M76" s="159">
        <v>12097</v>
      </c>
      <c r="N76" s="159">
        <v>162899</v>
      </c>
      <c r="O76" s="158">
        <v>6963</v>
      </c>
      <c r="P76" s="158">
        <v>91336</v>
      </c>
      <c r="Q76" s="158">
        <v>7.6200000000000004E-2</v>
      </c>
      <c r="R76" s="158">
        <v>9669</v>
      </c>
      <c r="S76" s="158">
        <v>105331</v>
      </c>
      <c r="T76" s="158">
        <v>9.1800000000000007E-2</v>
      </c>
      <c r="U76" s="158">
        <v>458</v>
      </c>
      <c r="V76" s="158">
        <v>70155</v>
      </c>
      <c r="W76" s="158">
        <v>6.4999999999999997E-3</v>
      </c>
      <c r="X76" s="158">
        <v>8510</v>
      </c>
      <c r="Y76" s="158">
        <v>90754</v>
      </c>
      <c r="Z76" s="158">
        <v>9.3799999999999994E-2</v>
      </c>
      <c r="AA76" s="158">
        <v>5833</v>
      </c>
      <c r="AB76" s="158">
        <v>76178</v>
      </c>
      <c r="AC76" s="158">
        <v>7.6600000000000001E-2</v>
      </c>
      <c r="AD76" s="158">
        <v>3012</v>
      </c>
      <c r="AE76" s="158">
        <v>72189</v>
      </c>
      <c r="AF76" s="158">
        <v>4.1700000000000001E-2</v>
      </c>
      <c r="AG76" s="158">
        <v>2070</v>
      </c>
      <c r="AH76" s="158">
        <v>55528</v>
      </c>
      <c r="AI76" s="158">
        <v>3.73E-2</v>
      </c>
      <c r="AJ76" s="160"/>
      <c r="AK76" s="160"/>
      <c r="AL76" s="160"/>
      <c r="AM76" s="158">
        <v>28500</v>
      </c>
      <c r="AN76" s="158">
        <v>2270</v>
      </c>
      <c r="AO76" s="158">
        <v>523</v>
      </c>
      <c r="AP76" s="158">
        <v>1290</v>
      </c>
      <c r="AQ76" s="158">
        <v>290</v>
      </c>
      <c r="AR76" s="158">
        <v>590</v>
      </c>
      <c r="AS76" s="158">
        <v>2595</v>
      </c>
      <c r="AT76" s="158">
        <v>1251925</v>
      </c>
      <c r="AU76" s="158">
        <v>-1.7899999999999999E-2</v>
      </c>
      <c r="AV76" s="160"/>
      <c r="AW76" s="160"/>
    </row>
    <row r="77" spans="1:49">
      <c r="A77" s="224">
        <f t="shared" si="11"/>
        <v>0.30500000000000016</v>
      </c>
      <c r="C77" s="147">
        <f t="shared" si="17"/>
        <v>9</v>
      </c>
      <c r="D77" s="166">
        <v>45170</v>
      </c>
      <c r="E77" s="158">
        <v>11032</v>
      </c>
      <c r="F77" s="158">
        <v>135611</v>
      </c>
      <c r="G77" s="158">
        <v>8.14E-2</v>
      </c>
      <c r="H77" s="158">
        <v>15757</v>
      </c>
      <c r="I77" s="158">
        <v>238238</v>
      </c>
      <c r="J77" s="158">
        <v>6.6100000000000006E-2</v>
      </c>
      <c r="K77" s="160"/>
      <c r="L77" s="160"/>
      <c r="M77" s="159">
        <v>14527</v>
      </c>
      <c r="N77" s="159">
        <v>179251</v>
      </c>
      <c r="O77" s="158">
        <v>11193</v>
      </c>
      <c r="P77" s="158">
        <v>126441</v>
      </c>
      <c r="Q77" s="158">
        <v>8.8499999999999995E-2</v>
      </c>
      <c r="R77" s="158">
        <v>9919</v>
      </c>
      <c r="S77" s="158">
        <v>115991</v>
      </c>
      <c r="T77" s="158">
        <v>8.5500000000000007E-2</v>
      </c>
      <c r="U77" s="158">
        <v>722</v>
      </c>
      <c r="V77" s="158">
        <v>88623</v>
      </c>
      <c r="W77" s="158">
        <v>8.0999999999999996E-3</v>
      </c>
      <c r="X77" s="158">
        <v>13007</v>
      </c>
      <c r="Y77" s="158">
        <v>139198</v>
      </c>
      <c r="Z77" s="158">
        <v>9.3399999999999997E-2</v>
      </c>
      <c r="AA77" s="158">
        <v>7472</v>
      </c>
      <c r="AB77" s="158">
        <v>86698</v>
      </c>
      <c r="AC77" s="158">
        <v>8.6199999999999999E-2</v>
      </c>
      <c r="AD77" s="158">
        <v>2534</v>
      </c>
      <c r="AE77" s="158">
        <v>88037</v>
      </c>
      <c r="AF77" s="158">
        <v>2.8799999999999999E-2</v>
      </c>
      <c r="AG77" s="158">
        <v>2457</v>
      </c>
      <c r="AH77" s="158">
        <v>55908</v>
      </c>
      <c r="AI77" s="158">
        <v>4.3900000000000002E-2</v>
      </c>
      <c r="AJ77" s="160"/>
      <c r="AK77" s="160"/>
      <c r="AL77" s="160"/>
      <c r="AM77" s="158">
        <v>36900</v>
      </c>
      <c r="AN77" s="158">
        <v>2450</v>
      </c>
      <c r="AO77" s="160"/>
      <c r="AP77" s="158">
        <v>1580</v>
      </c>
      <c r="AQ77" s="158">
        <v>580</v>
      </c>
      <c r="AR77" s="158">
        <v>640</v>
      </c>
      <c r="AS77" s="158">
        <v>2317</v>
      </c>
      <c r="AT77" s="158">
        <v>1387084</v>
      </c>
      <c r="AU77" s="160"/>
      <c r="AV77" s="160"/>
      <c r="AW77" s="160"/>
    </row>
    <row r="78" spans="1:49">
      <c r="A78" s="224">
        <f t="shared" si="11"/>
        <v>0.31000000000000016</v>
      </c>
      <c r="C78" s="147">
        <f t="shared" si="17"/>
        <v>9</v>
      </c>
      <c r="D78" s="166">
        <v>45536</v>
      </c>
      <c r="E78" s="160"/>
      <c r="F78" s="160"/>
      <c r="G78" s="161" t="e">
        <v>#DIV/0!</v>
      </c>
      <c r="H78" s="160"/>
      <c r="I78" s="160"/>
      <c r="J78" s="161" t="e">
        <v>#DIV/0!</v>
      </c>
      <c r="K78" s="160"/>
      <c r="L78" s="160"/>
      <c r="M78" s="160"/>
      <c r="N78" s="160"/>
      <c r="O78" s="160"/>
      <c r="P78" s="160"/>
      <c r="Q78" s="161" t="e">
        <v>#DIV/0!</v>
      </c>
      <c r="R78" s="160"/>
      <c r="S78" s="160"/>
      <c r="T78" s="161" t="e">
        <v>#DIV/0!</v>
      </c>
      <c r="U78" s="160"/>
      <c r="V78" s="160"/>
      <c r="W78" s="160"/>
      <c r="X78" s="158">
        <v>0</v>
      </c>
      <c r="Y78" s="160"/>
      <c r="Z78" s="161" t="e">
        <v>#DIV/0!</v>
      </c>
      <c r="AA78" s="158">
        <v>0</v>
      </c>
      <c r="AB78" s="160"/>
      <c r="AC78" s="161" t="e">
        <v>#DIV/0!</v>
      </c>
      <c r="AD78" s="160"/>
      <c r="AE78" s="160"/>
      <c r="AF78" s="161" t="e">
        <v>#DIV/0!</v>
      </c>
      <c r="AG78" s="158">
        <v>0</v>
      </c>
      <c r="AH78" s="160"/>
      <c r="AI78" s="161" t="e">
        <v>#DIV/0!</v>
      </c>
      <c r="AJ78" s="159">
        <v>0</v>
      </c>
      <c r="AK78" s="160"/>
      <c r="AL78" s="160"/>
      <c r="AM78" s="160"/>
      <c r="AN78" s="158">
        <v>0</v>
      </c>
      <c r="AO78" s="160"/>
      <c r="AP78" s="160"/>
      <c r="AQ78" s="160"/>
      <c r="AR78" s="160"/>
      <c r="AS78" s="160"/>
      <c r="AT78" s="160"/>
      <c r="AU78" s="160"/>
      <c r="AV78" s="160"/>
      <c r="AW78" s="160"/>
    </row>
    <row r="79" spans="1:49">
      <c r="A79" s="224">
        <f t="shared" si="11"/>
        <v>0.31500000000000017</v>
      </c>
      <c r="C79" s="147">
        <f t="shared" si="17"/>
        <v>9</v>
      </c>
      <c r="D79" s="166">
        <v>45901</v>
      </c>
      <c r="E79" s="167">
        <f>_xlfn.FORECAST.ETS(DATE(2025,1,1),E$72:E$78,$D$72:$D$78,1,1)+_xlfn.FORECAST.ETS.CONFINT(DATE(2025,1,1),E$72:E$78,$D$72:$D$78,$B$4,1)</f>
        <v>10366.468058244631</v>
      </c>
      <c r="F79" s="167">
        <f>_xlfn.FORECAST.ETS(DATE(2025,1,1),F$72:F$78,$D$72:$D$78,1,1)+_xlfn.FORECAST.ETS.CONFINT(DATE(2025,1,1),F$72:F$78,$D$72:$D$78,$B$4,1)</f>
        <v>136826.48714932727</v>
      </c>
      <c r="G79" s="158">
        <f>E79/F79</f>
        <v>7.5763605967103853E-2</v>
      </c>
      <c r="H79" s="167">
        <f>_xlfn.FORECAST.ETS(DATE(2025,1,1),H$72:H$78,$D$72:$D$78,1,1)+_xlfn.FORECAST.ETS.CONFINT(DATE(2025,1,1),H$72:H$78,$D$72:$D$78,$B$5,1)</f>
        <v>17614.014075892308</v>
      </c>
      <c r="I79" s="167">
        <f>_xlfn.FORECAST.ETS(DATE(2025,1,1),I$72:I$78,$D$72:$D$78,1,1)+_xlfn.FORECAST.ETS.CONFINT(DATE(2025,1,1),I$72:I$78,$D$72:$D$78,$B$5,1)</f>
        <v>235434.87080209787</v>
      </c>
      <c r="J79" s="158">
        <f>H79/I79</f>
        <v>7.4814805537869192E-2</v>
      </c>
      <c r="K79" s="152"/>
      <c r="L79" s="152"/>
      <c r="M79" s="152"/>
      <c r="N79" s="152"/>
      <c r="O79" s="167">
        <f>_xlfn.FORECAST.ETS(DATE(2025,1,1),O$72:O$78,$D$72:$D$78,1,1)+_xlfn.FORECAST.ETS.CONFINT(DATE(2025,1,1),O$72:O$78,$D$72:$D$78,$B$6,1)</f>
        <v>14737.426997970815</v>
      </c>
      <c r="P79" s="167">
        <f>_xlfn.FORECAST.ETS(DATE(2025,1,1),P$72:P$78,$D$72:$D$78,1,1)+_xlfn.FORECAST.ETS.CONFINT(DATE(2025,1,1),P$72:P$78,$D$72:$D$78,$B$6,1)</f>
        <v>123404.41804481123</v>
      </c>
      <c r="Q79" s="158">
        <f>O79/P79</f>
        <v>0.11942381992044472</v>
      </c>
      <c r="R79" s="167">
        <f>_xlfn.FORECAST.ETS(DATE(2025,1,1),R$72:R$78,$D$72:$D$78,1,1)+_xlfn.FORECAST.ETS.CONFINT(DATE(2025,1,1),R$72:R$78,$D$72:$D$78,$B$7,1)</f>
        <v>10755.44764934492</v>
      </c>
      <c r="S79" s="167">
        <f>_xlfn.FORECAST.ETS(DATE(2025,1,1),S$72:S$78,$D$72:$D$78,1,1)+_xlfn.FORECAST.ETS.CONFINT(DATE(2025,1,1),S$72:S$78,$D$72:$D$78,$B$7,1)</f>
        <v>117824.30371119278</v>
      </c>
      <c r="T79" s="158">
        <f>R79/S79</f>
        <v>9.1283778563277865E-2</v>
      </c>
      <c r="U79" s="167">
        <f>_xlfn.FORECAST.ETS(DATE(2025,1,1),U$72:U$78,$D$72:$D$78,1,1)+_xlfn.FORECAST.ETS.CONFINT(DATE(2025,1,1),U$72:U$78,$D$72:$D$78,$B$8,1)</f>
        <v>819.22225695055408</v>
      </c>
      <c r="V79" s="167">
        <f>_xlfn.FORECAST.ETS(DATE(2025,1,1),V$72:V$78,$D$72:$D$78,1,1)+_xlfn.FORECAST.ETS.CONFINT(DATE(2025,1,1),V$72:V$78,$D$72:$D$78,$B$8,1)</f>
        <v>69223.474838445531</v>
      </c>
      <c r="W79" s="158">
        <f>U79/V79</f>
        <v>1.1834457297361387E-2</v>
      </c>
      <c r="X79" s="167">
        <f>_xlfn.FORECAST.ETS(DATE(2025,1,1),X$72:X$78,$D$72:$D$78,1,1)+_xlfn.FORECAST.ETS.CONFINT(DATE(2025,1,1),X$72:X$78,$D$72:$D$78,$B$9,1)</f>
        <v>7804.7391896912031</v>
      </c>
      <c r="Y79" s="167">
        <f>_xlfn.FORECAST.ETS(DATE(2025,1,1),Y$72:Y$78,$D$72:$D$78,1,1)+_xlfn.FORECAST.ETS.CONFINT(DATE(2025,1,1),Y$72:Y$78,$D$72:$D$78,$B$9,1)</f>
        <v>124341.58687093382</v>
      </c>
      <c r="Z79" s="158">
        <f>X79/Y79</f>
        <v>6.2768534535372289E-2</v>
      </c>
      <c r="AA79" s="167">
        <f>_xlfn.FORECAST.ETS(DATE(2025,1,1),AA$72:AA$78,$D$72:$D$78,1,1)+_xlfn.FORECAST.ETS.CONFINT(DATE(2025,1,1),AA$72:AA$78,$D$72:$D$78,$B$10,1)</f>
        <v>4024.5194116238717</v>
      </c>
      <c r="AB79" s="167">
        <f>_xlfn.FORECAST.ETS(DATE(2025,1,1),AB$72:AB$78,$D$72:$D$78,1,1)+_xlfn.FORECAST.ETS.CONFINT(DATE(2025,1,1),AB$72:AB$78,$D$72:$D$78,$B$10,1)</f>
        <v>81860.14111792465</v>
      </c>
      <c r="AC79" s="158">
        <f>AA79/AB79</f>
        <v>4.9163357852343548E-2</v>
      </c>
      <c r="AD79" s="167">
        <f>_xlfn.FORECAST.ETS(DATE(2025,1,1),AD$72:AD$78,$D$72:$D$78,1,1)+_xlfn.FORECAST.ETS.CONFINT(DATE(2025,1,1),AD$72:AD$78,$D$72:$D$78,$B$11,1)</f>
        <v>3506.3895769946184</v>
      </c>
      <c r="AE79" s="167">
        <f>_xlfn.FORECAST.ETS(DATE(2025,1,1),AE$72:AE$78,$D$72:$D$78,1,1)+_xlfn.FORECAST.ETS.CONFINT(DATE(2025,1,1),AE$72:AE$78,$D$72:$D$78,$B$11,1)</f>
        <v>90381.783109376513</v>
      </c>
      <c r="AF79" s="158">
        <f>AD79/AE79</f>
        <v>3.879531313020592E-2</v>
      </c>
      <c r="AG79" s="167">
        <f>_xlfn.FORECAST.ETS(DATE(2025,1,1),AG$72:AG$78,$D$72:$D$78,1,1)+_xlfn.FORECAST.ETS.CONFINT(DATE(2025,1,1),AG$72:AG$78,$D$72:$D$78,$B$12,1)</f>
        <v>2304.4824311422808</v>
      </c>
      <c r="AH79" s="167">
        <f>_xlfn.FORECAST.ETS(DATE(2025,1,1),AH$72:AH$78,$D$72:$D$78,1,1)+_xlfn.FORECAST.ETS.CONFINT(DATE(2025,1,1),AH$72:AH$78,$D$72:$D$78,$B$12,1)</f>
        <v>43229.648803572942</v>
      </c>
      <c r="AI79" s="158">
        <f>AG79/AH79</f>
        <v>5.3307914704868356E-2</v>
      </c>
      <c r="AJ79" s="152"/>
      <c r="AK79" s="152"/>
      <c r="AL79" s="152"/>
      <c r="AM79" s="152"/>
      <c r="AN79" s="152"/>
      <c r="AO79" s="152"/>
      <c r="AP79" s="152"/>
      <c r="AQ79" s="152"/>
      <c r="AR79" s="152"/>
      <c r="AS79" s="152"/>
      <c r="AT79" s="152"/>
      <c r="AU79" s="160"/>
      <c r="AV79" s="152"/>
      <c r="AW79" s="152"/>
    </row>
    <row r="80" spans="1:49">
      <c r="A80" s="224">
        <f t="shared" si="11"/>
        <v>0.32000000000000017</v>
      </c>
      <c r="C80" s="147">
        <f t="shared" si="17"/>
        <v>10</v>
      </c>
      <c r="D80" s="157">
        <v>43374</v>
      </c>
      <c r="E80" s="168">
        <v>18758</v>
      </c>
      <c r="F80" s="168">
        <v>183704</v>
      </c>
      <c r="G80" s="168">
        <v>0.1021</v>
      </c>
      <c r="H80" s="168">
        <v>27910</v>
      </c>
      <c r="I80" s="168">
        <v>312310</v>
      </c>
      <c r="J80" s="168">
        <v>8.9399999999999993E-2</v>
      </c>
      <c r="K80" s="169">
        <v>8144</v>
      </c>
      <c r="L80" s="169">
        <v>131416</v>
      </c>
      <c r="M80" s="169">
        <v>16315</v>
      </c>
      <c r="N80" s="169">
        <v>219235</v>
      </c>
      <c r="O80" s="168">
        <v>7714</v>
      </c>
      <c r="P80" s="168">
        <v>137535</v>
      </c>
      <c r="Q80" s="168">
        <v>5.6099999999999997E-2</v>
      </c>
      <c r="R80" s="168">
        <v>10675</v>
      </c>
      <c r="S80" s="168">
        <v>116244</v>
      </c>
      <c r="T80" s="168">
        <v>9.1800000000000007E-2</v>
      </c>
      <c r="U80" s="168">
        <v>771</v>
      </c>
      <c r="V80" s="168">
        <v>106335</v>
      </c>
      <c r="W80" s="168">
        <v>7.3000000000000001E-3</v>
      </c>
      <c r="X80" s="168">
        <v>17117</v>
      </c>
      <c r="Y80" s="168">
        <v>174921</v>
      </c>
      <c r="Z80" s="168">
        <v>9.7900000000000001E-2</v>
      </c>
      <c r="AA80" s="168">
        <v>10093</v>
      </c>
      <c r="AB80" s="168">
        <v>94948</v>
      </c>
      <c r="AC80" s="168">
        <v>0.10630000000000001</v>
      </c>
      <c r="AD80" s="168">
        <v>5418</v>
      </c>
      <c r="AE80" s="168">
        <v>96868</v>
      </c>
      <c r="AF80" s="168">
        <v>5.5899999999999998E-2</v>
      </c>
      <c r="AG80" s="168">
        <v>20600</v>
      </c>
      <c r="AH80" s="168">
        <v>100953</v>
      </c>
      <c r="AI80" s="168">
        <v>0.2041</v>
      </c>
      <c r="AJ80" s="169">
        <v>304</v>
      </c>
      <c r="AK80" s="156"/>
      <c r="AL80" s="169">
        <v>3890</v>
      </c>
      <c r="AM80" s="168">
        <v>36900</v>
      </c>
      <c r="AN80" s="168">
        <v>1710</v>
      </c>
      <c r="AO80" s="168">
        <v>462</v>
      </c>
      <c r="AP80" s="168">
        <v>2460</v>
      </c>
      <c r="AQ80" s="168">
        <v>1100</v>
      </c>
      <c r="AR80" s="168">
        <v>1180</v>
      </c>
      <c r="AS80" s="168">
        <v>9411</v>
      </c>
      <c r="AT80" s="168">
        <v>1875402</v>
      </c>
      <c r="AU80" s="168">
        <v>1.44E-2</v>
      </c>
      <c r="AV80" s="156"/>
      <c r="AW80" s="156"/>
    </row>
    <row r="81" spans="1:49">
      <c r="A81" s="224">
        <f t="shared" si="11"/>
        <v>0.32500000000000018</v>
      </c>
      <c r="C81" s="147">
        <f t="shared" si="17"/>
        <v>10</v>
      </c>
      <c r="D81" s="157">
        <v>43739</v>
      </c>
      <c r="E81" s="168">
        <v>15239</v>
      </c>
      <c r="F81" s="168">
        <v>166456</v>
      </c>
      <c r="G81" s="168">
        <v>9.1499999999999998E-2</v>
      </c>
      <c r="H81" s="168">
        <v>19487</v>
      </c>
      <c r="I81" s="168">
        <v>289303</v>
      </c>
      <c r="J81" s="168">
        <v>6.7400000000000002E-2</v>
      </c>
      <c r="K81" s="169">
        <v>10179</v>
      </c>
      <c r="L81" s="169">
        <v>126144</v>
      </c>
      <c r="M81" s="169">
        <v>16176</v>
      </c>
      <c r="N81" s="169">
        <v>215997</v>
      </c>
      <c r="O81" s="168">
        <v>6867</v>
      </c>
      <c r="P81" s="168">
        <v>125949</v>
      </c>
      <c r="Q81" s="168">
        <v>5.45E-2</v>
      </c>
      <c r="R81" s="168">
        <v>9397</v>
      </c>
      <c r="S81" s="168">
        <v>118594</v>
      </c>
      <c r="T81" s="168">
        <v>7.9200000000000007E-2</v>
      </c>
      <c r="U81" s="168">
        <v>940</v>
      </c>
      <c r="V81" s="168">
        <v>129645</v>
      </c>
      <c r="W81" s="168">
        <v>7.3000000000000001E-3</v>
      </c>
      <c r="X81" s="168">
        <v>11629</v>
      </c>
      <c r="Y81" s="168">
        <v>158314</v>
      </c>
      <c r="Z81" s="168">
        <v>7.3499999999999996E-2</v>
      </c>
      <c r="AA81" s="168">
        <v>8638</v>
      </c>
      <c r="AB81" s="168">
        <v>97439</v>
      </c>
      <c r="AC81" s="168">
        <v>8.8700000000000001E-2</v>
      </c>
      <c r="AD81" s="168">
        <v>4201</v>
      </c>
      <c r="AE81" s="168">
        <v>107942</v>
      </c>
      <c r="AF81" s="168">
        <v>3.8899999999999997E-2</v>
      </c>
      <c r="AG81" s="168">
        <v>4603</v>
      </c>
      <c r="AH81" s="168">
        <v>126222</v>
      </c>
      <c r="AI81" s="168">
        <v>3.6499999999999998E-2</v>
      </c>
      <c r="AJ81" s="169">
        <v>248</v>
      </c>
      <c r="AK81" s="156"/>
      <c r="AL81" s="169">
        <v>4979</v>
      </c>
      <c r="AM81" s="168">
        <v>62400</v>
      </c>
      <c r="AN81" s="168">
        <v>1780</v>
      </c>
      <c r="AO81" s="168">
        <v>451</v>
      </c>
      <c r="AP81" s="168">
        <v>2540</v>
      </c>
      <c r="AQ81" s="168">
        <v>570</v>
      </c>
      <c r="AR81" s="168">
        <v>910</v>
      </c>
      <c r="AS81" s="168">
        <v>19964</v>
      </c>
      <c r="AT81" s="168">
        <v>1863204</v>
      </c>
      <c r="AU81" s="168">
        <v>2.3400000000000001E-2</v>
      </c>
      <c r="AV81" s="156"/>
      <c r="AW81" s="156"/>
    </row>
    <row r="82" spans="1:49">
      <c r="A82" s="224">
        <f t="shared" ref="A82:A145" si="18">0.005+A81</f>
        <v>0.33000000000000018</v>
      </c>
      <c r="C82" s="147">
        <f t="shared" si="17"/>
        <v>10</v>
      </c>
      <c r="D82" s="157">
        <v>44105</v>
      </c>
      <c r="E82" s="168">
        <v>9652</v>
      </c>
      <c r="F82" s="168">
        <v>99757</v>
      </c>
      <c r="G82" s="168">
        <v>9.6799999999999997E-2</v>
      </c>
      <c r="H82" s="168">
        <v>19502</v>
      </c>
      <c r="I82" s="168">
        <v>219730</v>
      </c>
      <c r="J82" s="168">
        <v>8.8800000000000004E-2</v>
      </c>
      <c r="K82" s="169">
        <v>9974</v>
      </c>
      <c r="L82" s="169">
        <v>94933</v>
      </c>
      <c r="M82" s="169">
        <v>11970</v>
      </c>
      <c r="N82" s="169">
        <v>173044</v>
      </c>
      <c r="O82" s="168">
        <v>1750</v>
      </c>
      <c r="P82" s="168">
        <v>76026</v>
      </c>
      <c r="Q82" s="168">
        <v>2.3E-2</v>
      </c>
      <c r="R82" s="168">
        <v>8006</v>
      </c>
      <c r="S82" s="168">
        <v>97537</v>
      </c>
      <c r="T82" s="168">
        <v>8.2100000000000006E-2</v>
      </c>
      <c r="U82" s="168">
        <v>294</v>
      </c>
      <c r="V82" s="168">
        <v>93916</v>
      </c>
      <c r="W82" s="168">
        <v>3.0999999999999999E-3</v>
      </c>
      <c r="X82" s="168">
        <v>10105</v>
      </c>
      <c r="Y82" s="168">
        <v>111262</v>
      </c>
      <c r="Z82" s="168">
        <v>9.0800000000000006E-2</v>
      </c>
      <c r="AA82" s="168">
        <v>6075</v>
      </c>
      <c r="AB82" s="168">
        <v>81103</v>
      </c>
      <c r="AC82" s="168">
        <v>7.4899999999999994E-2</v>
      </c>
      <c r="AD82" s="168">
        <v>6318</v>
      </c>
      <c r="AE82" s="168">
        <v>81797</v>
      </c>
      <c r="AF82" s="168">
        <v>7.7200000000000005E-2</v>
      </c>
      <c r="AG82" s="168">
        <v>6615</v>
      </c>
      <c r="AH82" s="168">
        <v>98751</v>
      </c>
      <c r="AI82" s="168">
        <v>6.7000000000000004E-2</v>
      </c>
      <c r="AJ82" s="169">
        <v>363</v>
      </c>
      <c r="AK82" s="156"/>
      <c r="AL82" s="169">
        <v>4334</v>
      </c>
      <c r="AM82" s="168">
        <v>25800</v>
      </c>
      <c r="AN82" s="168">
        <v>1090</v>
      </c>
      <c r="AO82" s="168">
        <v>411</v>
      </c>
      <c r="AP82" s="168">
        <v>1460</v>
      </c>
      <c r="AQ82" s="168">
        <v>330</v>
      </c>
      <c r="AR82" s="168">
        <v>690</v>
      </c>
      <c r="AS82" s="168">
        <v>3652</v>
      </c>
      <c r="AT82" s="168">
        <v>1356248</v>
      </c>
      <c r="AU82" s="168">
        <v>-3.1399999999999997E-2</v>
      </c>
      <c r="AV82" s="156"/>
      <c r="AW82" s="156"/>
    </row>
    <row r="83" spans="1:49">
      <c r="A83" s="224">
        <f t="shared" si="18"/>
        <v>0.33500000000000019</v>
      </c>
      <c r="C83" s="147">
        <f t="shared" si="17"/>
        <v>10</v>
      </c>
      <c r="D83" s="157">
        <v>44470</v>
      </c>
      <c r="E83" s="168">
        <v>10935</v>
      </c>
      <c r="F83" s="168">
        <v>126037</v>
      </c>
      <c r="G83" s="168">
        <v>8.6800000000000002E-2</v>
      </c>
      <c r="H83" s="168">
        <v>16209</v>
      </c>
      <c r="I83" s="168">
        <v>232112</v>
      </c>
      <c r="J83" s="168">
        <v>6.9800000000000001E-2</v>
      </c>
      <c r="K83" s="169">
        <v>10898</v>
      </c>
      <c r="L83" s="169">
        <v>109575</v>
      </c>
      <c r="M83" s="169">
        <v>11816</v>
      </c>
      <c r="N83" s="169">
        <v>171866</v>
      </c>
      <c r="O83" s="168">
        <v>5630</v>
      </c>
      <c r="P83" s="168">
        <v>76634</v>
      </c>
      <c r="Q83" s="168">
        <v>7.3499999999999996E-2</v>
      </c>
      <c r="R83" s="168">
        <v>9101</v>
      </c>
      <c r="S83" s="168">
        <v>102279</v>
      </c>
      <c r="T83" s="168">
        <v>8.8999999999999996E-2</v>
      </c>
      <c r="U83" s="168">
        <v>781</v>
      </c>
      <c r="V83" s="168">
        <v>92796</v>
      </c>
      <c r="W83" s="168">
        <v>8.3999999999999995E-3</v>
      </c>
      <c r="X83" s="168">
        <v>10370</v>
      </c>
      <c r="Y83" s="168">
        <v>131293</v>
      </c>
      <c r="Z83" s="168">
        <v>7.9000000000000001E-2</v>
      </c>
      <c r="AA83" s="168">
        <v>5958</v>
      </c>
      <c r="AB83" s="168">
        <v>85443</v>
      </c>
      <c r="AC83" s="168">
        <v>6.9699999999999998E-2</v>
      </c>
      <c r="AD83" s="168">
        <v>4692</v>
      </c>
      <c r="AE83" s="168">
        <v>82197</v>
      </c>
      <c r="AF83" s="168">
        <v>5.7099999999999998E-2</v>
      </c>
      <c r="AG83" s="168">
        <v>3618</v>
      </c>
      <c r="AH83" s="168">
        <v>86395</v>
      </c>
      <c r="AI83" s="168">
        <v>4.19E-2</v>
      </c>
      <c r="AJ83" s="169">
        <v>470</v>
      </c>
      <c r="AK83" s="156"/>
      <c r="AL83" s="169">
        <v>6779</v>
      </c>
      <c r="AM83" s="168">
        <v>26400</v>
      </c>
      <c r="AN83" s="168">
        <v>970</v>
      </c>
      <c r="AO83" s="168">
        <v>372</v>
      </c>
      <c r="AP83" s="168">
        <v>720</v>
      </c>
      <c r="AQ83" s="168">
        <v>420</v>
      </c>
      <c r="AR83" s="168">
        <v>710</v>
      </c>
      <c r="AS83" s="168">
        <v>2237</v>
      </c>
      <c r="AT83" s="168">
        <v>1425714</v>
      </c>
      <c r="AU83" s="168">
        <v>-8.5000000000000006E-3</v>
      </c>
      <c r="AV83" s="156"/>
      <c r="AW83" s="156"/>
    </row>
    <row r="84" spans="1:49">
      <c r="A84" s="224">
        <f t="shared" si="18"/>
        <v>0.34000000000000019</v>
      </c>
      <c r="C84" s="147">
        <f t="shared" si="17"/>
        <v>10</v>
      </c>
      <c r="D84" s="170">
        <v>44835</v>
      </c>
      <c r="E84" s="168">
        <v>10766</v>
      </c>
      <c r="F84" s="168">
        <v>131701</v>
      </c>
      <c r="G84" s="168">
        <v>8.1699999999999995E-2</v>
      </c>
      <c r="H84" s="168">
        <v>15620</v>
      </c>
      <c r="I84" s="168">
        <v>225284</v>
      </c>
      <c r="J84" s="168">
        <v>6.93E-2</v>
      </c>
      <c r="K84" s="169">
        <v>9016</v>
      </c>
      <c r="L84" s="169">
        <v>93380</v>
      </c>
      <c r="M84" s="169">
        <v>11832</v>
      </c>
      <c r="N84" s="169">
        <v>171778</v>
      </c>
      <c r="O84" s="168">
        <v>7106</v>
      </c>
      <c r="P84" s="168">
        <v>106232</v>
      </c>
      <c r="Q84" s="168">
        <v>6.6900000000000001E-2</v>
      </c>
      <c r="R84" s="168">
        <v>9289</v>
      </c>
      <c r="S84" s="168">
        <v>110922</v>
      </c>
      <c r="T84" s="168">
        <v>8.3699999999999997E-2</v>
      </c>
      <c r="U84" s="168">
        <v>311</v>
      </c>
      <c r="V84" s="168">
        <v>91970</v>
      </c>
      <c r="W84" s="168">
        <v>3.3999999999999998E-3</v>
      </c>
      <c r="X84" s="168">
        <v>7346</v>
      </c>
      <c r="Y84" s="168">
        <v>77400</v>
      </c>
      <c r="Z84" s="168">
        <v>9.4899999999999998E-2</v>
      </c>
      <c r="AA84" s="168">
        <v>5771</v>
      </c>
      <c r="AB84" s="168">
        <v>81195</v>
      </c>
      <c r="AC84" s="168">
        <v>7.1099999999999997E-2</v>
      </c>
      <c r="AD84" s="168">
        <v>2037</v>
      </c>
      <c r="AE84" s="168">
        <v>71778</v>
      </c>
      <c r="AF84" s="168">
        <v>2.8400000000000002E-2</v>
      </c>
      <c r="AG84" s="168">
        <v>2842</v>
      </c>
      <c r="AH84" s="168">
        <v>58424</v>
      </c>
      <c r="AI84" s="168">
        <v>4.8599999999999997E-2</v>
      </c>
      <c r="AJ84" s="156"/>
      <c r="AK84" s="156"/>
      <c r="AL84" s="156"/>
      <c r="AM84" s="168">
        <v>28500</v>
      </c>
      <c r="AN84" s="168">
        <v>2180</v>
      </c>
      <c r="AO84" s="168">
        <v>141300</v>
      </c>
      <c r="AP84" s="168">
        <v>1320</v>
      </c>
      <c r="AQ84" s="168">
        <v>390</v>
      </c>
      <c r="AR84" s="168">
        <v>620</v>
      </c>
      <c r="AS84" s="168">
        <v>2131</v>
      </c>
      <c r="AT84" s="168">
        <v>1478442</v>
      </c>
      <c r="AU84" s="168">
        <v>0.18090000000000001</v>
      </c>
      <c r="AV84" s="156"/>
      <c r="AW84" s="156"/>
    </row>
    <row r="85" spans="1:49">
      <c r="A85" s="224">
        <f t="shared" si="18"/>
        <v>0.3450000000000002</v>
      </c>
      <c r="C85" s="147">
        <f t="shared" si="17"/>
        <v>10</v>
      </c>
      <c r="D85" s="170">
        <v>45200</v>
      </c>
      <c r="E85" s="168">
        <v>12639</v>
      </c>
      <c r="F85" s="168">
        <v>152280</v>
      </c>
      <c r="G85" s="168">
        <v>8.3000000000000004E-2</v>
      </c>
      <c r="H85" s="168">
        <v>16555</v>
      </c>
      <c r="I85" s="168">
        <v>254462</v>
      </c>
      <c r="J85" s="168">
        <v>6.5100000000000005E-2</v>
      </c>
      <c r="K85" s="156"/>
      <c r="L85" s="156"/>
      <c r="M85" s="169">
        <v>17763</v>
      </c>
      <c r="N85" s="169">
        <v>196101</v>
      </c>
      <c r="O85" s="168">
        <v>12068</v>
      </c>
      <c r="P85" s="168">
        <v>136423</v>
      </c>
      <c r="Q85" s="168">
        <v>8.8499999999999995E-2</v>
      </c>
      <c r="R85" s="168">
        <v>10833</v>
      </c>
      <c r="S85" s="168">
        <v>124650</v>
      </c>
      <c r="T85" s="168">
        <v>8.6900000000000005E-2</v>
      </c>
      <c r="U85" s="168">
        <v>804</v>
      </c>
      <c r="V85" s="168">
        <v>98397</v>
      </c>
      <c r="W85" s="168">
        <v>8.2000000000000007E-3</v>
      </c>
      <c r="X85" s="168">
        <v>13846</v>
      </c>
      <c r="Y85" s="168">
        <v>149062</v>
      </c>
      <c r="Z85" s="168">
        <v>9.2899999999999996E-2</v>
      </c>
      <c r="AA85" s="168">
        <v>8973</v>
      </c>
      <c r="AB85" s="168">
        <v>92438</v>
      </c>
      <c r="AC85" s="168">
        <v>9.7100000000000006E-2</v>
      </c>
      <c r="AD85" s="168">
        <v>2816</v>
      </c>
      <c r="AE85" s="168">
        <v>96382</v>
      </c>
      <c r="AF85" s="168">
        <v>2.92E-2</v>
      </c>
      <c r="AG85" s="168">
        <v>2604</v>
      </c>
      <c r="AH85" s="168">
        <v>58091</v>
      </c>
      <c r="AI85" s="168">
        <v>4.48E-2</v>
      </c>
      <c r="AJ85" s="169">
        <v>0</v>
      </c>
      <c r="AK85" s="156"/>
      <c r="AL85" s="156"/>
      <c r="AM85" s="168">
        <v>38700</v>
      </c>
      <c r="AN85" s="168">
        <v>2880</v>
      </c>
      <c r="AO85" s="168">
        <v>624</v>
      </c>
      <c r="AP85" s="168">
        <v>1530</v>
      </c>
      <c r="AQ85" s="168">
        <v>830</v>
      </c>
      <c r="AR85" s="168">
        <v>600</v>
      </c>
      <c r="AS85" s="168">
        <v>3673</v>
      </c>
      <c r="AT85" s="168">
        <v>1506025</v>
      </c>
      <c r="AU85" s="156"/>
      <c r="AV85" s="156"/>
      <c r="AW85" s="156"/>
    </row>
    <row r="86" spans="1:49">
      <c r="A86" s="224">
        <f t="shared" si="18"/>
        <v>0.3500000000000002</v>
      </c>
      <c r="C86" s="147">
        <f t="shared" si="17"/>
        <v>10</v>
      </c>
      <c r="D86" s="170">
        <v>45566</v>
      </c>
      <c r="E86" s="156"/>
      <c r="F86" s="156"/>
      <c r="G86" s="172" t="e">
        <v>#DIV/0!</v>
      </c>
      <c r="H86" s="156"/>
      <c r="I86" s="156"/>
      <c r="J86" s="172" t="e">
        <v>#DIV/0!</v>
      </c>
      <c r="K86" s="156"/>
      <c r="L86" s="156"/>
      <c r="M86" s="156"/>
      <c r="N86" s="156"/>
      <c r="O86" s="156"/>
      <c r="P86" s="156"/>
      <c r="Q86" s="172" t="e">
        <v>#DIV/0!</v>
      </c>
      <c r="R86" s="156"/>
      <c r="S86" s="156"/>
      <c r="T86" s="172" t="e">
        <v>#DIV/0!</v>
      </c>
      <c r="U86" s="156"/>
      <c r="V86" s="156"/>
      <c r="W86" s="156"/>
      <c r="X86" s="156"/>
      <c r="Y86" s="156"/>
      <c r="Z86" s="172" t="e">
        <v>#DIV/0!</v>
      </c>
      <c r="AA86" s="156"/>
      <c r="AB86" s="156"/>
      <c r="AC86" s="172" t="e">
        <v>#DIV/0!</v>
      </c>
      <c r="AD86" s="156"/>
      <c r="AE86" s="156"/>
      <c r="AF86" s="172" t="e">
        <v>#DIV/0!</v>
      </c>
      <c r="AG86" s="156"/>
      <c r="AH86" s="156"/>
      <c r="AI86" s="172" t="e">
        <v>#DIV/0!</v>
      </c>
      <c r="AJ86" s="156"/>
      <c r="AK86" s="156"/>
      <c r="AL86" s="156"/>
      <c r="AM86" s="156"/>
      <c r="AN86" s="156"/>
      <c r="AO86" s="156"/>
      <c r="AP86" s="156"/>
      <c r="AQ86" s="156"/>
      <c r="AR86" s="156"/>
      <c r="AS86" s="156"/>
      <c r="AT86" s="156"/>
      <c r="AU86" s="156"/>
      <c r="AV86" s="156"/>
      <c r="AW86" s="156"/>
    </row>
    <row r="87" spans="1:49">
      <c r="A87" s="224">
        <f t="shared" si="18"/>
        <v>0.3550000000000002</v>
      </c>
      <c r="C87" s="147">
        <f t="shared" si="17"/>
        <v>10</v>
      </c>
      <c r="D87" s="170">
        <v>45931</v>
      </c>
      <c r="E87" s="167">
        <f>_xlfn.FORECAST.ETS(DATE(2025,1,1),E$80:E$86,$D$80:$D$86,1,1)+_xlfn.FORECAST.ETS.CONFINT(DATE(2025,1,1),E$80:E$86,$D$80:$D$86,$C$1,1)</f>
        <v>11550.723246272331</v>
      </c>
      <c r="F87" s="167">
        <f>_xlfn.FORECAST.ETS(DATE(2025,1,1),F$80:F$86,$D$80:$D$86,1,1)+_xlfn.FORECAST.ETS.CONFINT(DATE(2025,1,1),F$80:F$86,$D$80:$D$86,$C$1,1)</f>
        <v>148646.06995851418</v>
      </c>
      <c r="G87" s="158">
        <f>E87/F87</f>
        <v>7.7706213487487671E-2</v>
      </c>
      <c r="H87" s="167">
        <f>_xlfn.FORECAST.ETS(DATE(2025,1,1),H$80:H$86,$D$80:$D$86,1,1)+_xlfn.FORECAST.ETS.CONFINT(DATE(2025,1,1),H$80:H$86,$D$80:$D$86,$B$5,1)</f>
        <v>18538.166157246676</v>
      </c>
      <c r="I87" s="167">
        <f>_xlfn.FORECAST.ETS(DATE(2025,1,1),I$80:I$86,$D$80:$D$86,1,1)+_xlfn.FORECAST.ETS.CONFINT(DATE(2025,1,1),I$80:I$86,$D$80:$D$86,$B$5,1)</f>
        <v>280176.26709741453</v>
      </c>
      <c r="J87" s="158">
        <f>H87/I87</f>
        <v>6.6166083049429517E-2</v>
      </c>
      <c r="K87" s="171"/>
      <c r="L87" s="171"/>
      <c r="M87" s="171"/>
      <c r="N87" s="171"/>
      <c r="O87" s="167">
        <f>_xlfn.FORECAST.ETS(DATE(2025,1,1),O$80:O$86,$D$80:$D$86,1,1)+_xlfn.FORECAST.ETS.CONFINT(DATE(2025,1,1),O$80:O$86,$D$80:$D$86,$B$6,1)</f>
        <v>16966.93605391054</v>
      </c>
      <c r="P87" s="167">
        <f>_xlfn.FORECAST.ETS(DATE(2025,1,1),P$80:P$86,$D$80:$D$86,1,1)+_xlfn.FORECAST.ETS.CONFINT(DATE(2025,1,1),P$80:P$86,$D$80:$D$86,$B$6,1)</f>
        <v>167946.47162729147</v>
      </c>
      <c r="Q87" s="158">
        <f>O87/P87</f>
        <v>0.10102585597370416</v>
      </c>
      <c r="R87" s="167">
        <f>_xlfn.FORECAST.ETS(DATE(2025,1,1),R$80:R$86,$D$80:$D$86,1,1)+_xlfn.FORECAST.ETS.CONFINT(DATE(2025,1,1),R$80:R$86,$D$80:$D$86,$B$7,1)</f>
        <v>12242.929583332172</v>
      </c>
      <c r="S87" s="167">
        <f>_xlfn.FORECAST.ETS(DATE(2025,1,1),S$80:S$86,$D$80:$D$86,1,1)+_xlfn.FORECAST.ETS.CONFINT(DATE(2025,1,1),S$80:S$86,$D$80:$D$86,$B$7,1)</f>
        <v>135641.00553577242</v>
      </c>
      <c r="T87" s="158">
        <f>R87/S87</f>
        <v>9.0259796696238445E-2</v>
      </c>
      <c r="U87" s="167">
        <f>_xlfn.FORECAST.ETS(DATE(2025,1,1),U$80:U$86,$D$80:$D$86,1,1)+_xlfn.FORECAST.ETS.CONFINT(DATE(2025,1,1),U$80:U$86,$D$80:$D$86,$B$8,1)</f>
        <v>625.05924374664983</v>
      </c>
      <c r="V87" s="167">
        <f>_xlfn.FORECAST.ETS(DATE(2025,1,1),V$80:V$86,$D$80:$D$86,1,1)+_xlfn.FORECAST.ETS.CONFINT(DATE(2025,1,1),V$80:V$86,$D$80:$D$86,$B$8,1)</f>
        <v>92538.885349712233</v>
      </c>
      <c r="W87" s="158">
        <f>U87/V87</f>
        <v>6.7545577341298025E-3</v>
      </c>
      <c r="X87" s="167">
        <f>_xlfn.FORECAST.ETS(DATE(2025,1,1),X$80:X$86,$D$80:$D$86,1,1)+_xlfn.FORECAST.ETS.CONFINT(DATE(2025,1,1),X$80:X$86,$D$80:$D$86,$B$9,1)</f>
        <v>19978.537707704505</v>
      </c>
      <c r="Y87" s="167">
        <f>_xlfn.FORECAST.ETS(DATE(2025,1,1),Y$80:Y$86,$D$80:$D$86,1,1)+_xlfn.FORECAST.ETS.CONFINT(DATE(2025,1,1),Y$80:Y$86,$D$80:$D$86,$B$9,1)</f>
        <v>153921.9393585276</v>
      </c>
      <c r="Z87" s="158">
        <f>X87/Y87</f>
        <v>0.12979655655954839</v>
      </c>
      <c r="AA87" s="167">
        <f>_xlfn.FORECAST.ETS(DATE(2025,1,1),AA$80:AA$86,$D$80:$D$86,1,1)+_xlfn.FORECAST.ETS.CONFINT(DATE(2025,1,1),AA$80:AA$86,$D$80:$D$86,$B$10,1)</f>
        <v>10336.187129739605</v>
      </c>
      <c r="AB87" s="167">
        <f>_xlfn.FORECAST.ETS(DATE(2025,1,1),AB$80:AB$86,$D$80:$D$86,1,1)+_xlfn.FORECAST.ETS.CONFINT(DATE(2025,1,1),AB$80:AB$86,$D$80:$D$86,$B$10,1)</f>
        <v>92756.25376606088</v>
      </c>
      <c r="AC87" s="158">
        <f>AA87/AB87</f>
        <v>0.11143385712631672</v>
      </c>
      <c r="AD87" s="167">
        <f>_xlfn.FORECAST.ETS(DATE(2025,1,1),AD$80:AD$86,$D$80:$D$86,1,1)+_xlfn.FORECAST.ETS.CONFINT(DATE(2025,1,1),AD$80:AD$86,$D$80:$D$86,$B$11,1)</f>
        <v>3500.3732274878876</v>
      </c>
      <c r="AE87" s="167">
        <f>_xlfn.FORECAST.ETS(DATE(2025,1,1),AE$80:AE$86,$D$80:$D$86,1,1)+_xlfn.FORECAST.ETS.CONFINT(DATE(2025,1,1),AE$80:AE$86,$D$80:$D$86,$B$11,1)</f>
        <v>88104.651819244929</v>
      </c>
      <c r="AF87" s="158">
        <f>AD87/AE87</f>
        <v>3.9729720908144965E-2</v>
      </c>
      <c r="AG87" s="167">
        <f>_xlfn.FORECAST.ETS(DATE(2025,1,1),AG$80:AG$86,$D$80:$D$86,1,1)+_xlfn.FORECAST.ETS.CONFINT(DATE(2025,1,1),AG$80:AG$86,$D$80:$D$86,$B$12,1)</f>
        <v>4270.3363135497011</v>
      </c>
      <c r="AH87" s="167">
        <f>_xlfn.FORECAST.ETS(DATE(2025,1,1),AH$80:AH$86,$D$80:$D$86,1,1)+_xlfn.FORECAST.ETS.CONFINT(DATE(2025,1,1),AH$80:AH$86,$D$80:$D$86,$B$12,1)</f>
        <v>34264.443774030588</v>
      </c>
      <c r="AI87" s="158">
        <f>AG87/AH87</f>
        <v>0.12462879426007895</v>
      </c>
      <c r="AJ87" s="171"/>
      <c r="AK87" s="171"/>
      <c r="AL87" s="171"/>
      <c r="AM87" s="171"/>
      <c r="AN87" s="171"/>
      <c r="AO87" s="171"/>
      <c r="AP87" s="171"/>
      <c r="AQ87" s="171"/>
      <c r="AR87" s="171"/>
      <c r="AS87" s="171"/>
      <c r="AT87" s="171"/>
      <c r="AU87" s="156"/>
      <c r="AV87" s="171"/>
      <c r="AW87" s="171"/>
    </row>
    <row r="88" spans="1:49">
      <c r="A88" s="224">
        <f t="shared" si="18"/>
        <v>0.36000000000000021</v>
      </c>
      <c r="C88" s="147">
        <f t="shared" si="17"/>
        <v>11</v>
      </c>
      <c r="D88" s="157">
        <v>43405</v>
      </c>
      <c r="E88" s="158">
        <v>15960</v>
      </c>
      <c r="F88" s="158">
        <v>164394</v>
      </c>
      <c r="G88" s="158">
        <v>9.7100000000000006E-2</v>
      </c>
      <c r="H88" s="158">
        <v>21618</v>
      </c>
      <c r="I88" s="158">
        <v>287458</v>
      </c>
      <c r="J88" s="158">
        <v>7.5200000000000003E-2</v>
      </c>
      <c r="K88" s="159">
        <v>6264</v>
      </c>
      <c r="L88" s="159">
        <v>115128</v>
      </c>
      <c r="M88" s="159">
        <v>12253</v>
      </c>
      <c r="N88" s="159">
        <v>207404</v>
      </c>
      <c r="O88" s="158">
        <v>5817</v>
      </c>
      <c r="P88" s="158">
        <v>119325</v>
      </c>
      <c r="Q88" s="158">
        <v>4.87E-2</v>
      </c>
      <c r="R88" s="158">
        <v>8489</v>
      </c>
      <c r="S88" s="158">
        <v>108601</v>
      </c>
      <c r="T88" s="158">
        <v>7.8200000000000006E-2</v>
      </c>
      <c r="U88" s="158">
        <v>316</v>
      </c>
      <c r="V88" s="158">
        <v>92271</v>
      </c>
      <c r="W88" s="158">
        <v>3.3999999999999998E-3</v>
      </c>
      <c r="X88" s="158">
        <v>14395</v>
      </c>
      <c r="Y88" s="158">
        <v>159493</v>
      </c>
      <c r="Z88" s="158">
        <v>9.0300000000000005E-2</v>
      </c>
      <c r="AA88" s="158">
        <v>9939</v>
      </c>
      <c r="AB88" s="158">
        <v>100600</v>
      </c>
      <c r="AC88" s="158">
        <v>9.8799999999999999E-2</v>
      </c>
      <c r="AD88" s="158">
        <v>6030</v>
      </c>
      <c r="AE88" s="158">
        <v>105640</v>
      </c>
      <c r="AF88" s="158">
        <v>5.7099999999999998E-2</v>
      </c>
      <c r="AG88" s="158">
        <v>5094</v>
      </c>
      <c r="AH88" s="158">
        <v>100987</v>
      </c>
      <c r="AI88" s="158">
        <v>5.04E-2</v>
      </c>
      <c r="AJ88" s="159">
        <v>169</v>
      </c>
      <c r="AK88" s="160"/>
      <c r="AL88" s="159">
        <v>2920</v>
      </c>
      <c r="AM88" s="158">
        <v>33000</v>
      </c>
      <c r="AN88" s="158">
        <v>1180</v>
      </c>
      <c r="AO88" s="158">
        <v>385</v>
      </c>
      <c r="AP88" s="158">
        <v>1970</v>
      </c>
      <c r="AQ88" s="158">
        <v>810</v>
      </c>
      <c r="AR88" s="158">
        <v>990</v>
      </c>
      <c r="AS88" s="158">
        <v>7009</v>
      </c>
      <c r="AT88" s="158">
        <v>1715910</v>
      </c>
      <c r="AU88" s="158">
        <v>-8.5000000000000006E-2</v>
      </c>
      <c r="AV88" s="160"/>
      <c r="AW88" s="160"/>
    </row>
    <row r="89" spans="1:49">
      <c r="A89" s="224">
        <f t="shared" si="18"/>
        <v>0.36500000000000021</v>
      </c>
      <c r="C89" s="147">
        <f t="shared" si="17"/>
        <v>11</v>
      </c>
      <c r="D89" s="157">
        <v>43770</v>
      </c>
      <c r="E89" s="158">
        <v>13651</v>
      </c>
      <c r="F89" s="158">
        <v>135657</v>
      </c>
      <c r="G89" s="158">
        <v>0.10059999999999999</v>
      </c>
      <c r="H89" s="158">
        <v>23406</v>
      </c>
      <c r="I89" s="158">
        <v>258357</v>
      </c>
      <c r="J89" s="158">
        <v>9.06E-2</v>
      </c>
      <c r="K89" s="159">
        <v>10349</v>
      </c>
      <c r="L89" s="159">
        <v>125705</v>
      </c>
      <c r="M89" s="159">
        <v>15440</v>
      </c>
      <c r="N89" s="159">
        <v>212222</v>
      </c>
      <c r="O89" s="158">
        <v>6796</v>
      </c>
      <c r="P89" s="158">
        <v>124984</v>
      </c>
      <c r="Q89" s="158">
        <v>5.4399999999999997E-2</v>
      </c>
      <c r="R89" s="158">
        <v>8957</v>
      </c>
      <c r="S89" s="158">
        <v>105190</v>
      </c>
      <c r="T89" s="158">
        <v>8.5199999999999998E-2</v>
      </c>
      <c r="U89" s="158">
        <v>426</v>
      </c>
      <c r="V89" s="158">
        <v>106693</v>
      </c>
      <c r="W89" s="158">
        <v>4.0000000000000001E-3</v>
      </c>
      <c r="X89" s="158">
        <v>11532</v>
      </c>
      <c r="Y89" s="158">
        <v>129396</v>
      </c>
      <c r="Z89" s="158">
        <v>8.9099999999999999E-2</v>
      </c>
      <c r="AA89" s="158">
        <v>8910</v>
      </c>
      <c r="AB89" s="158">
        <v>91133</v>
      </c>
      <c r="AC89" s="158">
        <v>9.7799999999999998E-2</v>
      </c>
      <c r="AD89" s="158">
        <v>5950</v>
      </c>
      <c r="AE89" s="158">
        <v>105356</v>
      </c>
      <c r="AF89" s="158">
        <v>5.6500000000000002E-2</v>
      </c>
      <c r="AG89" s="158">
        <v>5575</v>
      </c>
      <c r="AH89" s="158">
        <v>111627</v>
      </c>
      <c r="AI89" s="158">
        <v>4.99E-2</v>
      </c>
      <c r="AJ89" s="159">
        <v>221</v>
      </c>
      <c r="AK89" s="160"/>
      <c r="AL89" s="159">
        <v>3768</v>
      </c>
      <c r="AM89" s="158">
        <v>36300</v>
      </c>
      <c r="AN89" s="158">
        <v>1120</v>
      </c>
      <c r="AO89" s="158">
        <v>383</v>
      </c>
      <c r="AP89" s="158">
        <v>1940</v>
      </c>
      <c r="AQ89" s="158">
        <v>490</v>
      </c>
      <c r="AR89" s="158">
        <v>760</v>
      </c>
      <c r="AS89" s="158">
        <v>8206</v>
      </c>
      <c r="AT89" s="158">
        <v>1670501</v>
      </c>
      <c r="AU89" s="158">
        <v>-0.10340000000000001</v>
      </c>
      <c r="AV89" s="160"/>
      <c r="AW89" s="160"/>
    </row>
    <row r="90" spans="1:49">
      <c r="A90" s="224">
        <f t="shared" si="18"/>
        <v>0.37000000000000022</v>
      </c>
      <c r="C90" s="147">
        <f t="shared" si="17"/>
        <v>11</v>
      </c>
      <c r="D90" s="157">
        <v>44136</v>
      </c>
      <c r="E90" s="158">
        <v>11715</v>
      </c>
      <c r="F90" s="158">
        <v>105987</v>
      </c>
      <c r="G90" s="158">
        <v>0.1105</v>
      </c>
      <c r="H90" s="158">
        <v>20345</v>
      </c>
      <c r="I90" s="158">
        <v>218431</v>
      </c>
      <c r="J90" s="158">
        <v>9.3100000000000002E-2</v>
      </c>
      <c r="K90" s="159">
        <v>12381</v>
      </c>
      <c r="L90" s="159">
        <v>103932</v>
      </c>
      <c r="M90" s="159">
        <v>14808</v>
      </c>
      <c r="N90" s="159">
        <v>183453</v>
      </c>
      <c r="O90" s="158">
        <v>6901</v>
      </c>
      <c r="P90" s="158">
        <v>85124</v>
      </c>
      <c r="Q90" s="158">
        <v>8.1100000000000005E-2</v>
      </c>
      <c r="R90" s="158">
        <v>9430</v>
      </c>
      <c r="S90" s="158">
        <v>96828</v>
      </c>
      <c r="T90" s="158">
        <v>9.74E-2</v>
      </c>
      <c r="U90" s="158">
        <v>473</v>
      </c>
      <c r="V90" s="158">
        <v>99856</v>
      </c>
      <c r="W90" s="158">
        <v>4.7000000000000002E-3</v>
      </c>
      <c r="X90" s="158">
        <v>11515</v>
      </c>
      <c r="Y90" s="158">
        <v>111048</v>
      </c>
      <c r="Z90" s="158">
        <v>0.1037</v>
      </c>
      <c r="AA90" s="158">
        <v>6303</v>
      </c>
      <c r="AB90" s="158">
        <v>83379</v>
      </c>
      <c r="AC90" s="158">
        <v>7.5600000000000001E-2</v>
      </c>
      <c r="AD90" s="158">
        <v>5467</v>
      </c>
      <c r="AE90" s="158">
        <v>80146</v>
      </c>
      <c r="AF90" s="158">
        <v>6.8199999999999997E-2</v>
      </c>
      <c r="AG90" s="158">
        <v>5030</v>
      </c>
      <c r="AH90" s="158">
        <v>100716</v>
      </c>
      <c r="AI90" s="158">
        <v>4.99E-2</v>
      </c>
      <c r="AJ90" s="159">
        <v>375</v>
      </c>
      <c r="AK90" s="160"/>
      <c r="AL90" s="159">
        <v>4625</v>
      </c>
      <c r="AM90" s="158">
        <v>26100</v>
      </c>
      <c r="AN90" s="158">
        <v>1110</v>
      </c>
      <c r="AO90" s="158">
        <v>100</v>
      </c>
      <c r="AP90" s="158">
        <v>1100</v>
      </c>
      <c r="AQ90" s="158">
        <v>270</v>
      </c>
      <c r="AR90" s="158">
        <v>650</v>
      </c>
      <c r="AS90" s="158">
        <v>3281</v>
      </c>
      <c r="AT90" s="158">
        <v>1410880</v>
      </c>
      <c r="AU90" s="158">
        <v>4.0300000000000002E-2</v>
      </c>
      <c r="AV90" s="160"/>
      <c r="AW90" s="160"/>
    </row>
    <row r="91" spans="1:49">
      <c r="A91" s="224">
        <f t="shared" si="18"/>
        <v>0.37500000000000022</v>
      </c>
      <c r="C91" s="147">
        <f t="shared" si="17"/>
        <v>11</v>
      </c>
      <c r="D91" s="157">
        <v>44501</v>
      </c>
      <c r="E91" s="158">
        <v>9412</v>
      </c>
      <c r="F91" s="158">
        <v>101339</v>
      </c>
      <c r="G91" s="158">
        <v>9.2899999999999996E-2</v>
      </c>
      <c r="H91" s="158">
        <v>18034</v>
      </c>
      <c r="I91" s="158">
        <v>222565</v>
      </c>
      <c r="J91" s="158">
        <v>8.1000000000000003E-2</v>
      </c>
      <c r="K91" s="159">
        <v>12586</v>
      </c>
      <c r="L91" s="159">
        <v>119065</v>
      </c>
      <c r="M91" s="159">
        <v>11556</v>
      </c>
      <c r="N91" s="159">
        <v>164445</v>
      </c>
      <c r="O91" s="158">
        <v>8891</v>
      </c>
      <c r="P91" s="158">
        <v>109471</v>
      </c>
      <c r="Q91" s="158">
        <v>8.1199999999999994E-2</v>
      </c>
      <c r="R91" s="158">
        <v>8823</v>
      </c>
      <c r="S91" s="158">
        <v>95115</v>
      </c>
      <c r="T91" s="158">
        <v>9.2799999999999994E-2</v>
      </c>
      <c r="U91" s="158">
        <v>413</v>
      </c>
      <c r="V91" s="158">
        <v>88707</v>
      </c>
      <c r="W91" s="158">
        <v>4.7000000000000002E-3</v>
      </c>
      <c r="X91" s="158">
        <v>12748</v>
      </c>
      <c r="Y91" s="158">
        <v>138370</v>
      </c>
      <c r="Z91" s="158">
        <v>9.2100000000000001E-2</v>
      </c>
      <c r="AA91" s="158">
        <v>5907</v>
      </c>
      <c r="AB91" s="158">
        <v>80749</v>
      </c>
      <c r="AC91" s="158">
        <v>7.3200000000000001E-2</v>
      </c>
      <c r="AD91" s="158">
        <v>4435</v>
      </c>
      <c r="AE91" s="158">
        <v>67331</v>
      </c>
      <c r="AF91" s="158">
        <v>6.59E-2</v>
      </c>
      <c r="AG91" s="158">
        <v>3762</v>
      </c>
      <c r="AH91" s="158">
        <v>80240</v>
      </c>
      <c r="AI91" s="158">
        <v>4.6899999999999997E-2</v>
      </c>
      <c r="AJ91" s="159">
        <v>394</v>
      </c>
      <c r="AK91" s="160"/>
      <c r="AL91" s="159">
        <v>4434</v>
      </c>
      <c r="AM91" s="158">
        <v>28200</v>
      </c>
      <c r="AN91" s="158">
        <v>1460</v>
      </c>
      <c r="AO91" s="158">
        <v>541</v>
      </c>
      <c r="AP91" s="158">
        <v>2540</v>
      </c>
      <c r="AQ91" s="158">
        <v>390</v>
      </c>
      <c r="AR91" s="158">
        <v>650</v>
      </c>
      <c r="AS91" s="158">
        <v>3757</v>
      </c>
      <c r="AT91" s="158">
        <v>1406331</v>
      </c>
      <c r="AU91" s="158">
        <v>-1.3599999999999999E-2</v>
      </c>
      <c r="AV91" s="160"/>
      <c r="AW91" s="160"/>
    </row>
    <row r="92" spans="1:49">
      <c r="A92" s="224">
        <f t="shared" si="18"/>
        <v>0.38000000000000023</v>
      </c>
      <c r="C92" s="147">
        <f t="shared" si="17"/>
        <v>11</v>
      </c>
      <c r="D92" s="166">
        <v>44866</v>
      </c>
      <c r="E92" s="158">
        <v>8227</v>
      </c>
      <c r="F92" s="158">
        <v>91718</v>
      </c>
      <c r="G92" s="158">
        <v>8.9700000000000002E-2</v>
      </c>
      <c r="H92" s="158">
        <v>16218</v>
      </c>
      <c r="I92" s="158">
        <v>198165</v>
      </c>
      <c r="J92" s="158">
        <v>8.1799999999999998E-2</v>
      </c>
      <c r="K92" s="160"/>
      <c r="L92" s="160"/>
      <c r="M92" s="159">
        <v>10316</v>
      </c>
      <c r="N92" s="159">
        <v>151251</v>
      </c>
      <c r="O92" s="158">
        <v>5987</v>
      </c>
      <c r="P92" s="158">
        <v>78930</v>
      </c>
      <c r="Q92" s="158">
        <v>7.5899999999999995E-2</v>
      </c>
      <c r="R92" s="158">
        <v>8685</v>
      </c>
      <c r="S92" s="158">
        <v>100966</v>
      </c>
      <c r="T92" s="158">
        <v>8.5999999999999993E-2</v>
      </c>
      <c r="U92" s="158">
        <v>158</v>
      </c>
      <c r="V92" s="158">
        <v>59136</v>
      </c>
      <c r="W92" s="158">
        <v>2.7000000000000001E-3</v>
      </c>
      <c r="X92" s="158">
        <v>7801</v>
      </c>
      <c r="Y92" s="158">
        <v>83409</v>
      </c>
      <c r="Z92" s="158">
        <v>9.35E-2</v>
      </c>
      <c r="AA92" s="158">
        <v>6174</v>
      </c>
      <c r="AB92" s="158">
        <v>74864</v>
      </c>
      <c r="AC92" s="158">
        <v>8.2500000000000004E-2</v>
      </c>
      <c r="AD92" s="158">
        <v>1912</v>
      </c>
      <c r="AE92" s="158">
        <v>56365</v>
      </c>
      <c r="AF92" s="158">
        <v>3.39E-2</v>
      </c>
      <c r="AG92" s="158">
        <v>3202</v>
      </c>
      <c r="AH92" s="158">
        <v>53238</v>
      </c>
      <c r="AI92" s="158">
        <v>6.0100000000000001E-2</v>
      </c>
      <c r="AJ92" s="160"/>
      <c r="AK92" s="160"/>
      <c r="AL92" s="160"/>
      <c r="AM92" s="158">
        <v>25800</v>
      </c>
      <c r="AN92" s="158">
        <v>2010</v>
      </c>
      <c r="AO92" s="158">
        <v>156900</v>
      </c>
      <c r="AP92" s="158">
        <v>1090</v>
      </c>
      <c r="AQ92" s="158">
        <v>260</v>
      </c>
      <c r="AR92" s="158">
        <v>530</v>
      </c>
      <c r="AS92" s="158">
        <v>2098</v>
      </c>
      <c r="AT92" s="158">
        <v>1205411</v>
      </c>
      <c r="AU92" s="158">
        <v>-0.1847</v>
      </c>
      <c r="AV92" s="160"/>
      <c r="AW92" s="160"/>
    </row>
    <row r="93" spans="1:49">
      <c r="A93" s="224">
        <f t="shared" si="18"/>
        <v>0.38500000000000023</v>
      </c>
      <c r="C93" s="147">
        <f t="shared" si="17"/>
        <v>11</v>
      </c>
      <c r="D93" s="166">
        <v>45231</v>
      </c>
      <c r="E93" s="158">
        <v>11808</v>
      </c>
      <c r="F93" s="158">
        <v>148861</v>
      </c>
      <c r="G93" s="158">
        <v>7.9299999999999995E-2</v>
      </c>
      <c r="H93" s="158">
        <v>14257</v>
      </c>
      <c r="I93" s="158">
        <v>231151</v>
      </c>
      <c r="J93" s="158">
        <v>6.1699999999999998E-2</v>
      </c>
      <c r="K93" s="160"/>
      <c r="L93" s="160"/>
      <c r="M93" s="159">
        <v>19679</v>
      </c>
      <c r="N93" s="159">
        <v>191696</v>
      </c>
      <c r="O93" s="158">
        <v>11899</v>
      </c>
      <c r="P93" s="158">
        <v>137545</v>
      </c>
      <c r="Q93" s="158">
        <v>8.6499999999999994E-2</v>
      </c>
      <c r="R93" s="158">
        <v>10144</v>
      </c>
      <c r="S93" s="158">
        <v>121196</v>
      </c>
      <c r="T93" s="158">
        <v>8.3699999999999997E-2</v>
      </c>
      <c r="U93" s="158">
        <v>658</v>
      </c>
      <c r="V93" s="158">
        <v>100702</v>
      </c>
      <c r="W93" s="158">
        <v>6.4999999999999997E-3</v>
      </c>
      <c r="X93" s="158">
        <v>13955</v>
      </c>
      <c r="Y93" s="158">
        <v>150150</v>
      </c>
      <c r="Z93" s="158">
        <v>9.2899999999999996E-2</v>
      </c>
      <c r="AA93" s="158">
        <v>9446</v>
      </c>
      <c r="AB93" s="158">
        <v>89607</v>
      </c>
      <c r="AC93" s="158">
        <v>0.10539999999999999</v>
      </c>
      <c r="AD93" s="158">
        <v>2781</v>
      </c>
      <c r="AE93" s="158">
        <v>96627</v>
      </c>
      <c r="AF93" s="158">
        <v>2.8799999999999999E-2</v>
      </c>
      <c r="AG93" s="158">
        <v>2089</v>
      </c>
      <c r="AH93" s="158">
        <v>52706</v>
      </c>
      <c r="AI93" s="158">
        <v>3.9600000000000003E-2</v>
      </c>
      <c r="AJ93" s="159">
        <v>0</v>
      </c>
      <c r="AK93" s="160"/>
      <c r="AL93" s="160"/>
      <c r="AM93" s="158">
        <v>39900</v>
      </c>
      <c r="AN93" s="158">
        <v>2520</v>
      </c>
      <c r="AO93" s="158">
        <v>572</v>
      </c>
      <c r="AP93" s="158">
        <v>1530</v>
      </c>
      <c r="AQ93" s="158">
        <v>820</v>
      </c>
      <c r="AR93" s="158">
        <v>800</v>
      </c>
      <c r="AS93" s="158">
        <v>3359</v>
      </c>
      <c r="AT93" s="158">
        <v>1466459</v>
      </c>
      <c r="AU93" s="160"/>
      <c r="AV93" s="160"/>
      <c r="AW93" s="160"/>
    </row>
    <row r="94" spans="1:49">
      <c r="A94" s="224">
        <f t="shared" si="18"/>
        <v>0.39000000000000024</v>
      </c>
      <c r="C94" s="147">
        <f t="shared" si="17"/>
        <v>11</v>
      </c>
      <c r="D94" s="166">
        <v>45597</v>
      </c>
      <c r="E94" s="160"/>
      <c r="F94" s="160"/>
      <c r="G94" s="161" t="e">
        <v>#DIV/0!</v>
      </c>
      <c r="H94" s="160"/>
      <c r="I94" s="160"/>
      <c r="J94" s="161" t="e">
        <v>#DIV/0!</v>
      </c>
      <c r="K94" s="160"/>
      <c r="L94" s="160"/>
      <c r="M94" s="160"/>
      <c r="N94" s="160"/>
      <c r="O94" s="160"/>
      <c r="P94" s="160"/>
      <c r="Q94" s="161" t="e">
        <v>#DIV/0!</v>
      </c>
      <c r="R94" s="160"/>
      <c r="S94" s="160"/>
      <c r="T94" s="161" t="e">
        <v>#DIV/0!</v>
      </c>
      <c r="U94" s="160"/>
      <c r="V94" s="160"/>
      <c r="W94" s="160"/>
      <c r="X94" s="160"/>
      <c r="Y94" s="160"/>
      <c r="Z94" s="161" t="e">
        <v>#DIV/0!</v>
      </c>
      <c r="AA94" s="160"/>
      <c r="AB94" s="160"/>
      <c r="AC94" s="161" t="e">
        <v>#DIV/0!</v>
      </c>
      <c r="AD94" s="160"/>
      <c r="AE94" s="160"/>
      <c r="AF94" s="161" t="e">
        <v>#DIV/0!</v>
      </c>
      <c r="AG94" s="160"/>
      <c r="AH94" s="160"/>
      <c r="AI94" s="161" t="e">
        <v>#DIV/0!</v>
      </c>
      <c r="AJ94" s="160"/>
      <c r="AK94" s="160"/>
      <c r="AL94" s="160"/>
      <c r="AM94" s="160"/>
      <c r="AN94" s="160"/>
      <c r="AO94" s="160"/>
      <c r="AP94" s="160"/>
      <c r="AQ94" s="160"/>
      <c r="AR94" s="160"/>
      <c r="AS94" s="160"/>
      <c r="AT94" s="160"/>
      <c r="AU94" s="160"/>
      <c r="AV94" s="160"/>
      <c r="AW94" s="160"/>
    </row>
    <row r="95" spans="1:49">
      <c r="A95" s="224">
        <f t="shared" si="18"/>
        <v>0.39500000000000024</v>
      </c>
      <c r="C95" s="147">
        <f t="shared" si="17"/>
        <v>11</v>
      </c>
      <c r="D95" s="166">
        <v>45962</v>
      </c>
      <c r="E95" s="167">
        <f>_xlfn.FORECAST.ETS(DATE(2025,1,1),E$88:E$94,$D$88:$D$94,1,1)+_xlfn.FORECAST.ETS.CONFINT(DATE(2025,1,1),E$88:E$94,$D$88:$D$94,$B$4,1)</f>
        <v>12480.895663464184</v>
      </c>
      <c r="F95" s="167">
        <f>_xlfn.FORECAST.ETS(DATE(2025,1,1),F$88:F$94,$D$88:$D$94,1,1)+_xlfn.FORECAST.ETS.CONFINT(DATE(2025,1,1),F$88:F$94,$D$88:$D$94,$B$4,1)</f>
        <v>194211.64303462917</v>
      </c>
      <c r="G95" s="158">
        <f>E95/F95</f>
        <v>6.4264404895842217E-2</v>
      </c>
      <c r="H95" s="167">
        <f>_xlfn.FORECAST.ETS(DATE(2025,1,1),H$88:H$94,$D$88:$D$94,1,1)+_xlfn.FORECAST.ETS.CONFINT(DATE(2025,1,1),H$88:H$94,$D$88:$D$94,$B$5,1)</f>
        <v>14084.120631655676</v>
      </c>
      <c r="I95" s="167">
        <f>_xlfn.FORECAST.ETS(DATE(2025,1,1),I$88:I$94,$D$88:$D$94,1,1)+_xlfn.FORECAST.ETS.CONFINT(DATE(2025,1,1),I$88:I$94,$D$88:$D$94,$B$5,1)</f>
        <v>239418.01462982572</v>
      </c>
      <c r="J95" s="158">
        <f>H95/I95</f>
        <v>5.8826486609337765E-2</v>
      </c>
      <c r="K95" s="152"/>
      <c r="L95" s="152"/>
      <c r="M95" s="152"/>
      <c r="N95" s="152"/>
      <c r="O95" s="167">
        <f>_xlfn.FORECAST.ETS(DATE(2025,1,1),O$88:O$94,$D$88:$D$94,1,1)+_xlfn.FORECAST.ETS.CONFINT(DATE(2025,1,1),O$88:O$94,$D$88:$D$94,$B$6,1)</f>
        <v>11468.669899010301</v>
      </c>
      <c r="P95" s="167">
        <f>_xlfn.FORECAST.ETS(DATE(2025,1,1),P$88:P$94,$D$88:$D$94,1,1)+_xlfn.FORECAST.ETS.CONFINT(DATE(2025,1,1),P$88:P$94,$D$88:$D$94,$B$6,1)</f>
        <v>122971.96511342152</v>
      </c>
      <c r="Q95" s="158">
        <f>O95/P95</f>
        <v>9.3262475625499913E-2</v>
      </c>
      <c r="R95" s="167">
        <f>_xlfn.FORECAST.ETS(DATE(2025,1,1),R$88:R$94,$D$88:$D$94,1,1)+_xlfn.FORECAST.ETS.CONFINT(DATE(2025,1,1),R$88:R$94,$D$88:$D$94,$B$7,1)</f>
        <v>10129.106874566796</v>
      </c>
      <c r="S95" s="167">
        <f>_xlfn.FORECAST.ETS(DATE(2025,1,1),S$88:S$94,$D$88:$D$94,1,1)+_xlfn.FORECAST.ETS.CONFINT(DATE(2025,1,1),S$88:S$94,$D$88:$D$94,$B$7,1)</f>
        <v>132701.14122786711</v>
      </c>
      <c r="T95" s="158">
        <f>R95/S95</f>
        <v>7.6330216762594758E-2</v>
      </c>
      <c r="U95" s="167">
        <f>_xlfn.FORECAST.ETS(DATE(2025,1,1),U$88:U$94,$D$88:$D$94,1,1)+_xlfn.FORECAST.ETS.CONFINT(DATE(2025,1,1),U$88:U$94,$D$88:$D$94,$B$8,1)</f>
        <v>687.71438554951544</v>
      </c>
      <c r="V95" s="167">
        <f>_xlfn.FORECAST.ETS(DATE(2025,1,1),V$88:V$94,$D$88:$D$94,1,1)+_xlfn.FORECAST.ETS.CONFINT(DATE(2025,1,1),V$88:V$94,$D$88:$D$94,$B$8,1)</f>
        <v>86469.610459928823</v>
      </c>
      <c r="W95" s="158">
        <f>U95/V95</f>
        <v>7.9532494929905051E-3</v>
      </c>
      <c r="X95" s="167">
        <f>_xlfn.FORECAST.ETS(DATE(2025,1,1),X$88:X$94,$D$88:$D$94,1,1)+_xlfn.FORECAST.ETS.CONFINT(DATE(2025,1,1),X$88:X$94,$D$88:$D$94,$B$9,1)</f>
        <v>17322.403050777699</v>
      </c>
      <c r="Y95" s="167">
        <f>_xlfn.FORECAST.ETS(DATE(2025,1,1),Y$88:Y$94,$D$88:$D$94,1,1)+_xlfn.FORECAST.ETS.CONFINT(DATE(2025,1,1),Y$88:Y$94,$D$88:$D$94,$B$9,1)</f>
        <v>190972.49397654174</v>
      </c>
      <c r="Z95" s="158">
        <f>X95/Y95</f>
        <v>9.0706272354098866E-2</v>
      </c>
      <c r="AA95" s="167">
        <f>_xlfn.FORECAST.ETS(DATE(2025,1,1),AA$88:AA$94,$D$88:$D$94,1,1)+_xlfn.FORECAST.ETS.CONFINT(DATE(2025,1,1),AA$88:AA$94,$D$88:$D$94,$B$10,1)</f>
        <v>10876.474692618898</v>
      </c>
      <c r="AB95" s="167">
        <f>_xlfn.FORECAST.ETS(DATE(2025,1,1),AB$88:AB$94,$D$88:$D$94,1,1)+_xlfn.FORECAST.ETS.CONFINT(DATE(2025,1,1),AB$88:AB$94,$D$88:$D$94,$B$10,1)</f>
        <v>91368.138525655522</v>
      </c>
      <c r="AC95" s="158">
        <f>AA95/AB95</f>
        <v>0.11904012567318378</v>
      </c>
      <c r="AD95" s="167">
        <f>_xlfn.FORECAST.ETS(DATE(2025,1,1),AD$88:AD$94,$D$88:$D$94,1,1)+_xlfn.FORECAST.ETS.CONFINT(DATE(2025,1,1),AD$88:AD$94,$D$88:$D$94,$B$11,1)</f>
        <v>2213.3688296123883</v>
      </c>
      <c r="AE95" s="167">
        <f>_xlfn.FORECAST.ETS(DATE(2025,1,1),AE$88:AE$94,$D$88:$D$94,1,1)+_xlfn.FORECAST.ETS.CONFINT(DATE(2025,1,1),AE$88:AE$94,$D$88:$D$94,$B$11,1)</f>
        <v>105601.32222311423</v>
      </c>
      <c r="AF95" s="158">
        <f>AD95/AE95</f>
        <v>2.0959669661483857E-2</v>
      </c>
      <c r="AG95" s="167">
        <f>_xlfn.FORECAST.ETS(DATE(2025,1,1),AG$88:AG$94,$D$88:$D$94,1,1)+_xlfn.FORECAST.ETS.CONFINT(DATE(2025,1,1),AG$88:AG$94,$D$88:$D$94,$B$12,1)</f>
        <v>1736.3323543285933</v>
      </c>
      <c r="AH95" s="167">
        <f>_xlfn.FORECAST.ETS(DATE(2025,1,1),AH$88:AH$94,$D$88:$D$94,1,1)+_xlfn.FORECAST.ETS.CONFINT(DATE(2025,1,1),AH$88:AH$94,$D$88:$D$94,$B$12,1)</f>
        <v>44575.740142436371</v>
      </c>
      <c r="AI95" s="158">
        <f>AG95/AH95</f>
        <v>3.8952406595613533E-2</v>
      </c>
      <c r="AJ95" s="152"/>
      <c r="AK95" s="152"/>
      <c r="AL95" s="152"/>
      <c r="AM95" s="152"/>
      <c r="AN95" s="152"/>
      <c r="AO95" s="152"/>
      <c r="AP95" s="152"/>
      <c r="AQ95" s="152"/>
      <c r="AR95" s="152"/>
      <c r="AS95" s="152"/>
      <c r="AT95" s="152"/>
      <c r="AU95" s="160"/>
      <c r="AV95" s="152"/>
      <c r="AW95" s="152"/>
    </row>
    <row r="96" spans="1:49">
      <c r="A96" s="224">
        <f t="shared" si="18"/>
        <v>0.40000000000000024</v>
      </c>
      <c r="C96" s="147">
        <f t="shared" si="17"/>
        <v>12</v>
      </c>
      <c r="D96" s="173">
        <v>43435</v>
      </c>
      <c r="E96" s="168">
        <v>10646</v>
      </c>
      <c r="F96" s="168">
        <v>140801</v>
      </c>
      <c r="G96" s="168">
        <v>7.5600000000000001E-2</v>
      </c>
      <c r="H96" s="168">
        <v>23161</v>
      </c>
      <c r="I96" s="168">
        <v>300724</v>
      </c>
      <c r="J96" s="168">
        <v>7.6999999999999999E-2</v>
      </c>
      <c r="K96" s="169">
        <v>7754</v>
      </c>
      <c r="L96" s="169">
        <v>132921</v>
      </c>
      <c r="M96" s="169">
        <v>13307</v>
      </c>
      <c r="N96" s="169">
        <v>215797</v>
      </c>
      <c r="O96" s="168">
        <v>6618</v>
      </c>
      <c r="P96" s="168">
        <v>137232</v>
      </c>
      <c r="Q96" s="168">
        <v>4.82E-2</v>
      </c>
      <c r="R96" s="168">
        <v>9283</v>
      </c>
      <c r="S96" s="168">
        <v>113502</v>
      </c>
      <c r="T96" s="168">
        <v>8.1799999999999998E-2</v>
      </c>
      <c r="U96" s="168">
        <v>466</v>
      </c>
      <c r="V96" s="168">
        <v>102619</v>
      </c>
      <c r="W96" s="168">
        <v>4.4999999999999997E-3</v>
      </c>
      <c r="X96" s="168">
        <v>12393</v>
      </c>
      <c r="Y96" s="168">
        <v>158631</v>
      </c>
      <c r="Z96" s="168">
        <v>7.8100000000000003E-2</v>
      </c>
      <c r="AA96" s="168">
        <v>7265</v>
      </c>
      <c r="AB96" s="168">
        <v>88641</v>
      </c>
      <c r="AC96" s="168">
        <v>8.2000000000000003E-2</v>
      </c>
      <c r="AD96" s="168">
        <v>5153</v>
      </c>
      <c r="AE96" s="168">
        <v>100917</v>
      </c>
      <c r="AF96" s="168">
        <v>5.11E-2</v>
      </c>
      <c r="AG96" s="168">
        <v>5118</v>
      </c>
      <c r="AH96" s="168">
        <v>109030</v>
      </c>
      <c r="AI96" s="168">
        <v>4.6899999999999997E-2</v>
      </c>
      <c r="AJ96" s="169">
        <v>141</v>
      </c>
      <c r="AK96" s="156"/>
      <c r="AL96" s="169">
        <v>2330</v>
      </c>
      <c r="AM96" s="174">
        <v>31500</v>
      </c>
      <c r="AN96" s="174">
        <v>100</v>
      </c>
      <c r="AO96" s="174">
        <v>413</v>
      </c>
      <c r="AP96" s="174">
        <v>1870</v>
      </c>
      <c r="AQ96" s="174">
        <v>510</v>
      </c>
      <c r="AR96" s="174">
        <v>1020</v>
      </c>
      <c r="AS96" s="174">
        <v>7736</v>
      </c>
      <c r="AT96" s="174">
        <v>1747600</v>
      </c>
      <c r="AU96" s="168">
        <v>1.8499999999999999E-2</v>
      </c>
      <c r="AV96" s="156"/>
      <c r="AW96" s="156"/>
    </row>
    <row r="97" spans="1:49">
      <c r="A97" s="224">
        <f t="shared" si="18"/>
        <v>0.40500000000000025</v>
      </c>
      <c r="C97" s="147">
        <f t="shared" si="17"/>
        <v>12</v>
      </c>
      <c r="D97" s="162">
        <v>43800</v>
      </c>
      <c r="E97" s="168">
        <v>13773</v>
      </c>
      <c r="F97" s="168">
        <v>138131</v>
      </c>
      <c r="G97" s="168">
        <v>9.9699999999999997E-2</v>
      </c>
      <c r="H97" s="168">
        <v>25880</v>
      </c>
      <c r="I97" s="168">
        <v>274675</v>
      </c>
      <c r="J97" s="168">
        <v>9.4200000000000006E-2</v>
      </c>
      <c r="K97" s="169">
        <v>11710</v>
      </c>
      <c r="L97" s="169">
        <v>119544</v>
      </c>
      <c r="M97" s="169">
        <v>15797</v>
      </c>
      <c r="N97" s="169">
        <v>216286</v>
      </c>
      <c r="O97" s="168">
        <v>6878</v>
      </c>
      <c r="P97" s="168">
        <v>125455</v>
      </c>
      <c r="Q97" s="168">
        <v>5.4800000000000001E-2</v>
      </c>
      <c r="R97" s="168">
        <v>9474</v>
      </c>
      <c r="S97" s="168">
        <v>110003</v>
      </c>
      <c r="T97" s="168">
        <v>8.6099999999999996E-2</v>
      </c>
      <c r="U97" s="168">
        <v>370</v>
      </c>
      <c r="V97" s="168">
        <v>116205</v>
      </c>
      <c r="W97" s="168">
        <v>3.2000000000000002E-3</v>
      </c>
      <c r="X97" s="168">
        <v>12554</v>
      </c>
      <c r="Y97" s="168">
        <v>133448</v>
      </c>
      <c r="Z97" s="168">
        <v>9.4100000000000003E-2</v>
      </c>
      <c r="AA97" s="168">
        <v>9508</v>
      </c>
      <c r="AB97" s="168">
        <v>93635</v>
      </c>
      <c r="AC97" s="168">
        <v>0.10150000000000001</v>
      </c>
      <c r="AD97" s="168">
        <v>6005</v>
      </c>
      <c r="AE97" s="168">
        <v>94228</v>
      </c>
      <c r="AF97" s="168">
        <v>6.3700000000000007E-2</v>
      </c>
      <c r="AG97" s="168">
        <v>6166</v>
      </c>
      <c r="AH97" s="168">
        <v>92925</v>
      </c>
      <c r="AI97" s="168">
        <v>6.6400000000000001E-2</v>
      </c>
      <c r="AJ97" s="169">
        <v>214</v>
      </c>
      <c r="AK97" s="156"/>
      <c r="AL97" s="169">
        <v>3487</v>
      </c>
      <c r="AM97" s="165">
        <v>33600</v>
      </c>
      <c r="AN97" s="164">
        <v>100</v>
      </c>
      <c r="AO97" s="165">
        <v>723</v>
      </c>
      <c r="AP97" s="165">
        <v>1840</v>
      </c>
      <c r="AQ97" s="165">
        <v>510</v>
      </c>
      <c r="AR97" s="165">
        <v>630</v>
      </c>
      <c r="AS97" s="165">
        <v>8762</v>
      </c>
      <c r="AT97" s="165">
        <v>1682417</v>
      </c>
      <c r="AU97" s="168">
        <v>7.1000000000000004E-3</v>
      </c>
      <c r="AV97" s="156"/>
      <c r="AW97" s="156"/>
    </row>
    <row r="98" spans="1:49">
      <c r="A98" s="224">
        <f t="shared" si="18"/>
        <v>0.41000000000000025</v>
      </c>
      <c r="C98" s="147">
        <f t="shared" si="17"/>
        <v>12</v>
      </c>
      <c r="D98" s="162">
        <v>44166</v>
      </c>
      <c r="E98" s="168">
        <v>7697</v>
      </c>
      <c r="F98" s="168">
        <v>76547</v>
      </c>
      <c r="G98" s="168">
        <v>0.10059999999999999</v>
      </c>
      <c r="H98" s="168">
        <v>14805</v>
      </c>
      <c r="I98" s="168">
        <v>156168</v>
      </c>
      <c r="J98" s="168">
        <v>9.4799999999999995E-2</v>
      </c>
      <c r="K98" s="169">
        <v>7942</v>
      </c>
      <c r="L98" s="169">
        <v>73285</v>
      </c>
      <c r="M98" s="169">
        <v>10209</v>
      </c>
      <c r="N98" s="169">
        <v>132328</v>
      </c>
      <c r="O98" s="168">
        <v>5683</v>
      </c>
      <c r="P98" s="168">
        <v>93836</v>
      </c>
      <c r="Q98" s="168">
        <v>6.0600000000000001E-2</v>
      </c>
      <c r="R98" s="168">
        <v>8851</v>
      </c>
      <c r="S98" s="168">
        <v>95455</v>
      </c>
      <c r="T98" s="168">
        <v>9.2700000000000005E-2</v>
      </c>
      <c r="U98" s="168">
        <v>413</v>
      </c>
      <c r="V98" s="168">
        <v>82085</v>
      </c>
      <c r="W98" s="168">
        <v>5.0000000000000001E-3</v>
      </c>
      <c r="X98" s="168">
        <v>3305</v>
      </c>
      <c r="Y98" s="168">
        <v>32840</v>
      </c>
      <c r="Z98" s="168">
        <v>0.10059999999999999</v>
      </c>
      <c r="AA98" s="168">
        <v>7219</v>
      </c>
      <c r="AB98" s="168">
        <v>80267</v>
      </c>
      <c r="AC98" s="168">
        <v>8.9899999999999994E-2</v>
      </c>
      <c r="AD98" s="168">
        <v>4198</v>
      </c>
      <c r="AE98" s="168">
        <v>67804</v>
      </c>
      <c r="AF98" s="168">
        <v>6.1899999999999997E-2</v>
      </c>
      <c r="AG98" s="168">
        <v>4762</v>
      </c>
      <c r="AH98" s="168">
        <v>76285</v>
      </c>
      <c r="AI98" s="168">
        <v>6.2399999999999997E-2</v>
      </c>
      <c r="AJ98" s="169">
        <v>383</v>
      </c>
      <c r="AK98" s="156"/>
      <c r="AL98" s="169">
        <v>4367</v>
      </c>
      <c r="AM98" s="165">
        <v>32100</v>
      </c>
      <c r="AN98" s="165">
        <v>100</v>
      </c>
      <c r="AO98" s="165">
        <v>717</v>
      </c>
      <c r="AP98" s="165">
        <v>1320</v>
      </c>
      <c r="AQ98" s="165">
        <v>310</v>
      </c>
      <c r="AR98" s="165">
        <v>730</v>
      </c>
      <c r="AS98" s="165">
        <v>4144</v>
      </c>
      <c r="AT98" s="165">
        <v>1086156</v>
      </c>
      <c r="AU98" s="168">
        <v>-0.23019999999999999</v>
      </c>
      <c r="AV98" s="156"/>
      <c r="AW98" s="156"/>
    </row>
    <row r="99" spans="1:49">
      <c r="A99" s="224">
        <f t="shared" si="18"/>
        <v>0.41500000000000026</v>
      </c>
      <c r="C99" s="147">
        <f t="shared" si="17"/>
        <v>12</v>
      </c>
      <c r="D99" s="162">
        <v>44531</v>
      </c>
      <c r="E99" s="168">
        <v>10615</v>
      </c>
      <c r="F99" s="168">
        <v>110134</v>
      </c>
      <c r="G99" s="168">
        <v>9.64E-2</v>
      </c>
      <c r="H99" s="168">
        <v>19098</v>
      </c>
      <c r="I99" s="168">
        <v>243890</v>
      </c>
      <c r="J99" s="168">
        <v>7.8299999999999995E-2</v>
      </c>
      <c r="K99" s="169">
        <v>9185</v>
      </c>
      <c r="L99" s="169">
        <v>92562</v>
      </c>
      <c r="M99" s="169">
        <v>12578</v>
      </c>
      <c r="N99" s="169">
        <v>171246</v>
      </c>
      <c r="O99" s="168">
        <v>7370</v>
      </c>
      <c r="P99" s="168">
        <v>92049</v>
      </c>
      <c r="Q99" s="168">
        <v>8.0100000000000005E-2</v>
      </c>
      <c r="R99" s="168">
        <v>9431</v>
      </c>
      <c r="S99" s="168">
        <v>96781</v>
      </c>
      <c r="T99" s="168">
        <v>9.74E-2</v>
      </c>
      <c r="U99" s="168">
        <v>198</v>
      </c>
      <c r="V99" s="168">
        <v>118841</v>
      </c>
      <c r="W99" s="168">
        <v>1.6999999999999999E-3</v>
      </c>
      <c r="X99" s="168">
        <v>9916</v>
      </c>
      <c r="Y99" s="168">
        <v>97378</v>
      </c>
      <c r="Z99" s="168">
        <v>0.1018</v>
      </c>
      <c r="AA99" s="168">
        <v>6484</v>
      </c>
      <c r="AB99" s="168">
        <v>83591</v>
      </c>
      <c r="AC99" s="168">
        <v>7.7600000000000002E-2</v>
      </c>
      <c r="AD99" s="168">
        <v>5056</v>
      </c>
      <c r="AE99" s="168">
        <v>74520</v>
      </c>
      <c r="AF99" s="168">
        <v>6.7799999999999999E-2</v>
      </c>
      <c r="AG99" s="168">
        <v>2050</v>
      </c>
      <c r="AH99" s="168">
        <v>38805</v>
      </c>
      <c r="AI99" s="168">
        <v>5.28E-2</v>
      </c>
      <c r="AJ99" s="169">
        <v>250</v>
      </c>
      <c r="AK99" s="156"/>
      <c r="AL99" s="169">
        <v>3296</v>
      </c>
      <c r="AM99" s="165">
        <v>26100</v>
      </c>
      <c r="AN99" s="165">
        <v>100</v>
      </c>
      <c r="AO99" s="165">
        <v>586</v>
      </c>
      <c r="AP99" s="165">
        <v>1210</v>
      </c>
      <c r="AQ99" s="165">
        <v>320</v>
      </c>
      <c r="AR99" s="165">
        <v>590</v>
      </c>
      <c r="AS99" s="165">
        <v>3531</v>
      </c>
      <c r="AT99" s="165">
        <v>1347762</v>
      </c>
      <c r="AU99" s="168">
        <v>-4.1599999999999998E-2</v>
      </c>
      <c r="AV99" s="156"/>
      <c r="AW99" s="156"/>
    </row>
    <row r="100" spans="1:49">
      <c r="A100" s="224">
        <f t="shared" si="18"/>
        <v>0.42000000000000026</v>
      </c>
      <c r="C100" s="147">
        <f t="shared" si="17"/>
        <v>12</v>
      </c>
      <c r="D100" s="162">
        <v>44896</v>
      </c>
      <c r="E100" s="168">
        <v>8713</v>
      </c>
      <c r="F100" s="168">
        <v>94791</v>
      </c>
      <c r="G100" s="168">
        <v>9.1899999999999996E-2</v>
      </c>
      <c r="H100" s="168">
        <v>17410</v>
      </c>
      <c r="I100" s="168">
        <v>220682</v>
      </c>
      <c r="J100" s="168">
        <v>7.8899999999999998E-2</v>
      </c>
      <c r="K100" s="156"/>
      <c r="L100" s="156"/>
      <c r="M100" s="169">
        <v>13059</v>
      </c>
      <c r="N100" s="169">
        <v>164493</v>
      </c>
      <c r="O100" s="168">
        <v>6607</v>
      </c>
      <c r="P100" s="168">
        <v>80841</v>
      </c>
      <c r="Q100" s="168">
        <v>8.1699999999999995E-2</v>
      </c>
      <c r="R100" s="168">
        <v>9415</v>
      </c>
      <c r="S100" s="168">
        <v>104679</v>
      </c>
      <c r="T100" s="168">
        <v>8.9899999999999994E-2</v>
      </c>
      <c r="U100" s="168">
        <v>211</v>
      </c>
      <c r="V100" s="168">
        <v>63915</v>
      </c>
      <c r="W100" s="168">
        <v>3.3E-3</v>
      </c>
      <c r="X100" s="168">
        <v>8419</v>
      </c>
      <c r="Y100" s="168">
        <v>82276</v>
      </c>
      <c r="Z100" s="168">
        <v>0.1023</v>
      </c>
      <c r="AA100" s="168">
        <v>6657</v>
      </c>
      <c r="AB100" s="168">
        <v>82840</v>
      </c>
      <c r="AC100" s="168">
        <v>8.0399999999999999E-2</v>
      </c>
      <c r="AD100" s="168">
        <v>2123</v>
      </c>
      <c r="AE100" s="168">
        <v>64422</v>
      </c>
      <c r="AF100" s="168">
        <v>3.3000000000000002E-2</v>
      </c>
      <c r="AG100" s="168">
        <v>2704</v>
      </c>
      <c r="AH100" s="168">
        <v>55730</v>
      </c>
      <c r="AI100" s="168">
        <v>4.8500000000000001E-2</v>
      </c>
      <c r="AJ100" s="156"/>
      <c r="AK100" s="156"/>
      <c r="AL100" s="156"/>
      <c r="AM100" s="165">
        <v>23700</v>
      </c>
      <c r="AN100" s="165">
        <v>100</v>
      </c>
      <c r="AO100" s="165">
        <v>112200</v>
      </c>
      <c r="AP100" s="165">
        <v>1030</v>
      </c>
      <c r="AQ100" s="165">
        <v>260</v>
      </c>
      <c r="AR100" s="165">
        <v>560</v>
      </c>
      <c r="AS100" s="165">
        <v>1984</v>
      </c>
      <c r="AT100" s="165">
        <v>1229822</v>
      </c>
      <c r="AU100" s="168">
        <v>2.0299999999999999E-2</v>
      </c>
      <c r="AV100" s="156"/>
      <c r="AW100" s="156"/>
    </row>
    <row r="101" spans="1:49">
      <c r="A101" s="224">
        <f t="shared" si="18"/>
        <v>0.42500000000000027</v>
      </c>
      <c r="C101" s="147">
        <f t="shared" si="17"/>
        <v>12</v>
      </c>
      <c r="D101" s="170">
        <v>45261</v>
      </c>
      <c r="E101" s="168">
        <v>11174</v>
      </c>
      <c r="F101" s="168">
        <v>143127</v>
      </c>
      <c r="G101" s="168">
        <v>7.8100000000000003E-2</v>
      </c>
      <c r="H101" s="168">
        <v>13106</v>
      </c>
      <c r="I101" s="168">
        <v>223310</v>
      </c>
      <c r="J101" s="168">
        <v>5.8700000000000002E-2</v>
      </c>
      <c r="K101" s="156"/>
      <c r="L101" s="156"/>
      <c r="M101" s="169">
        <v>16410</v>
      </c>
      <c r="N101" s="169">
        <v>188231</v>
      </c>
      <c r="O101" s="168">
        <v>10453</v>
      </c>
      <c r="P101" s="168">
        <v>118121</v>
      </c>
      <c r="Q101" s="168">
        <v>8.8499999999999995E-2</v>
      </c>
      <c r="R101" s="168">
        <v>9453</v>
      </c>
      <c r="S101" s="168">
        <v>116132</v>
      </c>
      <c r="T101" s="168">
        <v>8.14E-2</v>
      </c>
      <c r="U101" s="168">
        <v>624</v>
      </c>
      <c r="V101" s="168">
        <v>86296</v>
      </c>
      <c r="W101" s="168">
        <v>7.1999999999999998E-3</v>
      </c>
      <c r="X101" s="168">
        <v>12965</v>
      </c>
      <c r="Y101" s="168">
        <v>161968</v>
      </c>
      <c r="Z101" s="168">
        <v>0.08</v>
      </c>
      <c r="AA101" s="168">
        <v>8817</v>
      </c>
      <c r="AB101" s="168">
        <v>86859</v>
      </c>
      <c r="AC101" s="168">
        <v>0.10150000000000001</v>
      </c>
      <c r="AD101" s="168">
        <v>2664</v>
      </c>
      <c r="AE101" s="168">
        <v>90375</v>
      </c>
      <c r="AF101" s="168">
        <v>2.9499999999999998E-2</v>
      </c>
      <c r="AG101" s="168">
        <v>2018</v>
      </c>
      <c r="AH101" s="168">
        <v>45809</v>
      </c>
      <c r="AI101" s="168">
        <v>4.41E-2</v>
      </c>
      <c r="AJ101" s="169">
        <v>0</v>
      </c>
      <c r="AK101" s="156"/>
      <c r="AL101" s="156"/>
      <c r="AM101" s="168">
        <v>27600</v>
      </c>
      <c r="AN101" s="168">
        <v>1520</v>
      </c>
      <c r="AO101" s="168">
        <v>539</v>
      </c>
      <c r="AP101" s="168">
        <v>1290</v>
      </c>
      <c r="AQ101" s="168">
        <v>630</v>
      </c>
      <c r="AR101" s="168">
        <v>640</v>
      </c>
      <c r="AS101" s="168">
        <v>2939</v>
      </c>
      <c r="AT101" s="168">
        <v>1383071</v>
      </c>
      <c r="AU101" s="156"/>
      <c r="AV101" s="156"/>
      <c r="AW101" s="156"/>
    </row>
    <row r="102" spans="1:49">
      <c r="A102" s="224">
        <f t="shared" si="18"/>
        <v>0.43000000000000027</v>
      </c>
      <c r="C102" s="147">
        <f t="shared" si="17"/>
        <v>12</v>
      </c>
      <c r="D102" s="170">
        <v>45627</v>
      </c>
      <c r="E102" s="156"/>
      <c r="F102" s="156"/>
      <c r="G102" s="172" t="e">
        <v>#DIV/0!</v>
      </c>
      <c r="H102" s="156"/>
      <c r="I102" s="156"/>
      <c r="J102" s="172" t="e">
        <v>#DIV/0!</v>
      </c>
      <c r="K102" s="156"/>
      <c r="L102" s="156"/>
      <c r="M102" s="156"/>
      <c r="N102" s="156"/>
      <c r="O102" s="156"/>
      <c r="P102" s="156"/>
      <c r="Q102" s="172" t="e">
        <v>#DIV/0!</v>
      </c>
      <c r="R102" s="156"/>
      <c r="S102" s="156"/>
      <c r="T102" s="172" t="e">
        <v>#DIV/0!</v>
      </c>
      <c r="U102" s="156"/>
      <c r="V102" s="156"/>
      <c r="W102" s="156"/>
      <c r="X102" s="156"/>
      <c r="Y102" s="156"/>
      <c r="Z102" s="172" t="e">
        <v>#DIV/0!</v>
      </c>
      <c r="AA102" s="156"/>
      <c r="AB102" s="156"/>
      <c r="AC102" s="172" t="e">
        <v>#DIV/0!</v>
      </c>
      <c r="AD102" s="156"/>
      <c r="AE102" s="156"/>
      <c r="AF102" s="172" t="e">
        <v>#DIV/0!</v>
      </c>
      <c r="AG102" s="156"/>
      <c r="AH102" s="156"/>
      <c r="AI102" s="172" t="e">
        <v>#DIV/0!</v>
      </c>
      <c r="AJ102" s="156"/>
      <c r="AK102" s="156"/>
      <c r="AL102" s="156"/>
      <c r="AM102" s="156"/>
      <c r="AN102" s="156"/>
      <c r="AO102" s="156"/>
      <c r="AP102" s="156"/>
      <c r="AQ102" s="156"/>
      <c r="AR102" s="156"/>
      <c r="AS102" s="156"/>
      <c r="AT102" s="156"/>
      <c r="AU102" s="156"/>
      <c r="AV102" s="156"/>
      <c r="AW102" s="156"/>
    </row>
    <row r="103" spans="1:49">
      <c r="A103" s="224">
        <f t="shared" si="18"/>
        <v>0.43500000000000028</v>
      </c>
      <c r="C103" s="147">
        <f t="shared" si="17"/>
        <v>12</v>
      </c>
      <c r="D103" s="170">
        <v>45992</v>
      </c>
      <c r="E103" s="167">
        <f>_xlfn.FORECAST.ETS(DATE(2025,1,1),E$96:E$102,$D$96:$D$102,1,1)+_xlfn.FORECAST.ETS.CONFINT(DATE(2025,1,1),E$96:E$102,$D$96:$D$102,$B$4,1)</f>
        <v>9558.5652713125764</v>
      </c>
      <c r="F103" s="167">
        <f>_xlfn.FORECAST.ETS(DATE(2025,1,1),F$96:F$102,$D$96:$D$102,1,1)+_xlfn.FORECAST.ETS.CONFINT(DATE(2025,1,1),F$96:F$102,$D$96:$D$102,$B$4,1)</f>
        <v>174043.2429980732</v>
      </c>
      <c r="G103" s="158">
        <f>E103/F103</f>
        <v>5.4920634128946891E-2</v>
      </c>
      <c r="H103" s="167">
        <f>_xlfn.FORECAST.ETS(DATE(2025,1,1),H$96:H$102,$D$96:$D$102,1,1)+_xlfn.FORECAST.ETS.CONFINT(DATE(2025,1,1),H$96:H$102,$D$96:$D$102,$B$5,1)</f>
        <v>14065.014776881471</v>
      </c>
      <c r="I103" s="167">
        <f>_xlfn.FORECAST.ETS(DATE(2025,1,1),I$96:I$102,$D$96:$D$102,1,1)+_xlfn.FORECAST.ETS.CONFINT(DATE(2025,1,1),I$96:I$102,$D$96:$D$102,$B$5,1)</f>
        <v>271779.27671587939</v>
      </c>
      <c r="J103" s="158">
        <f>H103/I103</f>
        <v>5.1751608683487556E-2</v>
      </c>
      <c r="K103" s="171"/>
      <c r="L103" s="171"/>
      <c r="M103" s="171"/>
      <c r="N103" s="171"/>
      <c r="O103" s="167">
        <f>_xlfn.FORECAST.ETS(DATE(2025,1,1),O$96:O$102,$D$96:$D$102,1,1)+_xlfn.FORECAST.ETS.CONFINT(DATE(2025,1,1),O$96:O$102,$D$96:$D$102,$B$6,1)</f>
        <v>11357.814237850449</v>
      </c>
      <c r="P103" s="167">
        <f>_xlfn.FORECAST.ETS(DATE(2025,1,1),P$96:P$102,$D$96:$D$102,1,1)+_xlfn.FORECAST.ETS.CONFINT(DATE(2025,1,1),P$96:P$102,$D$96:$D$102,$B$6,1)</f>
        <v>116955.13161157556</v>
      </c>
      <c r="Q103" s="158">
        <f>O103/P103</f>
        <v>9.71125771169353E-2</v>
      </c>
      <c r="R103" s="167">
        <f>_xlfn.FORECAST.ETS(DATE(2025,1,1),R$96:R$102,$D$96:$D$102,1,1)+_xlfn.FORECAST.ETS.CONFINT(DATE(2025,1,1),R$96:R$102,$D$96:$D$102,$B$7,1)</f>
        <v>9772.3291352894721</v>
      </c>
      <c r="S103" s="167">
        <f>_xlfn.FORECAST.ETS(DATE(2025,1,1),S$96:S$102,$D$96:$D$102,1,1)+_xlfn.FORECAST.ETS.CONFINT(DATE(2025,1,1),S$96:S$102,$D$96:$D$102,$B$7,1)</f>
        <v>125424.2884841412</v>
      </c>
      <c r="T103" s="158">
        <f>R103/S103</f>
        <v>7.7914168407063333E-2</v>
      </c>
      <c r="U103" s="167">
        <f>_xlfn.FORECAST.ETS(DATE(2025,1,1),U$96:U$102,$D$96:$D$102,1,1)+_xlfn.FORECAST.ETS.CONFINT(DATE(2025,1,1),U$96:U$102,$D$96:$D$102,$B$8,1)</f>
        <v>732.2575553011277</v>
      </c>
      <c r="V103" s="167">
        <f>_xlfn.FORECAST.ETS(DATE(2025,1,1),V$96:V$102,$D$96:$D$102,1,1)+_xlfn.FORECAST.ETS.CONFINT(DATE(2025,1,1),V$96:V$102,$D$96:$D$102,$B$8,1)</f>
        <v>65156.268755456287</v>
      </c>
      <c r="W103" s="158">
        <f>U103/V103</f>
        <v>1.1238482026179672E-2</v>
      </c>
      <c r="X103" s="167">
        <f>_xlfn.FORECAST.ETS(DATE(2025,1,1),X$96:X$102,$D$96:$D$102,1,1)+_xlfn.FORECAST.ETS.CONFINT(DATE(2025,1,1),X$96:X$102,$D$96:$D$102,$B$9,1)</f>
        <v>19937.30435723659</v>
      </c>
      <c r="Y103" s="167">
        <f>_xlfn.FORECAST.ETS(DATE(2025,1,1),Y$96:Y$102,$D$96:$D$102,1,1)+_xlfn.FORECAST.ETS.CONFINT(DATE(2025,1,1),Y$96:Y$102,$D$96:$D$102,$B$9,1)</f>
        <v>273395.03055276262</v>
      </c>
      <c r="Z103" s="158">
        <f>X103/Y103</f>
        <v>7.2924896684941315E-2</v>
      </c>
      <c r="AA103" s="167">
        <f>_xlfn.FORECAST.ETS(DATE(2025,1,1),AA$96:AA$102,$D$96:$D$102,1,1)+_xlfn.FORECAST.ETS.CONFINT(DATE(2025,1,1),AA$96:AA$102,$D$96:$D$102,$B$10,1)</f>
        <v>7501.3261364231857</v>
      </c>
      <c r="AB103" s="167">
        <f>_xlfn.FORECAST.ETS(DATE(2025,1,1),AB$96:AB$102,$D$96:$D$102,1,1)+_xlfn.FORECAST.ETS.CONFINT(DATE(2025,1,1),AB$96:AB$102,$D$96:$D$102,$B$10,1)</f>
        <v>82788.785926447876</v>
      </c>
      <c r="AC103" s="158">
        <f>AA103/AB103</f>
        <v>9.0607997840282339E-2</v>
      </c>
      <c r="AD103" s="167">
        <f>_xlfn.FORECAST.ETS(DATE(2025,1,1),AD$96:AD$102,$D$96:$D$102,1,1)+_xlfn.FORECAST.ETS.CONFINT(DATE(2025,1,1),AD$96:AD$102,$D$96:$D$102,$B$11,1)</f>
        <v>1271.7977223052201</v>
      </c>
      <c r="AE103" s="167">
        <f>_xlfn.FORECAST.ETS(DATE(2025,1,1),AE$96:AE$102,$D$96:$D$102,1,1)+_xlfn.FORECAST.ETS.CONFINT(DATE(2025,1,1),AE$96:AE$102,$D$96:$D$102,$B$11,1)</f>
        <v>102927.27707491143</v>
      </c>
      <c r="AF103" s="158">
        <f>AD103/AE103</f>
        <v>1.2356274822849863E-2</v>
      </c>
      <c r="AG103" s="167">
        <f>_xlfn.FORECAST.ETS(DATE(2025,1,1),AG$96:AG$102,$D$96:$D$102,1,1)+_xlfn.FORECAST.ETS.CONFINT(DATE(2025,1,1),AG$96:AG$102,$D$96:$D$102,$B$12,1)</f>
        <v>1336.8608455970468</v>
      </c>
      <c r="AH103" s="167">
        <f>_xlfn.FORECAST.ETS(DATE(2025,1,1),AH$96:AH$102,$D$96:$D$102,1,1)+_xlfn.FORECAST.ETS.CONFINT(DATE(2025,1,1),AH$96:AH$102,$D$96:$D$102,$B$12,1)</f>
        <v>38033.161633273688</v>
      </c>
      <c r="AI103" s="158">
        <f>AG103/AH103</f>
        <v>3.5149874167376104E-2</v>
      </c>
      <c r="AJ103" s="171"/>
      <c r="AK103" s="171"/>
      <c r="AL103" s="171"/>
      <c r="AM103" s="171"/>
      <c r="AN103" s="171"/>
      <c r="AO103" s="171"/>
      <c r="AP103" s="171"/>
      <c r="AQ103" s="171"/>
      <c r="AR103" s="171"/>
      <c r="AS103" s="171"/>
      <c r="AT103" s="171"/>
      <c r="AU103" s="156"/>
      <c r="AV103" s="171"/>
      <c r="AW103" s="171"/>
    </row>
    <row r="104" spans="1:49" hidden="1">
      <c r="A104" s="224">
        <f t="shared" si="18"/>
        <v>0.44000000000000028</v>
      </c>
      <c r="D104" s="175" t="s">
        <v>53</v>
      </c>
      <c r="E104" s="176">
        <v>11795</v>
      </c>
      <c r="F104" s="152"/>
      <c r="G104" s="152"/>
      <c r="H104" s="176">
        <v>25168</v>
      </c>
      <c r="I104" s="152"/>
      <c r="J104" s="152"/>
      <c r="K104" s="177">
        <v>9588</v>
      </c>
      <c r="L104" s="152"/>
      <c r="M104" s="177">
        <v>15861</v>
      </c>
      <c r="N104" s="152"/>
      <c r="O104" s="176">
        <v>7491</v>
      </c>
      <c r="P104" s="152"/>
      <c r="Q104" s="152"/>
      <c r="R104" s="176">
        <v>10163</v>
      </c>
      <c r="S104" s="152"/>
      <c r="T104" s="152"/>
      <c r="U104" s="176">
        <v>604</v>
      </c>
      <c r="V104" s="152"/>
      <c r="W104" s="152"/>
      <c r="X104" s="176">
        <v>13721</v>
      </c>
      <c r="Y104" s="152"/>
      <c r="Z104" s="152"/>
      <c r="AA104" s="176">
        <v>9307</v>
      </c>
      <c r="AB104" s="152"/>
      <c r="AC104" s="152"/>
      <c r="AD104" s="176">
        <v>5663</v>
      </c>
      <c r="AE104" s="152"/>
      <c r="AF104" s="152"/>
      <c r="AG104" s="176">
        <v>8668</v>
      </c>
      <c r="AH104" s="152"/>
      <c r="AI104" s="152"/>
      <c r="AJ104" s="177">
        <v>222</v>
      </c>
      <c r="AK104" s="178" t="e">
        <v>#DIV/0!</v>
      </c>
      <c r="AL104" s="152"/>
      <c r="AM104" s="176">
        <v>38138</v>
      </c>
      <c r="AN104" s="176">
        <v>1942</v>
      </c>
      <c r="AO104" s="176">
        <v>519</v>
      </c>
      <c r="AP104" s="176">
        <v>2046</v>
      </c>
      <c r="AQ104" s="176">
        <v>614</v>
      </c>
      <c r="AR104" s="176">
        <v>896</v>
      </c>
      <c r="AS104" s="176">
        <v>8342</v>
      </c>
      <c r="AT104" s="176">
        <v>1799593</v>
      </c>
      <c r="AU104" s="160"/>
      <c r="AV104" s="152"/>
      <c r="AW104" s="152"/>
    </row>
    <row r="105" spans="1:49" ht="22.5" hidden="1">
      <c r="A105" s="224">
        <f t="shared" si="18"/>
        <v>0.44500000000000028</v>
      </c>
      <c r="D105" s="179" t="s">
        <v>54</v>
      </c>
      <c r="E105" s="180">
        <v>10166</v>
      </c>
      <c r="F105" s="180">
        <v>108788</v>
      </c>
      <c r="G105" s="180">
        <v>9.3700000000000006E-2</v>
      </c>
      <c r="H105" s="180">
        <v>17883</v>
      </c>
      <c r="I105" s="180">
        <v>235383</v>
      </c>
      <c r="J105" s="180">
        <v>7.5999999999999998E-2</v>
      </c>
      <c r="K105" s="181">
        <v>10550</v>
      </c>
      <c r="L105" s="181">
        <v>104234</v>
      </c>
      <c r="M105" s="181">
        <v>11953</v>
      </c>
      <c r="N105" s="181">
        <v>167484</v>
      </c>
      <c r="O105" s="180">
        <v>7339</v>
      </c>
      <c r="P105" s="180">
        <v>93845</v>
      </c>
      <c r="Q105" s="180">
        <v>7.7899999999999997E-2</v>
      </c>
      <c r="R105" s="180">
        <v>9125</v>
      </c>
      <c r="S105" s="180">
        <v>98362</v>
      </c>
      <c r="T105" s="180">
        <v>9.2799999999999994E-2</v>
      </c>
      <c r="U105" s="180">
        <v>494</v>
      </c>
      <c r="V105" s="180">
        <v>103470</v>
      </c>
      <c r="W105" s="180">
        <v>4.8999999999999998E-3</v>
      </c>
      <c r="X105" s="180">
        <v>10493</v>
      </c>
      <c r="Y105" s="180">
        <v>114779</v>
      </c>
      <c r="Z105" s="180">
        <v>9.2600000000000002E-2</v>
      </c>
      <c r="AA105" s="180">
        <v>6109</v>
      </c>
      <c r="AB105" s="180">
        <v>82145</v>
      </c>
      <c r="AC105" s="180">
        <v>7.4399999999999994E-2</v>
      </c>
      <c r="AD105" s="180">
        <v>4580</v>
      </c>
      <c r="AE105" s="180">
        <v>72934</v>
      </c>
      <c r="AF105" s="180">
        <v>6.3200000000000006E-2</v>
      </c>
      <c r="AG105" s="180">
        <v>3148</v>
      </c>
      <c r="AH105" s="180">
        <v>69864</v>
      </c>
      <c r="AI105" s="180">
        <v>4.6100000000000002E-2</v>
      </c>
      <c r="AJ105" s="181">
        <v>431</v>
      </c>
      <c r="AK105" s="182" t="e">
        <v>#DIV/0!</v>
      </c>
      <c r="AL105" s="171"/>
      <c r="AM105" s="180">
        <v>27420</v>
      </c>
      <c r="AN105" s="180">
        <v>1228</v>
      </c>
      <c r="AO105" s="180">
        <v>457</v>
      </c>
      <c r="AP105" s="180">
        <v>1522</v>
      </c>
      <c r="AQ105" s="180">
        <v>366</v>
      </c>
      <c r="AR105" s="180">
        <v>646</v>
      </c>
      <c r="AS105" s="180">
        <v>3103</v>
      </c>
      <c r="AT105" s="180">
        <v>1383937</v>
      </c>
      <c r="AU105" s="156"/>
      <c r="AV105" s="171"/>
      <c r="AW105" s="171"/>
    </row>
    <row r="106" spans="1:49">
      <c r="A106" s="224">
        <f t="shared" si="18"/>
        <v>0.45000000000000029</v>
      </c>
      <c r="D106" s="183" t="s">
        <v>55</v>
      </c>
      <c r="E106" s="130">
        <f>AVERAGE(E102,E94,E86,E78,E70,E62,E54,E46,E38,E30,E22,E10)</f>
        <v>10905</v>
      </c>
      <c r="F106" s="130">
        <f>AVERAGE(F102,F94,F86,F78,F70,F62,F54,F46,F38,F30,F22,F10)</f>
        <v>135924</v>
      </c>
      <c r="G106" s="356">
        <f>1-(SUM(E106:F106)/SUM(E107:F107))</f>
        <v>5.9904838532036098E-2</v>
      </c>
      <c r="H106" s="130">
        <f>AVERAGE(H102,H94,H86,H78,H70,H62,H54,H46,H38,H30,H22,H10)</f>
        <v>14466.6</v>
      </c>
      <c r="I106" s="130">
        <f>AVERAGE(I102,I94,I86,I78,I70,I62,I54,I46,I38,I30,I22,I10)</f>
        <v>225568.8</v>
      </c>
      <c r="J106" s="356">
        <f>1-(SUM(H106:I106)/SUM(H107:I107))</f>
        <v>5.9561143857052024E-2</v>
      </c>
      <c r="O106" s="130">
        <f>AVERAGE(O102,O94,O86,O78,O70,O62,O54,O46,O38,O30,O22,O10)</f>
        <v>10164</v>
      </c>
      <c r="P106" s="130">
        <f>AVERAGE(P102,P94,P86,P78,P70,P62,P54,P46,P38,P30,P22,P10)</f>
        <v>110560.4</v>
      </c>
      <c r="Q106" s="356">
        <f>1-(SUM(O106:P106)/SUM(O107:P107))</f>
        <v>6.0729875251178678E-2</v>
      </c>
      <c r="R106" s="130">
        <f>AVERAGE(R102,R94,R86,R78,R70,R62,R54,R46,R38,R30,R22,R10)</f>
        <v>10217.4</v>
      </c>
      <c r="S106" s="130">
        <f>AVERAGE(S102,S94,S86,S78,S70,S62,S54,S46,S38,S30,S22,S10)</f>
        <v>119865.60000000001</v>
      </c>
      <c r="T106" s="356">
        <f>1-(SUM(R106:S106)/SUM(R107:S107))</f>
        <v>6.0069120963522904E-2</v>
      </c>
      <c r="U106" s="130">
        <f>AVERAGE(U102,U94,U86,U78,U70,U62,U54,U46,U38,U30,U22,U10)</f>
        <v>480.8</v>
      </c>
      <c r="V106" s="130">
        <f>AVERAGE(V102,V94,V86,V78,V70,V62,V54,V46,V38,V30,V22,V10)</f>
        <v>77346.8</v>
      </c>
      <c r="W106" s="356">
        <f>1-(SUM(U106:V106)/SUM(U107:V107))</f>
        <v>5.9744069450680448E-2</v>
      </c>
      <c r="X106" s="130">
        <f>AVERAGE(X102,X94,X86,X78,X70,X62,X54,X46,X38,X30,X22,X10)</f>
        <v>12607.428571428571</v>
      </c>
      <c r="Y106" s="130">
        <f>AVERAGE(Y102,Y94,Y86,Y78,Y70,Y62,Y54,Y46,Y38,Y30,Y22,Y10)</f>
        <v>183860.4</v>
      </c>
      <c r="Z106" s="356">
        <f>1-(SUM(X106:Y106)/SUM(X107:Y107))</f>
        <v>6.3249720747221683E-2</v>
      </c>
      <c r="AA106" s="130">
        <f>AVERAGE(AA102,AA94,AA86,AA78,AA70,AA62,AA54,AA46,AA38,AA30,AA22,AA10)</f>
        <v>7362.5</v>
      </c>
      <c r="AB106" s="130">
        <f>AVERAGE(AB102,AB94,AB86,AB78,AB70,AB62,AB54,AB46,AB38,AB30,AB22,AB10)</f>
        <v>81931.199999999997</v>
      </c>
      <c r="AC106" s="356">
        <f>1-(SUM(AA106:AB106)/SUM(AA107:AB107))</f>
        <v>6.0122963771265803E-2</v>
      </c>
      <c r="AD106" s="130">
        <f>AVERAGE(AD102,AD94,AD86,AD78,AD70,AD62,AD54,AD46,AD38,AD30,AD22,AD10)</f>
        <v>2688.8</v>
      </c>
      <c r="AE106" s="130">
        <f>AVERAGE(AE102,AE94,AE86,AE78,AE70,AE62,AE54,AE46,AE38,AE30,AE22,AE10)</f>
        <v>88028.2</v>
      </c>
      <c r="AF106" s="356">
        <f>1-(SUM(AD106:AE106)/SUM(AD107:AE107))</f>
        <v>5.7716210711490801E-2</v>
      </c>
      <c r="AG106" s="130">
        <f>AVERAGE(AG102,AG94,AG86,AG78,AG70,AG62,AG54,AG46,AG38,AG30,AG22,AG10)</f>
        <v>1181.125</v>
      </c>
      <c r="AH106" s="130">
        <f>AVERAGE(AH102,AH94,AH86,AH78,AH70,AH62,AH54,AH46,AH38,AH30,AH22,AH10)</f>
        <v>35305</v>
      </c>
      <c r="AI106" s="356">
        <f>1-(SUM(AG106:AH106)/SUM(AG107:AH107))</f>
        <v>6.1680085601714563E-2</v>
      </c>
    </row>
    <row r="107" spans="1:49">
      <c r="A107" s="224">
        <f t="shared" si="18"/>
        <v>0.45500000000000029</v>
      </c>
      <c r="D107" s="183" t="s">
        <v>56</v>
      </c>
      <c r="E107" s="130">
        <f>AVERAGE(E103,E95,E87,E79,E71,E63,E55,E47,E39,E31,E23,E11)</f>
        <v>11635.378947783167</v>
      </c>
      <c r="F107" s="130">
        <f>AVERAGE(F103,F95,F87,F79,F71,F63,F55,F47,F39,F31,F23,F11)</f>
        <v>144549.87337361553</v>
      </c>
      <c r="G107" s="356"/>
      <c r="H107" s="130">
        <f>AVERAGE(H103,H95,H87,H79,H71,H63,H55,H47,H39,H31,H23,H11)</f>
        <v>15380.713774089514</v>
      </c>
      <c r="I107" s="130">
        <f>AVERAGE(I103,I95,I87,I79,I71,I63,I55,I47,I39,I31,I23,I11)</f>
        <v>239856.93238662407</v>
      </c>
      <c r="J107" s="356"/>
      <c r="O107" s="130">
        <f>AVERAGE(O103,O95,O87,O79,O71,O63,O55,O47,O39,O31,O23,O11)</f>
        <v>12060.61870561795</v>
      </c>
      <c r="P107" s="130">
        <f>AVERAGE(P103,P95,P87,P79,P71,P63,P55,P47,P39,P31,P23,P11)</f>
        <v>116469.39286297526</v>
      </c>
      <c r="Q107" s="356"/>
      <c r="R107" s="130">
        <f>AVERAGE(R103,R95,R87,R79,R71,R63,R55,R47,R39,R31,R23,R11)</f>
        <v>11004.469216714233</v>
      </c>
      <c r="S107" s="130">
        <f>AVERAGE(S103,S95,S87,S79,S71,S63,S55,S47,S39,S31,S23,S11)</f>
        <v>127391.87768631343</v>
      </c>
      <c r="T107" s="356"/>
      <c r="U107" s="130">
        <f>AVERAGE(U103,U95,U87,U79,U71,U63,U55,U47,U39,U31,U23,U11)</f>
        <v>1124.1198369557167</v>
      </c>
      <c r="V107" s="130">
        <f>AVERAGE(V103,V95,V87,V79,V71,V63,V55,V47,V39,V31,V23,V11)</f>
        <v>81648.663052625532</v>
      </c>
      <c r="W107" s="356"/>
      <c r="X107" s="130">
        <f>AVERAGE(X103,X95,X87,X79,X71,X63,X55,X47,X39,X31,X23,X11)</f>
        <v>17128.579290492336</v>
      </c>
      <c r="Y107" s="130">
        <f>AVERAGE(Y103,Y95,Y87,Y79,Y71,Y63,Y55,Y47,Y39,Y31,Y23,Y11)</f>
        <v>192604.82877226899</v>
      </c>
      <c r="Z107" s="356"/>
      <c r="AA107" s="130">
        <f>AVERAGE(AA103,AA95,AA87,AA79,AA71,AA63,AA55,AA47,AA39,AA31,AA23,AA11)</f>
        <v>8354.388021765566</v>
      </c>
      <c r="AB107" s="130">
        <f>AVERAGE(AB103,AB95,AB87,AB79,AB71,AB63,AB55,AB47,AB39,AB31,AB23,AB11)</f>
        <v>86651.337789231839</v>
      </c>
      <c r="AC107" s="356"/>
      <c r="AD107" s="130">
        <f>AVERAGE(AD103,AD95,AD87,AD79,AD71,AD63,AD55,AD47,AD39,AD31,AD23,AD11)</f>
        <v>3185.9698318571614</v>
      </c>
      <c r="AE107" s="130">
        <f>AVERAGE(AE103,AE95,AE87,AE79,AE71,AE63,AE55,AE47,AE39,AE31,AE23,AE11)</f>
        <v>93087.574328865099</v>
      </c>
      <c r="AF107" s="356"/>
      <c r="AG107" s="130">
        <f>AVERAGE(AG103,AG95,AG87,AG79,AG71,AG63,AG55,AG47,AG39,AG31,AG23,AG11)</f>
        <v>1960.4536917721025</v>
      </c>
      <c r="AH107" s="130">
        <f>AVERAGE(AH103,AH95,AH87,AH79,AH71,AH63,AH55,AH47,AH39,AH31,AH23,AH11)</f>
        <v>36924.072193407883</v>
      </c>
      <c r="AI107" s="356"/>
    </row>
    <row r="108" spans="1:49">
      <c r="A108" s="224">
        <f t="shared" si="18"/>
        <v>0.4600000000000003</v>
      </c>
    </row>
    <row r="109" spans="1:49">
      <c r="A109" s="224">
        <f t="shared" si="18"/>
        <v>0.4650000000000003</v>
      </c>
      <c r="E109" s="341" t="s">
        <v>57</v>
      </c>
      <c r="F109" s="341"/>
      <c r="G109" s="341"/>
      <c r="H109" s="341"/>
      <c r="I109" s="341"/>
      <c r="J109" s="341"/>
      <c r="K109" s="341"/>
      <c r="L109" s="341"/>
      <c r="M109" s="341"/>
      <c r="N109" s="341"/>
      <c r="O109" s="341"/>
      <c r="P109" s="341"/>
      <c r="Q109" s="341"/>
      <c r="R109" s="341"/>
      <c r="S109" s="341"/>
      <c r="T109" s="341"/>
      <c r="U109" s="341"/>
      <c r="V109" s="341"/>
    </row>
    <row r="110" spans="1:49" ht="30" customHeight="1">
      <c r="A110" s="224">
        <f t="shared" si="18"/>
        <v>0.47000000000000031</v>
      </c>
      <c r="E110" s="340" t="s">
        <v>22</v>
      </c>
      <c r="F110" s="341"/>
      <c r="G110" s="340" t="s">
        <v>23</v>
      </c>
      <c r="H110" s="341"/>
      <c r="I110" s="340" t="s">
        <v>26</v>
      </c>
      <c r="J110" s="341"/>
      <c r="K110" s="340" t="s">
        <v>27</v>
      </c>
      <c r="L110" s="340"/>
      <c r="M110" s="340" t="s">
        <v>28</v>
      </c>
      <c r="N110" s="340"/>
      <c r="O110" s="340" t="s">
        <v>29</v>
      </c>
      <c r="P110" s="340"/>
      <c r="Q110" s="340" t="s">
        <v>30</v>
      </c>
      <c r="R110" s="340"/>
      <c r="S110" s="340" t="s">
        <v>31</v>
      </c>
      <c r="T110" s="340"/>
      <c r="U110" s="340" t="s">
        <v>32</v>
      </c>
      <c r="V110" s="340"/>
    </row>
    <row r="111" spans="1:49" s="184" customFormat="1">
      <c r="A111" s="224">
        <f t="shared" si="18"/>
        <v>0.47500000000000031</v>
      </c>
      <c r="C111" s="185"/>
      <c r="D111" s="186"/>
      <c r="E111" s="184" t="str">
        <f>E3</f>
        <v>Ponta</v>
      </c>
      <c r="F111" s="184" t="str">
        <f>F3</f>
        <v>Fora Ponta</v>
      </c>
      <c r="G111" s="184" t="str">
        <f>H3</f>
        <v>Ponta</v>
      </c>
      <c r="H111" s="184" t="str">
        <f>I3</f>
        <v>Fora Ponta</v>
      </c>
      <c r="I111" s="184" t="str">
        <f>O3</f>
        <v>Ponta</v>
      </c>
      <c r="J111" s="184" t="str">
        <f>P3</f>
        <v>Fora Ponta</v>
      </c>
      <c r="K111" s="184" t="str">
        <f>R3</f>
        <v>Ponta</v>
      </c>
      <c r="L111" s="184" t="str">
        <f>S3</f>
        <v>Fora Ponta</v>
      </c>
      <c r="M111" s="184" t="str">
        <f>U3</f>
        <v>Ponta</v>
      </c>
      <c r="N111" s="184" t="str">
        <f>V3</f>
        <v>Fora Ponta</v>
      </c>
      <c r="O111" s="184" t="str">
        <f>X3</f>
        <v>Ponta</v>
      </c>
      <c r="P111" s="184" t="str">
        <f>Y3</f>
        <v>Fora Ponta</v>
      </c>
      <c r="Q111" s="184" t="str">
        <f>AA3</f>
        <v>Ponta</v>
      </c>
      <c r="R111" s="184" t="str">
        <f>AB3</f>
        <v>Fora Ponta</v>
      </c>
      <c r="S111" s="184" t="str">
        <f>AD3</f>
        <v>Ponta</v>
      </c>
      <c r="T111" s="184" t="str">
        <f>AE3</f>
        <v>Fora Ponta</v>
      </c>
      <c r="U111" s="184" t="str">
        <f>AG3</f>
        <v>Ponta</v>
      </c>
      <c r="V111" s="184" t="str">
        <f>AH3</f>
        <v>Fora Ponta</v>
      </c>
    </row>
    <row r="112" spans="1:49">
      <c r="A112" s="224">
        <f t="shared" si="18"/>
        <v>0.48000000000000032</v>
      </c>
      <c r="C112" s="147">
        <v>11</v>
      </c>
      <c r="D112" s="183">
        <f>D11</f>
        <v>45658</v>
      </c>
      <c r="E112" s="130">
        <f>E11</f>
        <v>13569.725522420718</v>
      </c>
      <c r="F112" s="130">
        <f>F11</f>
        <v>131634.27838071084</v>
      </c>
      <c r="G112" s="130">
        <f>H11</f>
        <v>15393.781128660083</v>
      </c>
      <c r="H112" s="130">
        <f>I11</f>
        <v>220283.06360687991</v>
      </c>
      <c r="I112" s="130">
        <f>O11</f>
        <v>12122.297304033225</v>
      </c>
      <c r="J112" s="130">
        <f>P11</f>
        <v>111012.67211743387</v>
      </c>
      <c r="K112" s="130">
        <f>R11</f>
        <v>10386.568892659414</v>
      </c>
      <c r="L112" s="130">
        <f>S11</f>
        <v>122240.35841257537</v>
      </c>
      <c r="M112" s="130">
        <f>U11</f>
        <v>1612.6304663915439</v>
      </c>
      <c r="N112" s="130">
        <f>V11</f>
        <v>80397.908162681822</v>
      </c>
      <c r="O112" s="130">
        <f>X11</f>
        <v>21573.530600287406</v>
      </c>
      <c r="P112" s="130">
        <f>Y11</f>
        <v>216817.68201357897</v>
      </c>
      <c r="Q112" s="130">
        <f>AA11</f>
        <v>8290.6654490861129</v>
      </c>
      <c r="R112" s="130">
        <f>AB11</f>
        <v>83711.70242811869</v>
      </c>
      <c r="S112" s="130">
        <f>AD11</f>
        <v>4804.0975989392919</v>
      </c>
      <c r="T112" s="130">
        <f>AE11</f>
        <v>91362.149167627213</v>
      </c>
      <c r="U112" s="130">
        <f>AG11</f>
        <v>2636.2455273549058</v>
      </c>
      <c r="V112" s="130">
        <f>AH11</f>
        <v>43054.295739967158</v>
      </c>
    </row>
    <row r="113" spans="1:22">
      <c r="A113" s="224">
        <f t="shared" si="18"/>
        <v>0.48500000000000032</v>
      </c>
      <c r="C113" s="147">
        <f>C112+8</f>
        <v>19</v>
      </c>
      <c r="D113" s="183">
        <f>D23</f>
        <v>45689</v>
      </c>
      <c r="E113" s="130">
        <f>E23</f>
        <v>13801.619748316287</v>
      </c>
      <c r="F113" s="130">
        <f>F23</f>
        <v>171094.85862844702</v>
      </c>
      <c r="G113" s="130">
        <f>H23</f>
        <v>13496.493180821089</v>
      </c>
      <c r="H113" s="130">
        <f>I23</f>
        <v>207677.7394283007</v>
      </c>
      <c r="I113" s="130">
        <f>O23</f>
        <v>11039.060035026005</v>
      </c>
      <c r="J113" s="130">
        <f>P23</f>
        <v>105755.17255059586</v>
      </c>
      <c r="K113" s="130">
        <f>R23</f>
        <v>9786.1124521848269</v>
      </c>
      <c r="L113" s="130">
        <f>S23</f>
        <v>109344.00024651876</v>
      </c>
      <c r="M113" s="130">
        <f>U23</f>
        <v>2550.9750649133703</v>
      </c>
      <c r="N113" s="130">
        <f>V23</f>
        <v>66553.043026163446</v>
      </c>
      <c r="O113" s="130">
        <f>X23</f>
        <v>26101.825679530404</v>
      </c>
      <c r="P113" s="130">
        <f>Y23</f>
        <v>276170.48643128877</v>
      </c>
      <c r="Q113" s="130">
        <f>AA23</f>
        <v>8167.7002649783135</v>
      </c>
      <c r="R113" s="130">
        <f>AB23</f>
        <v>79584.944649858866</v>
      </c>
      <c r="S113" s="130">
        <f>AD23</f>
        <v>3597.8205102491406</v>
      </c>
      <c r="T113" s="130">
        <f>AE23</f>
        <v>80942.46232365098</v>
      </c>
      <c r="U113" s="130">
        <f>AG23</f>
        <v>2323.8594623190647</v>
      </c>
      <c r="V113" s="130">
        <f>AH23</f>
        <v>56114.129646504458</v>
      </c>
    </row>
    <row r="114" spans="1:22">
      <c r="A114" s="224">
        <f t="shared" si="18"/>
        <v>0.49000000000000032</v>
      </c>
      <c r="C114" s="147">
        <f t="shared" ref="C114:C123" si="19">C113+8</f>
        <v>27</v>
      </c>
      <c r="D114" s="183">
        <f>D31</f>
        <v>45717</v>
      </c>
      <c r="E114" s="130">
        <f>E31</f>
        <v>16675.5238322279</v>
      </c>
      <c r="F114" s="130">
        <f>F31</f>
        <v>189861.76503194927</v>
      </c>
      <c r="G114" s="130">
        <f>H31</f>
        <v>16315.029046120429</v>
      </c>
      <c r="H114" s="130">
        <f>I31</f>
        <v>247828.41746604224</v>
      </c>
      <c r="I114" s="130">
        <f>O31</f>
        <v>12536.795443860539</v>
      </c>
      <c r="J114" s="130">
        <f>P31</f>
        <v>121996.02775899999</v>
      </c>
      <c r="K114" s="130">
        <f>R31</f>
        <v>11554.370137623944</v>
      </c>
      <c r="L114" s="130">
        <f>S31</f>
        <v>146805.44054214694</v>
      </c>
      <c r="M114" s="130">
        <f>U31</f>
        <v>2482.6791209991115</v>
      </c>
      <c r="N114" s="130">
        <f>V31</f>
        <v>92504.630071807915</v>
      </c>
      <c r="O114" s="130">
        <f>X31</f>
        <v>18751.217005462189</v>
      </c>
      <c r="P114" s="130">
        <f>Y31</f>
        <v>219829.91251799252</v>
      </c>
      <c r="Q114" s="130">
        <f>AA31</f>
        <v>10060.295443846715</v>
      </c>
      <c r="R114" s="130">
        <f>AB31</f>
        <v>88333.807347074035</v>
      </c>
      <c r="S114" s="130">
        <f>AD31</f>
        <v>4011.1699542330339</v>
      </c>
      <c r="T114" s="130">
        <f>AE31</f>
        <v>95368.840378009903</v>
      </c>
      <c r="U114" s="130">
        <f>AG31</f>
        <v>2855.2654659333566</v>
      </c>
      <c r="V114" s="130">
        <f>AH31</f>
        <v>68090.774657351503</v>
      </c>
    </row>
    <row r="115" spans="1:22">
      <c r="A115" s="224">
        <f t="shared" si="18"/>
        <v>0.49500000000000033</v>
      </c>
      <c r="C115" s="147">
        <f t="shared" si="19"/>
        <v>35</v>
      </c>
      <c r="D115" s="183">
        <f>D39</f>
        <v>45748</v>
      </c>
      <c r="E115" s="130">
        <f>E39</f>
        <v>13402.288832386628</v>
      </c>
      <c r="F115" s="130">
        <f>F39</f>
        <v>166619.34521639437</v>
      </c>
      <c r="G115" s="130">
        <f>H39</f>
        <v>15744.631881201445</v>
      </c>
      <c r="H115" s="130">
        <f>I39</f>
        <v>258316.90859585107</v>
      </c>
      <c r="I115" s="130">
        <f>O39</f>
        <v>12674.959238415369</v>
      </c>
      <c r="J115" s="130">
        <f>P39</f>
        <v>107576.14963518931</v>
      </c>
      <c r="K115" s="130">
        <f>R39</f>
        <v>12710.787855017832</v>
      </c>
      <c r="L115" s="130">
        <f>S39</f>
        <v>139834.29115114117</v>
      </c>
      <c r="M115" s="130">
        <f>U39</f>
        <v>1342.3935759780841</v>
      </c>
      <c r="N115" s="130">
        <f>V39</f>
        <v>89318.869605090425</v>
      </c>
      <c r="O115" s="130">
        <f>X39</f>
        <v>22234.873211326962</v>
      </c>
      <c r="P115" s="130">
        <f>Y39</f>
        <v>227040.84506481289</v>
      </c>
      <c r="Q115" s="130">
        <f>AA39</f>
        <v>8549.2789557828837</v>
      </c>
      <c r="R115" s="130">
        <f>AB39</f>
        <v>80607.078936795311</v>
      </c>
      <c r="S115" s="130">
        <f>AD39</f>
        <v>1923.6756669850001</v>
      </c>
      <c r="T115" s="130">
        <f>AE39</f>
        <v>109033.1648241205</v>
      </c>
      <c r="U115" s="130">
        <f>AG39</f>
        <v>2118.1679995090572</v>
      </c>
      <c r="V115" s="130">
        <f>AH39</f>
        <v>37637.969738398162</v>
      </c>
    </row>
    <row r="116" spans="1:22">
      <c r="A116" s="224">
        <f t="shared" si="18"/>
        <v>0.50000000000000033</v>
      </c>
      <c r="C116" s="147">
        <f t="shared" si="19"/>
        <v>43</v>
      </c>
      <c r="D116" s="183">
        <f>D47</f>
        <v>45778</v>
      </c>
      <c r="E116" s="130">
        <f>E47</f>
        <v>10615.876451566637</v>
      </c>
      <c r="F116" s="130">
        <f>F47</f>
        <v>135273.94039268469</v>
      </c>
      <c r="G116" s="130">
        <f>H47</f>
        <v>15582.559853256185</v>
      </c>
      <c r="H116" s="130">
        <f>I47</f>
        <v>246369.51062195282</v>
      </c>
      <c r="I116" s="130">
        <f>O47</f>
        <v>10854.358502498575</v>
      </c>
      <c r="J116" s="130">
        <f>P47</f>
        <v>101549.5619688187</v>
      </c>
      <c r="K116" s="130">
        <f>R47</f>
        <v>11329.636513307934</v>
      </c>
      <c r="L116" s="130">
        <f>S47</f>
        <v>136040.68400820767</v>
      </c>
      <c r="M116" s="130">
        <f>U47</f>
        <v>998.77699850169131</v>
      </c>
      <c r="N116" s="130">
        <f>V47</f>
        <v>89429.006151369424</v>
      </c>
      <c r="O116" s="130">
        <f>X47</f>
        <v>16976.64540046042</v>
      </c>
      <c r="P116" s="130">
        <f>Y47</f>
        <v>174200.66229082906</v>
      </c>
      <c r="Q116" s="130">
        <f>AA47</f>
        <v>7808.3112988795228</v>
      </c>
      <c r="R116" s="130">
        <f>AB47</f>
        <v>78273.191394843554</v>
      </c>
      <c r="S116" s="130">
        <f>AD47</f>
        <v>3701.1345805682608</v>
      </c>
      <c r="T116" s="130">
        <f>AE47</f>
        <v>99919.198575656264</v>
      </c>
      <c r="U116" s="130">
        <f>AG47</f>
        <v>1914.7200703072347</v>
      </c>
      <c r="V116" s="130">
        <f>AH47</f>
        <v>44109.706823867105</v>
      </c>
    </row>
    <row r="117" spans="1:22">
      <c r="A117" s="224">
        <f t="shared" si="18"/>
        <v>0.50500000000000034</v>
      </c>
      <c r="C117" s="147">
        <f t="shared" si="19"/>
        <v>51</v>
      </c>
      <c r="D117" s="183">
        <f>D55</f>
        <v>45809</v>
      </c>
      <c r="E117" s="130">
        <f>E55</f>
        <v>8317.1479521256279</v>
      </c>
      <c r="F117" s="130">
        <f>F55</f>
        <v>96200.947992182089</v>
      </c>
      <c r="G117" s="130">
        <f>H55</f>
        <v>13556.78497137719</v>
      </c>
      <c r="H117" s="130">
        <f>I55</f>
        <v>86528.787272532878</v>
      </c>
      <c r="I117" s="130">
        <f>O55</f>
        <v>8629.5250611845386</v>
      </c>
      <c r="J117" s="130">
        <f>P55</f>
        <v>104127.5794647049</v>
      </c>
      <c r="K117" s="130">
        <f>R55</f>
        <v>10269.22245881352</v>
      </c>
      <c r="L117" s="130">
        <f>S55</f>
        <v>114254.75767619805</v>
      </c>
      <c r="M117" s="130">
        <f>U55</f>
        <v>410.92852192038339</v>
      </c>
      <c r="N117" s="130">
        <f>V55</f>
        <v>78205.830227831175</v>
      </c>
      <c r="O117" s="130">
        <f>X55</f>
        <v>11638.914722607631</v>
      </c>
      <c r="P117" s="130">
        <f>Y55</f>
        <v>144142.44439465867</v>
      </c>
      <c r="Q117" s="130">
        <f>AA55</f>
        <v>9173.5667124724059</v>
      </c>
      <c r="R117" s="130">
        <f>AB55</f>
        <v>110028.12148507359</v>
      </c>
      <c r="S117" s="130">
        <f>AD55</f>
        <v>2806.060744500669</v>
      </c>
      <c r="T117" s="130">
        <f>AE55</f>
        <v>83931.507816870464</v>
      </c>
      <c r="U117" s="130">
        <f>AG55</f>
        <v>537.16590445807674</v>
      </c>
      <c r="V117" s="130">
        <f>AH55</f>
        <v>1815.3277736078471</v>
      </c>
    </row>
    <row r="118" spans="1:22">
      <c r="A118" s="224">
        <f t="shared" si="18"/>
        <v>0.51000000000000034</v>
      </c>
      <c r="C118" s="147">
        <f t="shared" si="19"/>
        <v>59</v>
      </c>
      <c r="D118" s="183">
        <f>D63</f>
        <v>45839</v>
      </c>
      <c r="E118" s="130">
        <f>E63</f>
        <v>7989.1707732468858</v>
      </c>
      <c r="F118" s="130">
        <f>F63</f>
        <v>95903.124377722997</v>
      </c>
      <c r="G118" s="130">
        <f>H63</f>
        <v>13383.694454139128</v>
      </c>
      <c r="H118" s="130">
        <f>I63</f>
        <v>362370.52739298285</v>
      </c>
      <c r="I118" s="130">
        <f>O63</f>
        <v>8948.9929184531284</v>
      </c>
      <c r="J118" s="130">
        <f>P63</f>
        <v>97287.063306803728</v>
      </c>
      <c r="K118" s="130">
        <f>R63</f>
        <v>10895.250551593303</v>
      </c>
      <c r="L118" s="130">
        <f>S63</f>
        <v>124876.83403269813</v>
      </c>
      <c r="M118" s="130">
        <f>U63</f>
        <v>860.83084233478507</v>
      </c>
      <c r="N118" s="130">
        <f>V63</f>
        <v>66637.298611227627</v>
      </c>
      <c r="O118" s="130">
        <f>X63</f>
        <v>12191.715586132614</v>
      </c>
      <c r="P118" s="130">
        <f>Y63</f>
        <v>134290.12373916415</v>
      </c>
      <c r="Q118" s="130">
        <f>AA63</f>
        <v>7715.9171517107225</v>
      </c>
      <c r="R118" s="130">
        <f>AB63</f>
        <v>84141.6008686149</v>
      </c>
      <c r="S118" s="130">
        <f>AD63</f>
        <v>3165.4725705716273</v>
      </c>
      <c r="T118" s="130">
        <f>AE63</f>
        <v>73393.212007245165</v>
      </c>
      <c r="U118" s="130">
        <f>AG63</f>
        <v>444.88960435925469</v>
      </c>
      <c r="V118" s="130">
        <f>AH63</f>
        <v>9412.4327253127722</v>
      </c>
    </row>
    <row r="119" spans="1:22">
      <c r="A119" s="224">
        <f t="shared" si="18"/>
        <v>0.51500000000000035</v>
      </c>
      <c r="C119" s="147">
        <f t="shared" si="19"/>
        <v>67</v>
      </c>
      <c r="D119" s="183">
        <f>D71</f>
        <v>45870</v>
      </c>
      <c r="E119" s="130">
        <f>E71</f>
        <v>11296.542021813577</v>
      </c>
      <c r="F119" s="130">
        <f>F71</f>
        <v>94282.777322751179</v>
      </c>
      <c r="G119" s="130">
        <f>H71</f>
        <v>16794.275131822484</v>
      </c>
      <c r="H119" s="130">
        <f>I71</f>
        <v>222099.80500972859</v>
      </c>
      <c r="I119" s="130">
        <f>O71</f>
        <v>13390.588775201933</v>
      </c>
      <c r="J119" s="130">
        <f>P71</f>
        <v>117050.50115605703</v>
      </c>
      <c r="K119" s="130">
        <f>R71</f>
        <v>12221.868496836672</v>
      </c>
      <c r="L119" s="130">
        <f>S71</f>
        <v>123715.42720730155</v>
      </c>
      <c r="M119" s="130">
        <f>U71</f>
        <v>365.97001088178308</v>
      </c>
      <c r="N119" s="130">
        <f>V71</f>
        <v>103349.13137179172</v>
      </c>
      <c r="O119" s="130">
        <f>X71</f>
        <v>11031.244974690424</v>
      </c>
      <c r="P119" s="130">
        <f>Y71</f>
        <v>176134.73805613723</v>
      </c>
      <c r="Q119" s="130">
        <f>AA71</f>
        <v>7748.4136140245701</v>
      </c>
      <c r="R119" s="130">
        <f>AB71</f>
        <v>86362.287024314253</v>
      </c>
      <c r="S119" s="130">
        <f>AD71</f>
        <v>3730.276999838803</v>
      </c>
      <c r="T119" s="130">
        <f>AE71</f>
        <v>96085.322626553665</v>
      </c>
      <c r="U119" s="130">
        <f>AG71</f>
        <v>1047.1183224066565</v>
      </c>
      <c r="V119" s="130">
        <f>AH71</f>
        <v>22751.234862571968</v>
      </c>
    </row>
    <row r="120" spans="1:22">
      <c r="A120" s="224">
        <f t="shared" si="18"/>
        <v>0.52000000000000035</v>
      </c>
      <c r="C120" s="147">
        <f t="shared" si="19"/>
        <v>75</v>
      </c>
      <c r="D120" s="183">
        <f>D79</f>
        <v>45901</v>
      </c>
      <c r="E120" s="130">
        <f>E79</f>
        <v>10366.468058244631</v>
      </c>
      <c r="F120" s="130">
        <f>F79</f>
        <v>136826.48714932727</v>
      </c>
      <c r="G120" s="130">
        <f>H79</f>
        <v>17614.014075892308</v>
      </c>
      <c r="H120" s="130">
        <f>I79</f>
        <v>235434.87080209787</v>
      </c>
      <c r="I120" s="130">
        <f>O79</f>
        <v>14737.426997970815</v>
      </c>
      <c r="J120" s="130">
        <f>P79</f>
        <v>123404.41804481123</v>
      </c>
      <c r="K120" s="130">
        <f>R79</f>
        <v>10755.44764934492</v>
      </c>
      <c r="L120" s="130">
        <f>S79</f>
        <v>117824.30371119278</v>
      </c>
      <c r="M120" s="130">
        <f>U79</f>
        <v>819.22225695055408</v>
      </c>
      <c r="N120" s="130">
        <f>V79</f>
        <v>69223.474838445531</v>
      </c>
      <c r="O120" s="130">
        <f>X79</f>
        <v>7804.7391896912031</v>
      </c>
      <c r="P120" s="130">
        <f>Y79</f>
        <v>124341.58687093382</v>
      </c>
      <c r="Q120" s="130">
        <f>AA79</f>
        <v>4024.5194116238717</v>
      </c>
      <c r="R120" s="130">
        <f>AB79</f>
        <v>81860.14111792465</v>
      </c>
      <c r="S120" s="130">
        <f>AD79</f>
        <v>3506.3895769946184</v>
      </c>
      <c r="T120" s="130">
        <f>AE79</f>
        <v>90381.783109376513</v>
      </c>
      <c r="U120" s="130">
        <f>AG79</f>
        <v>2304.4824311422808</v>
      </c>
      <c r="V120" s="130">
        <f>AH79</f>
        <v>43229.648803572942</v>
      </c>
    </row>
    <row r="121" spans="1:22">
      <c r="A121" s="224">
        <f t="shared" si="18"/>
        <v>0.52500000000000036</v>
      </c>
      <c r="C121" s="147">
        <f t="shared" si="19"/>
        <v>83</v>
      </c>
      <c r="D121" s="183">
        <f>D87</f>
        <v>45931</v>
      </c>
      <c r="E121" s="130">
        <f>E87</f>
        <v>11550.723246272331</v>
      </c>
      <c r="F121" s="130">
        <f>F87</f>
        <v>148646.06995851418</v>
      </c>
      <c r="G121" s="130">
        <f>H87</f>
        <v>18538.166157246676</v>
      </c>
      <c r="H121" s="130">
        <f>I87</f>
        <v>280176.26709741453</v>
      </c>
      <c r="I121" s="130">
        <f>O87</f>
        <v>16966.93605391054</v>
      </c>
      <c r="J121" s="130">
        <f>P87</f>
        <v>167946.47162729147</v>
      </c>
      <c r="K121" s="130">
        <f>R87</f>
        <v>12242.929583332172</v>
      </c>
      <c r="L121" s="130">
        <f>S87</f>
        <v>135641.00553577242</v>
      </c>
      <c r="M121" s="130">
        <f>U87</f>
        <v>625.05924374664983</v>
      </c>
      <c r="N121" s="130">
        <f>V87</f>
        <v>92538.885349712233</v>
      </c>
      <c r="O121" s="130">
        <f>X87</f>
        <v>19978.537707704505</v>
      </c>
      <c r="P121" s="130">
        <f>Y87</f>
        <v>153921.9393585276</v>
      </c>
      <c r="Q121" s="130">
        <f>AA87</f>
        <v>10336.187129739605</v>
      </c>
      <c r="R121" s="130">
        <f>AB87</f>
        <v>92756.25376606088</v>
      </c>
      <c r="S121" s="130">
        <f>AD87</f>
        <v>3500.3732274878876</v>
      </c>
      <c r="T121" s="130">
        <f>AE87</f>
        <v>88104.651819244929</v>
      </c>
      <c r="U121" s="130">
        <f>AG87</f>
        <v>4270.3363135497011</v>
      </c>
      <c r="V121" s="130">
        <f>AH87</f>
        <v>34264.443774030588</v>
      </c>
    </row>
    <row r="122" spans="1:22">
      <c r="A122" s="224">
        <f t="shared" si="18"/>
        <v>0.53000000000000036</v>
      </c>
      <c r="C122" s="147">
        <f t="shared" si="19"/>
        <v>91</v>
      </c>
      <c r="D122" s="183">
        <f>D95</f>
        <v>45962</v>
      </c>
      <c r="E122" s="130">
        <f>E95</f>
        <v>12480.895663464184</v>
      </c>
      <c r="F122" s="130">
        <f>F95</f>
        <v>194211.64303462917</v>
      </c>
      <c r="G122" s="130">
        <f>H95</f>
        <v>14084.120631655676</v>
      </c>
      <c r="H122" s="130">
        <f>I95</f>
        <v>239418.01462982572</v>
      </c>
      <c r="I122" s="130">
        <f>O95</f>
        <v>11468.669899010301</v>
      </c>
      <c r="J122" s="130">
        <f>P95</f>
        <v>122971.96511342152</v>
      </c>
      <c r="K122" s="130">
        <f>R95</f>
        <v>10129.106874566796</v>
      </c>
      <c r="L122" s="130">
        <f>S95</f>
        <v>132701.14122786711</v>
      </c>
      <c r="M122" s="130">
        <f>U95</f>
        <v>687.71438554951544</v>
      </c>
      <c r="N122" s="130">
        <f>V95</f>
        <v>86469.610459928823</v>
      </c>
      <c r="O122" s="130">
        <f>X95</f>
        <v>17322.403050777699</v>
      </c>
      <c r="P122" s="130">
        <f>Y95</f>
        <v>190972.49397654174</v>
      </c>
      <c r="Q122" s="130">
        <f>AA95</f>
        <v>10876.474692618898</v>
      </c>
      <c r="R122" s="130">
        <f>AB95</f>
        <v>91368.138525655522</v>
      </c>
      <c r="S122" s="130">
        <f>AD95</f>
        <v>2213.3688296123883</v>
      </c>
      <c r="T122" s="130">
        <f>AE95</f>
        <v>105601.32222311423</v>
      </c>
      <c r="U122" s="130">
        <f>AG95</f>
        <v>1736.3323543285933</v>
      </c>
      <c r="V122" s="130">
        <f>AH95</f>
        <v>44575.740142436371</v>
      </c>
    </row>
    <row r="123" spans="1:22">
      <c r="A123" s="224">
        <f t="shared" si="18"/>
        <v>0.53500000000000036</v>
      </c>
      <c r="C123" s="147">
        <f t="shared" si="19"/>
        <v>99</v>
      </c>
      <c r="D123" s="183">
        <f>D103</f>
        <v>45992</v>
      </c>
      <c r="E123" s="130">
        <f>E103</f>
        <v>9558.5652713125764</v>
      </c>
      <c r="F123" s="130">
        <f>F103</f>
        <v>174043.2429980732</v>
      </c>
      <c r="G123" s="130">
        <f>H103</f>
        <v>14065.014776881471</v>
      </c>
      <c r="H123" s="130">
        <f>I103</f>
        <v>271779.27671587939</v>
      </c>
      <c r="I123" s="130">
        <f>O103</f>
        <v>11357.814237850449</v>
      </c>
      <c r="J123" s="130">
        <f>P103</f>
        <v>116955.13161157556</v>
      </c>
      <c r="K123" s="130">
        <f>R103</f>
        <v>9772.3291352894721</v>
      </c>
      <c r="L123" s="130">
        <f>S103</f>
        <v>125424.2884841412</v>
      </c>
      <c r="M123" s="130">
        <f>U103</f>
        <v>732.2575553011277</v>
      </c>
      <c r="N123" s="130">
        <f>V103</f>
        <v>65156.268755456287</v>
      </c>
      <c r="O123" s="130">
        <f>X103</f>
        <v>19937.30435723659</v>
      </c>
      <c r="P123" s="130">
        <f>Y103</f>
        <v>273395.03055276262</v>
      </c>
      <c r="Q123" s="130">
        <f>AA103</f>
        <v>7501.3261364231857</v>
      </c>
      <c r="R123" s="130">
        <f>AB103</f>
        <v>82788.785926447876</v>
      </c>
      <c r="S123" s="130">
        <f>AD103</f>
        <v>1271.7977223052201</v>
      </c>
      <c r="T123" s="130">
        <f>AE103</f>
        <v>102927.27707491143</v>
      </c>
      <c r="U123" s="130">
        <f>AG103</f>
        <v>1336.8608455970468</v>
      </c>
      <c r="V123" s="130">
        <f>AH103</f>
        <v>38033.161633273688</v>
      </c>
    </row>
    <row r="124" spans="1:22">
      <c r="A124" s="224">
        <f t="shared" si="18"/>
        <v>0.54000000000000037</v>
      </c>
      <c r="D124" s="274" t="s">
        <v>58</v>
      </c>
      <c r="E124" s="133">
        <f t="shared" ref="E124:V124" si="20">AVERAGE(E112:E123)</f>
        <v>11635.378947783165</v>
      </c>
      <c r="F124" s="133">
        <f t="shared" si="20"/>
        <v>144549.8733736155</v>
      </c>
      <c r="G124" s="133">
        <f t="shared" si="20"/>
        <v>15380.713774089514</v>
      </c>
      <c r="H124" s="133">
        <f t="shared" si="20"/>
        <v>239856.93238662407</v>
      </c>
      <c r="I124" s="133">
        <f t="shared" si="20"/>
        <v>12060.61870561795</v>
      </c>
      <c r="J124" s="133">
        <f t="shared" si="20"/>
        <v>116469.39286297526</v>
      </c>
      <c r="K124" s="133">
        <f t="shared" si="20"/>
        <v>11004.469216714233</v>
      </c>
      <c r="L124" s="133">
        <f t="shared" si="20"/>
        <v>127391.87768631343</v>
      </c>
      <c r="M124" s="133">
        <f t="shared" si="20"/>
        <v>1124.1198369557167</v>
      </c>
      <c r="N124" s="133">
        <f t="shared" si="20"/>
        <v>81648.663052625547</v>
      </c>
      <c r="O124" s="133">
        <f t="shared" si="20"/>
        <v>17128.57929049234</v>
      </c>
      <c r="P124" s="133">
        <f t="shared" si="20"/>
        <v>192604.82877226899</v>
      </c>
      <c r="Q124" s="133">
        <f t="shared" si="20"/>
        <v>8354.3880217655678</v>
      </c>
      <c r="R124" s="133">
        <f t="shared" si="20"/>
        <v>86651.337789231839</v>
      </c>
      <c r="S124" s="133">
        <f t="shared" si="20"/>
        <v>3185.9698318571614</v>
      </c>
      <c r="T124" s="133">
        <f t="shared" si="20"/>
        <v>93087.574328865114</v>
      </c>
      <c r="U124" s="133">
        <f t="shared" si="20"/>
        <v>1960.4536917721023</v>
      </c>
      <c r="V124" s="133">
        <f t="shared" si="20"/>
        <v>36924.072193407883</v>
      </c>
    </row>
    <row r="125" spans="1:22">
      <c r="A125" s="224">
        <f t="shared" si="18"/>
        <v>0.54500000000000037</v>
      </c>
      <c r="D125" s="183" t="s">
        <v>59</v>
      </c>
      <c r="E125" s="130">
        <f t="shared" ref="E125:V125" si="21">MEDIAN(E112:E123)</f>
        <v>11423.632634042955</v>
      </c>
      <c r="F125" s="130">
        <f t="shared" si="21"/>
        <v>142736.27855392074</v>
      </c>
      <c r="G125" s="130">
        <f t="shared" si="21"/>
        <v>15488.170490958135</v>
      </c>
      <c r="H125" s="130">
        <f t="shared" si="21"/>
        <v>242893.76262588927</v>
      </c>
      <c r="I125" s="130">
        <f t="shared" si="21"/>
        <v>11795.483601521762</v>
      </c>
      <c r="J125" s="130">
        <f t="shared" si="21"/>
        <v>113983.90186450472</v>
      </c>
      <c r="K125" s="130">
        <f t="shared" si="21"/>
        <v>10825.349100469111</v>
      </c>
      <c r="L125" s="130">
        <f t="shared" si="21"/>
        <v>125150.56125841966</v>
      </c>
      <c r="M125" s="130">
        <f t="shared" si="21"/>
        <v>840.02654964266958</v>
      </c>
      <c r="N125" s="130">
        <f t="shared" si="21"/>
        <v>83433.75931130533</v>
      </c>
      <c r="O125" s="130">
        <f t="shared" si="21"/>
        <v>18036.810028119944</v>
      </c>
      <c r="P125" s="130">
        <f t="shared" si="21"/>
        <v>183553.61601633948</v>
      </c>
      <c r="Q125" s="130">
        <f t="shared" si="21"/>
        <v>8229.1828570322141</v>
      </c>
      <c r="R125" s="130">
        <f t="shared" si="21"/>
        <v>83926.651648366795</v>
      </c>
      <c r="S125" s="130">
        <f t="shared" si="21"/>
        <v>3503.381402241253</v>
      </c>
      <c r="T125" s="130">
        <f t="shared" si="21"/>
        <v>93365.494772818551</v>
      </c>
      <c r="U125" s="130">
        <f t="shared" si="21"/>
        <v>2016.444034908146</v>
      </c>
      <c r="V125" s="130">
        <f t="shared" si="21"/>
        <v>40543.728686620423</v>
      </c>
    </row>
    <row r="126" spans="1:22">
      <c r="A126" s="224">
        <f t="shared" si="18"/>
        <v>0.55000000000000038</v>
      </c>
      <c r="D126" s="183" t="s">
        <v>60</v>
      </c>
      <c r="E126" s="130">
        <f t="shared" ref="E126:V126" si="22">MAX(E112:E123)</f>
        <v>16675.5238322279</v>
      </c>
      <c r="F126" s="130">
        <f t="shared" si="22"/>
        <v>194211.64303462917</v>
      </c>
      <c r="G126" s="130">
        <f t="shared" si="22"/>
        <v>18538.166157246676</v>
      </c>
      <c r="H126" s="130">
        <f t="shared" si="22"/>
        <v>362370.52739298285</v>
      </c>
      <c r="I126" s="130">
        <f t="shared" si="22"/>
        <v>16966.93605391054</v>
      </c>
      <c r="J126" s="130">
        <f t="shared" si="22"/>
        <v>167946.47162729147</v>
      </c>
      <c r="K126" s="130">
        <f t="shared" si="22"/>
        <v>12710.787855017832</v>
      </c>
      <c r="L126" s="130">
        <f t="shared" si="22"/>
        <v>146805.44054214694</v>
      </c>
      <c r="M126" s="130">
        <f t="shared" si="22"/>
        <v>2550.9750649133703</v>
      </c>
      <c r="N126" s="130">
        <f t="shared" si="22"/>
        <v>103349.13137179172</v>
      </c>
      <c r="O126" s="130">
        <f t="shared" si="22"/>
        <v>26101.825679530404</v>
      </c>
      <c r="P126" s="130">
        <f t="shared" si="22"/>
        <v>276170.48643128877</v>
      </c>
      <c r="Q126" s="130">
        <f t="shared" si="22"/>
        <v>10876.474692618898</v>
      </c>
      <c r="R126" s="130">
        <f t="shared" si="22"/>
        <v>110028.12148507359</v>
      </c>
      <c r="S126" s="130">
        <f t="shared" si="22"/>
        <v>4804.0975989392919</v>
      </c>
      <c r="T126" s="130">
        <f t="shared" si="22"/>
        <v>109033.1648241205</v>
      </c>
      <c r="U126" s="130">
        <f t="shared" si="22"/>
        <v>4270.3363135497011</v>
      </c>
      <c r="V126" s="130">
        <f t="shared" si="22"/>
        <v>68090.774657351503</v>
      </c>
    </row>
    <row r="127" spans="1:22">
      <c r="A127" s="224">
        <f t="shared" si="18"/>
        <v>0.55500000000000038</v>
      </c>
      <c r="D127" s="183" t="s">
        <v>61</v>
      </c>
      <c r="E127" s="130">
        <f t="shared" ref="E127:V127" si="23">QUARTILE(E112:E123,3)</f>
        <v>13444.148004895151</v>
      </c>
      <c r="F127" s="130">
        <f t="shared" si="23"/>
        <v>171831.95472085357</v>
      </c>
      <c r="G127" s="130">
        <f t="shared" si="23"/>
        <v>16434.840567545943</v>
      </c>
      <c r="H127" s="130">
        <f t="shared" si="23"/>
        <v>261682.50062585814</v>
      </c>
      <c r="I127" s="130">
        <f t="shared" si="23"/>
        <v>12853.866622612011</v>
      </c>
      <c r="J127" s="130">
        <f t="shared" si="23"/>
        <v>122240.01209760537</v>
      </c>
      <c r="K127" s="130">
        <f t="shared" si="23"/>
        <v>11721.244727427125</v>
      </c>
      <c r="L127" s="130">
        <f t="shared" si="23"/>
        <v>135740.92515388122</v>
      </c>
      <c r="M127" s="130">
        <f t="shared" si="23"/>
        <v>1409.9527985814491</v>
      </c>
      <c r="N127" s="130">
        <f t="shared" si="23"/>
        <v>90197.912131479039</v>
      </c>
      <c r="O127" s="130">
        <f t="shared" si="23"/>
        <v>20377.28593085023</v>
      </c>
      <c r="P127" s="130">
        <f t="shared" si="23"/>
        <v>221632.64565469761</v>
      </c>
      <c r="Q127" s="130">
        <f t="shared" si="23"/>
        <v>9395.2488953159827</v>
      </c>
      <c r="R127" s="130">
        <f t="shared" si="23"/>
        <v>89092.390141719399</v>
      </c>
      <c r="S127" s="130">
        <f t="shared" si="23"/>
        <v>3708.4201853858963</v>
      </c>
      <c r="T127" s="130">
        <f t="shared" si="23"/>
        <v>100671.21820047006</v>
      </c>
      <c r="U127" s="130">
        <f t="shared" si="23"/>
        <v>2401.9559785780248</v>
      </c>
      <c r="V127" s="130">
        <f t="shared" si="23"/>
        <v>44226.215153509424</v>
      </c>
    </row>
    <row r="128" spans="1:22">
      <c r="A128" s="224">
        <f t="shared" si="18"/>
        <v>0.56000000000000039</v>
      </c>
      <c r="D128" s="183" t="s">
        <v>20</v>
      </c>
      <c r="E128" s="130">
        <f t="shared" ref="E128:V128" si="24">SUM(E112:E123)</f>
        <v>139624.54737339797</v>
      </c>
      <c r="F128" s="130">
        <f t="shared" si="24"/>
        <v>1734598.480483386</v>
      </c>
      <c r="G128" s="130">
        <f t="shared" si="24"/>
        <v>184568.56528907418</v>
      </c>
      <c r="H128" s="130">
        <f t="shared" si="24"/>
        <v>2878283.188639489</v>
      </c>
      <c r="I128" s="130">
        <f t="shared" si="24"/>
        <v>144727.4244674154</v>
      </c>
      <c r="J128" s="130">
        <f t="shared" si="24"/>
        <v>1397632.7143557032</v>
      </c>
      <c r="K128" s="130">
        <f t="shared" si="24"/>
        <v>132053.63060057079</v>
      </c>
      <c r="L128" s="130">
        <f t="shared" si="24"/>
        <v>1528702.5322357612</v>
      </c>
      <c r="M128" s="130">
        <f t="shared" si="24"/>
        <v>13489.438043468601</v>
      </c>
      <c r="N128" s="130">
        <f t="shared" si="24"/>
        <v>979783.95663150656</v>
      </c>
      <c r="O128" s="130">
        <f t="shared" si="24"/>
        <v>205542.95148590807</v>
      </c>
      <c r="P128" s="130">
        <f t="shared" si="24"/>
        <v>2311257.9452672279</v>
      </c>
      <c r="Q128" s="130">
        <f t="shared" si="24"/>
        <v>100252.65626118681</v>
      </c>
      <c r="R128" s="130">
        <f t="shared" si="24"/>
        <v>1039816.053470782</v>
      </c>
      <c r="S128" s="130">
        <f t="shared" si="24"/>
        <v>38231.637982285938</v>
      </c>
      <c r="T128" s="130">
        <f t="shared" si="24"/>
        <v>1117050.8919463814</v>
      </c>
      <c r="U128" s="130">
        <f t="shared" si="24"/>
        <v>23525.444301265226</v>
      </c>
      <c r="V128" s="130">
        <f t="shared" si="24"/>
        <v>443088.86632089457</v>
      </c>
    </row>
    <row r="129" spans="1:22">
      <c r="A129" s="224">
        <f t="shared" si="18"/>
        <v>0.56500000000000039</v>
      </c>
      <c r="D129" s="183" t="s">
        <v>62</v>
      </c>
      <c r="E129" s="130">
        <f t="shared" ref="E129:V129" si="25">E126*12</f>
        <v>200106.28598673479</v>
      </c>
      <c r="F129" s="130">
        <f t="shared" si="25"/>
        <v>2330539.7164155501</v>
      </c>
      <c r="G129" s="130">
        <f t="shared" si="25"/>
        <v>222457.99388696012</v>
      </c>
      <c r="H129" s="130">
        <f t="shared" si="25"/>
        <v>4348446.3287157938</v>
      </c>
      <c r="I129" s="130">
        <f t="shared" si="25"/>
        <v>203603.23264692648</v>
      </c>
      <c r="J129" s="130">
        <f t="shared" si="25"/>
        <v>2015357.6595274976</v>
      </c>
      <c r="K129" s="130">
        <f t="shared" si="25"/>
        <v>152529.454260214</v>
      </c>
      <c r="L129" s="130">
        <f t="shared" si="25"/>
        <v>1761665.2865057634</v>
      </c>
      <c r="M129" s="130">
        <f t="shared" si="25"/>
        <v>30611.700778960443</v>
      </c>
      <c r="N129" s="130">
        <f t="shared" si="25"/>
        <v>1240189.5764615007</v>
      </c>
      <c r="O129" s="130">
        <f t="shared" si="25"/>
        <v>313221.90815436485</v>
      </c>
      <c r="P129" s="130">
        <f t="shared" si="25"/>
        <v>3314045.8371754652</v>
      </c>
      <c r="Q129" s="130">
        <f t="shared" si="25"/>
        <v>130517.69631142679</v>
      </c>
      <c r="R129" s="130">
        <f t="shared" si="25"/>
        <v>1320337.457820883</v>
      </c>
      <c r="S129" s="130">
        <f t="shared" si="25"/>
        <v>57649.171187271502</v>
      </c>
      <c r="T129" s="130">
        <f t="shared" si="25"/>
        <v>1308397.9778894461</v>
      </c>
      <c r="U129" s="130">
        <f t="shared" si="25"/>
        <v>51244.03576259641</v>
      </c>
      <c r="V129" s="130">
        <f t="shared" si="25"/>
        <v>817089.2958882181</v>
      </c>
    </row>
    <row r="130" spans="1:22">
      <c r="A130" s="224">
        <f t="shared" si="18"/>
        <v>0.5700000000000004</v>
      </c>
      <c r="D130" s="183" t="s">
        <v>63</v>
      </c>
      <c r="E130" s="130">
        <f t="shared" ref="E130:V130" si="26">E127*12</f>
        <v>161329.77605874182</v>
      </c>
      <c r="F130" s="130">
        <f t="shared" si="26"/>
        <v>2061983.4566502427</v>
      </c>
      <c r="G130" s="130">
        <f t="shared" si="26"/>
        <v>197218.08681055132</v>
      </c>
      <c r="H130" s="130">
        <f t="shared" si="26"/>
        <v>3140190.0075102979</v>
      </c>
      <c r="I130" s="130">
        <f t="shared" si="26"/>
        <v>154246.39947134414</v>
      </c>
      <c r="J130" s="130">
        <f t="shared" si="26"/>
        <v>1466880.1451712644</v>
      </c>
      <c r="K130" s="130">
        <f t="shared" si="26"/>
        <v>140654.9367291255</v>
      </c>
      <c r="L130" s="130">
        <f t="shared" si="26"/>
        <v>1628891.1018465748</v>
      </c>
      <c r="M130" s="130">
        <f t="shared" si="26"/>
        <v>16919.433582977388</v>
      </c>
      <c r="N130" s="130">
        <f t="shared" si="26"/>
        <v>1082374.9455777486</v>
      </c>
      <c r="O130" s="130">
        <f t="shared" si="26"/>
        <v>244527.43117020276</v>
      </c>
      <c r="P130" s="130">
        <f t="shared" si="26"/>
        <v>2659591.7478563711</v>
      </c>
      <c r="Q130" s="130">
        <f t="shared" si="26"/>
        <v>112742.98674379179</v>
      </c>
      <c r="R130" s="130">
        <f t="shared" si="26"/>
        <v>1069108.6817006329</v>
      </c>
      <c r="S130" s="130">
        <f t="shared" si="26"/>
        <v>44501.042224630757</v>
      </c>
      <c r="T130" s="130">
        <f t="shared" si="26"/>
        <v>1208054.6184056406</v>
      </c>
      <c r="U130" s="130">
        <f t="shared" si="26"/>
        <v>28823.471742936297</v>
      </c>
      <c r="V130" s="130">
        <f t="shared" si="26"/>
        <v>530714.58184211305</v>
      </c>
    </row>
    <row r="131" spans="1:22">
      <c r="A131" s="224">
        <f t="shared" si="18"/>
        <v>0.5750000000000004</v>
      </c>
      <c r="E131" s="134"/>
      <c r="F131" s="134"/>
      <c r="G131" s="134"/>
      <c r="H131" s="134"/>
      <c r="I131" s="134"/>
      <c r="J131" s="134"/>
      <c r="K131" s="134"/>
      <c r="L131" s="134"/>
      <c r="M131" s="134"/>
      <c r="N131" s="134"/>
      <c r="O131" s="134"/>
      <c r="P131" s="134"/>
      <c r="Q131" s="134"/>
      <c r="R131" s="134"/>
      <c r="S131" s="134"/>
      <c r="T131" s="134"/>
      <c r="U131" s="134"/>
      <c r="V131" s="134"/>
    </row>
    <row r="132" spans="1:22">
      <c r="A132" s="224">
        <f t="shared" si="18"/>
        <v>0.5800000000000004</v>
      </c>
      <c r="D132" s="357" t="s">
        <v>64</v>
      </c>
      <c r="E132" s="130">
        <v>14510</v>
      </c>
      <c r="F132" s="130">
        <v>144091</v>
      </c>
      <c r="G132" s="130">
        <v>26451</v>
      </c>
      <c r="H132" s="130">
        <v>284332</v>
      </c>
      <c r="I132" s="130">
        <v>8073</v>
      </c>
      <c r="J132" s="130">
        <v>126270</v>
      </c>
      <c r="K132" s="130">
        <v>10978</v>
      </c>
      <c r="L132" s="130">
        <v>114723</v>
      </c>
      <c r="M132" s="130">
        <v>548</v>
      </c>
      <c r="N132" s="130">
        <v>91159</v>
      </c>
      <c r="O132" s="130">
        <v>14122</v>
      </c>
      <c r="P132" s="130">
        <v>149694</v>
      </c>
      <c r="Q132" s="130">
        <v>9657</v>
      </c>
      <c r="R132" s="130">
        <v>92820</v>
      </c>
      <c r="S132" s="130">
        <v>5548</v>
      </c>
      <c r="T132" s="130">
        <v>95718</v>
      </c>
      <c r="U132" s="130">
        <v>11770</v>
      </c>
      <c r="V132" s="130">
        <v>105937</v>
      </c>
    </row>
    <row r="133" spans="1:22">
      <c r="A133" s="224">
        <f t="shared" si="18"/>
        <v>0.58500000000000041</v>
      </c>
      <c r="D133" s="357"/>
      <c r="E133" s="130">
        <v>15101</v>
      </c>
      <c r="F133" s="130">
        <v>156371</v>
      </c>
      <c r="G133" s="130">
        <v>25651</v>
      </c>
      <c r="H133" s="130">
        <v>286213</v>
      </c>
      <c r="I133" s="130">
        <v>6878</v>
      </c>
      <c r="J133" s="130">
        <v>125455</v>
      </c>
      <c r="K133" s="130">
        <v>10022</v>
      </c>
      <c r="L133" s="130">
        <v>113376</v>
      </c>
      <c r="M133" s="130">
        <v>634</v>
      </c>
      <c r="N133" s="130">
        <v>105057</v>
      </c>
      <c r="O133" s="130">
        <v>12952</v>
      </c>
      <c r="P133" s="130">
        <v>144521</v>
      </c>
      <c r="Q133" s="130">
        <v>9319</v>
      </c>
      <c r="R133" s="130">
        <v>93361</v>
      </c>
      <c r="S133" s="130">
        <v>6458</v>
      </c>
      <c r="T133" s="130">
        <v>98613</v>
      </c>
      <c r="U133" s="130">
        <v>9738</v>
      </c>
      <c r="V133" s="130">
        <v>106813</v>
      </c>
    </row>
    <row r="134" spans="1:22">
      <c r="A134" s="224">
        <f t="shared" si="18"/>
        <v>0.59000000000000041</v>
      </c>
      <c r="D134" s="357"/>
      <c r="E134" s="130">
        <v>11899</v>
      </c>
      <c r="F134" s="130">
        <v>112938</v>
      </c>
      <c r="G134" s="130">
        <v>21067</v>
      </c>
      <c r="H134" s="130">
        <v>229642</v>
      </c>
      <c r="I134" s="130">
        <v>5683</v>
      </c>
      <c r="J134" s="130">
        <v>93836</v>
      </c>
      <c r="K134" s="130">
        <v>8851</v>
      </c>
      <c r="L134" s="130">
        <v>95455</v>
      </c>
      <c r="M134" s="130">
        <v>413</v>
      </c>
      <c r="N134" s="130">
        <v>82085</v>
      </c>
      <c r="O134" s="130">
        <v>11161</v>
      </c>
      <c r="P134" s="130">
        <v>109177</v>
      </c>
      <c r="Q134" s="130">
        <v>7334</v>
      </c>
      <c r="R134" s="130">
        <v>80585</v>
      </c>
      <c r="S134" s="130">
        <v>5721</v>
      </c>
      <c r="T134" s="130">
        <v>78792</v>
      </c>
      <c r="U134" s="130">
        <v>5698</v>
      </c>
      <c r="V134" s="130">
        <v>83646</v>
      </c>
    </row>
    <row r="135" spans="1:22">
      <c r="A135" s="224">
        <f t="shared" si="18"/>
        <v>0.59500000000000042</v>
      </c>
      <c r="D135" s="357"/>
      <c r="E135" s="130">
        <v>10335</v>
      </c>
      <c r="F135" s="130">
        <v>98112</v>
      </c>
      <c r="G135" s="188">
        <v>18326</v>
      </c>
      <c r="H135" s="130">
        <v>211884</v>
      </c>
      <c r="I135" s="130">
        <v>6924</v>
      </c>
      <c r="J135" s="130">
        <v>86149</v>
      </c>
      <c r="K135" s="130">
        <v>8740</v>
      </c>
      <c r="L135" s="130">
        <v>93060</v>
      </c>
      <c r="M135" s="130">
        <v>1488</v>
      </c>
      <c r="N135" s="130">
        <v>83488</v>
      </c>
      <c r="O135" s="130">
        <v>9806</v>
      </c>
      <c r="P135" s="130">
        <v>103247</v>
      </c>
      <c r="Q135" s="130">
        <v>5960</v>
      </c>
      <c r="R135" s="130">
        <v>76287</v>
      </c>
      <c r="S135" s="188">
        <v>4726</v>
      </c>
      <c r="T135" s="130">
        <v>65839</v>
      </c>
      <c r="U135" s="188">
        <v>4424</v>
      </c>
      <c r="V135" s="188">
        <v>72680</v>
      </c>
    </row>
    <row r="136" spans="1:22">
      <c r="A136" s="224">
        <f t="shared" si="18"/>
        <v>0.60000000000000042</v>
      </c>
      <c r="D136" s="357"/>
      <c r="E136" s="130">
        <v>10342</v>
      </c>
      <c r="F136" s="130">
        <v>107784</v>
      </c>
      <c r="G136" s="189">
        <v>16666</v>
      </c>
      <c r="H136" s="130">
        <v>215694</v>
      </c>
      <c r="I136" s="130">
        <v>6668</v>
      </c>
      <c r="J136" s="130">
        <v>84753</v>
      </c>
      <c r="K136" s="130">
        <v>9458</v>
      </c>
      <c r="L136" s="130">
        <v>103406</v>
      </c>
      <c r="M136" s="130">
        <v>292</v>
      </c>
      <c r="N136" s="130">
        <v>82312</v>
      </c>
      <c r="O136" s="130">
        <v>9086</v>
      </c>
      <c r="P136" s="130">
        <v>91228</v>
      </c>
      <c r="Q136" s="130">
        <v>6101</v>
      </c>
      <c r="R136" s="130">
        <v>77443</v>
      </c>
      <c r="S136" s="189">
        <v>4414</v>
      </c>
      <c r="T136" s="130">
        <v>64521</v>
      </c>
      <c r="U136" s="189">
        <v>2951</v>
      </c>
      <c r="V136" s="189">
        <v>60719</v>
      </c>
    </row>
    <row r="137" spans="1:22">
      <c r="A137" s="224">
        <f t="shared" si="18"/>
        <v>0.60500000000000043</v>
      </c>
      <c r="D137" s="357"/>
      <c r="E137" s="130">
        <v>9610</v>
      </c>
      <c r="F137" s="130">
        <v>106833</v>
      </c>
      <c r="G137" s="189">
        <v>16834</v>
      </c>
      <c r="H137" s="130">
        <v>226125</v>
      </c>
      <c r="I137" s="130">
        <v>9409</v>
      </c>
      <c r="J137" s="130">
        <v>103466</v>
      </c>
      <c r="K137" s="130">
        <v>10024</v>
      </c>
      <c r="L137" s="130">
        <v>111831</v>
      </c>
      <c r="M137" s="130">
        <v>550</v>
      </c>
      <c r="N137" s="130">
        <v>74112</v>
      </c>
      <c r="O137" s="130">
        <v>11254</v>
      </c>
      <c r="P137" s="130">
        <v>113693</v>
      </c>
      <c r="Q137" s="130">
        <v>7630</v>
      </c>
      <c r="R137" s="130">
        <v>82268</v>
      </c>
      <c r="S137" s="189">
        <v>2292</v>
      </c>
      <c r="T137" s="130">
        <v>69043</v>
      </c>
      <c r="U137" s="189">
        <v>2812</v>
      </c>
      <c r="V137" s="189">
        <v>52702</v>
      </c>
    </row>
    <row r="138" spans="1:22">
      <c r="A138" s="224">
        <f t="shared" si="18"/>
        <v>0.61000000000000043</v>
      </c>
      <c r="D138" s="357"/>
      <c r="E138" s="130">
        <v>11268</v>
      </c>
      <c r="F138" s="130">
        <v>140486</v>
      </c>
      <c r="G138" s="189">
        <v>14531</v>
      </c>
      <c r="H138" s="130">
        <v>229595</v>
      </c>
      <c r="I138" s="130">
        <v>9903</v>
      </c>
      <c r="J138" s="130">
        <v>107792</v>
      </c>
      <c r="K138" s="130">
        <v>10090</v>
      </c>
      <c r="L138" s="130">
        <v>119243</v>
      </c>
      <c r="M138" s="130">
        <v>480</v>
      </c>
      <c r="N138" s="130">
        <v>77346</v>
      </c>
      <c r="Q138" s="130">
        <v>8835</v>
      </c>
      <c r="R138" s="130">
        <v>81931</v>
      </c>
      <c r="S138" s="189">
        <v>2693</v>
      </c>
      <c r="T138" s="130">
        <v>90173</v>
      </c>
      <c r="U138" s="189">
        <v>2068</v>
      </c>
      <c r="V138" s="189">
        <v>43226</v>
      </c>
    </row>
    <row r="139" spans="1:22">
      <c r="A139" s="224">
        <f t="shared" si="18"/>
        <v>0.61500000000000044</v>
      </c>
      <c r="D139" s="187" t="s">
        <v>65</v>
      </c>
      <c r="E139" s="130">
        <f>AVERAGE(E132:E138)</f>
        <v>11866.428571428571</v>
      </c>
      <c r="F139" s="130">
        <f>AVERAGE(F132:F138)</f>
        <v>123802.14285714286</v>
      </c>
      <c r="G139" s="130">
        <f t="shared" ref="G139:V139" si="27">AVERAGE(G132:G138)</f>
        <v>19932.285714285714</v>
      </c>
      <c r="H139" s="130">
        <f t="shared" si="27"/>
        <v>240497.85714285713</v>
      </c>
      <c r="I139" s="130">
        <f t="shared" si="27"/>
        <v>7648.2857142857147</v>
      </c>
      <c r="J139" s="130">
        <f t="shared" si="27"/>
        <v>103960.14285714286</v>
      </c>
      <c r="K139" s="130">
        <f t="shared" si="27"/>
        <v>9737.5714285714294</v>
      </c>
      <c r="L139" s="130">
        <f t="shared" si="27"/>
        <v>107299.14285714286</v>
      </c>
      <c r="M139" s="130">
        <f t="shared" si="27"/>
        <v>629.28571428571433</v>
      </c>
      <c r="N139" s="130">
        <f t="shared" si="27"/>
        <v>85079.857142857145</v>
      </c>
      <c r="O139" s="130">
        <f t="shared" si="27"/>
        <v>11396.833333333334</v>
      </c>
      <c r="P139" s="130">
        <f t="shared" si="27"/>
        <v>118593.33333333333</v>
      </c>
      <c r="Q139" s="130">
        <f t="shared" si="27"/>
        <v>7833.7142857142853</v>
      </c>
      <c r="R139" s="130">
        <f t="shared" si="27"/>
        <v>83527.857142857145</v>
      </c>
      <c r="S139" s="130">
        <f t="shared" si="27"/>
        <v>4550.2857142857147</v>
      </c>
      <c r="T139" s="130">
        <f t="shared" si="27"/>
        <v>80385.571428571435</v>
      </c>
      <c r="U139" s="130">
        <f t="shared" si="27"/>
        <v>5637.2857142857147</v>
      </c>
      <c r="V139" s="130">
        <f t="shared" si="27"/>
        <v>75103.28571428571</v>
      </c>
    </row>
    <row r="140" spans="1:22">
      <c r="A140" s="224">
        <f t="shared" si="18"/>
        <v>0.62000000000000044</v>
      </c>
      <c r="C140" s="358" t="s">
        <v>66</v>
      </c>
      <c r="D140" s="183" t="s">
        <v>58</v>
      </c>
      <c r="E140" s="134">
        <f t="shared" ref="E140:V140" si="28">1-(E139/E124)</f>
        <v>-1.9857507407562869E-2</v>
      </c>
      <c r="F140" s="134">
        <f t="shared" si="28"/>
        <v>0.14353337040182912</v>
      </c>
      <c r="G140" s="134">
        <f t="shared" si="28"/>
        <v>-0.29592722464309928</v>
      </c>
      <c r="H140" s="134">
        <f t="shared" si="28"/>
        <v>-2.6721127042512727E-3</v>
      </c>
      <c r="I140" s="134">
        <f t="shared" si="28"/>
        <v>0.36584632173778353</v>
      </c>
      <c r="J140" s="134">
        <f t="shared" si="28"/>
        <v>0.10740375388192658</v>
      </c>
      <c r="K140" s="134">
        <f t="shared" si="28"/>
        <v>0.11512575147364357</v>
      </c>
      <c r="L140" s="134">
        <f t="shared" si="28"/>
        <v>0.1577238297613166</v>
      </c>
      <c r="M140" s="134">
        <f t="shared" si="28"/>
        <v>0.44019694911717466</v>
      </c>
      <c r="N140" s="134">
        <f t="shared" si="28"/>
        <v>-4.2023885780224868E-2</v>
      </c>
      <c r="O140" s="134">
        <f t="shared" si="28"/>
        <v>0.3346305528293616</v>
      </c>
      <c r="P140" s="134">
        <f t="shared" si="28"/>
        <v>0.38426604312420931</v>
      </c>
      <c r="Q140" s="134">
        <f t="shared" si="28"/>
        <v>6.2323384393300651E-2</v>
      </c>
      <c r="R140" s="134">
        <f t="shared" si="28"/>
        <v>3.6046536915242511E-2</v>
      </c>
      <c r="S140" s="134">
        <f t="shared" si="28"/>
        <v>-0.42822624018171207</v>
      </c>
      <c r="T140" s="134">
        <f t="shared" si="28"/>
        <v>0.13645218485787713</v>
      </c>
      <c r="U140" s="134">
        <f t="shared" si="28"/>
        <v>-1.8755005731301071</v>
      </c>
      <c r="V140" s="134">
        <f t="shared" si="28"/>
        <v>-1.0339924946765224</v>
      </c>
    </row>
    <row r="141" spans="1:22">
      <c r="A141" s="224">
        <f t="shared" si="18"/>
        <v>0.62500000000000044</v>
      </c>
      <c r="C141" s="358"/>
      <c r="D141" s="183" t="s">
        <v>59</v>
      </c>
      <c r="E141" s="134">
        <f t="shared" ref="E141:V141" si="29">1-(E139/E125)</f>
        <v>-3.8761395045746161E-2</v>
      </c>
      <c r="F141" s="134">
        <f t="shared" si="29"/>
        <v>0.13265117942405391</v>
      </c>
      <c r="G141" s="134">
        <f t="shared" si="29"/>
        <v>-0.2869360991294625</v>
      </c>
      <c r="H141" s="134">
        <f t="shared" si="29"/>
        <v>9.864005798791875E-3</v>
      </c>
      <c r="I141" s="134">
        <f t="shared" si="29"/>
        <v>0.35159201838074772</v>
      </c>
      <c r="J141" s="134">
        <f t="shared" si="29"/>
        <v>8.7940128767282744E-2</v>
      </c>
      <c r="K141" s="134">
        <f t="shared" si="29"/>
        <v>0.10048430418290566</v>
      </c>
      <c r="L141" s="134">
        <f t="shared" si="29"/>
        <v>0.14263953930191287</v>
      </c>
      <c r="M141" s="134">
        <f t="shared" si="29"/>
        <v>0.25087401754932648</v>
      </c>
      <c r="N141" s="134">
        <f t="shared" si="29"/>
        <v>-1.9729397849735486E-2</v>
      </c>
      <c r="O141" s="134">
        <f t="shared" si="29"/>
        <v>0.36813475799959539</v>
      </c>
      <c r="P141" s="134">
        <f t="shared" si="29"/>
        <v>0.35390358464648031</v>
      </c>
      <c r="Q141" s="134">
        <f t="shared" si="29"/>
        <v>4.8056845763243983E-2</v>
      </c>
      <c r="R141" s="134">
        <f t="shared" si="29"/>
        <v>4.7517027985402027E-3</v>
      </c>
      <c r="S141" s="134">
        <f t="shared" si="29"/>
        <v>-0.29882681667908462</v>
      </c>
      <c r="T141" s="134">
        <f t="shared" si="29"/>
        <v>0.13902270186465027</v>
      </c>
      <c r="U141" s="134">
        <f t="shared" si="29"/>
        <v>-1.7956569171742509</v>
      </c>
      <c r="V141" s="134">
        <f t="shared" si="29"/>
        <v>-0.85240203965428729</v>
      </c>
    </row>
    <row r="142" spans="1:22">
      <c r="A142" s="224">
        <f t="shared" si="18"/>
        <v>0.63000000000000045</v>
      </c>
      <c r="C142" s="358"/>
      <c r="D142" s="183" t="s">
        <v>60</v>
      </c>
      <c r="E142" s="134">
        <f t="shared" ref="E142:V142" si="30">1-(E139/E126)</f>
        <v>0.28839245526458646</v>
      </c>
      <c r="F142" s="134">
        <f t="shared" si="30"/>
        <v>0.36254005721444749</v>
      </c>
      <c r="G142" s="134">
        <f t="shared" si="30"/>
        <v>-7.5202668117960947E-2</v>
      </c>
      <c r="H142" s="134">
        <f t="shared" si="30"/>
        <v>0.33632059187296293</v>
      </c>
      <c r="I142" s="134">
        <f t="shared" si="30"/>
        <v>0.54922410917421138</v>
      </c>
      <c r="J142" s="134">
        <f t="shared" si="30"/>
        <v>0.3809923968640897</v>
      </c>
      <c r="K142" s="134">
        <f t="shared" si="30"/>
        <v>0.23391283533008278</v>
      </c>
      <c r="L142" s="134">
        <f t="shared" si="30"/>
        <v>0.26910649591124702</v>
      </c>
      <c r="M142" s="134">
        <f t="shared" si="30"/>
        <v>0.75331561529509328</v>
      </c>
      <c r="N142" s="134">
        <f t="shared" si="30"/>
        <v>0.17677240230701174</v>
      </c>
      <c r="O142" s="134">
        <f t="shared" si="30"/>
        <v>0.56337026102082322</v>
      </c>
      <c r="P142" s="134">
        <f t="shared" si="30"/>
        <v>0.57057926476571796</v>
      </c>
      <c r="Q142" s="134">
        <f t="shared" si="30"/>
        <v>0.27975612437819775</v>
      </c>
      <c r="R142" s="134">
        <f t="shared" si="30"/>
        <v>0.24084992077058653</v>
      </c>
      <c r="S142" s="134">
        <f t="shared" si="30"/>
        <v>5.2832374743930433E-2</v>
      </c>
      <c r="T142" s="134">
        <f t="shared" si="30"/>
        <v>0.26274201470497527</v>
      </c>
      <c r="U142" s="134">
        <f t="shared" si="30"/>
        <v>-0.32010345330383161</v>
      </c>
      <c r="V142" s="134">
        <f t="shared" si="30"/>
        <v>-0.10298768213789278</v>
      </c>
    </row>
    <row r="143" spans="1:22">
      <c r="A143" s="224">
        <f t="shared" si="18"/>
        <v>0.63500000000000045</v>
      </c>
      <c r="C143" s="358"/>
      <c r="D143" s="183" t="s">
        <v>61</v>
      </c>
      <c r="E143" s="134">
        <f t="shared" ref="E143:V143" si="31">1-(E139/E127)</f>
        <v>0.11735361979741044</v>
      </c>
      <c r="F143" s="134">
        <f t="shared" si="31"/>
        <v>0.27951618161905134</v>
      </c>
      <c r="G143" s="134">
        <f t="shared" si="31"/>
        <v>-0.21280675844499597</v>
      </c>
      <c r="H143" s="134">
        <f t="shared" si="31"/>
        <v>8.0955522177961203E-2</v>
      </c>
      <c r="I143" s="134">
        <f t="shared" si="31"/>
        <v>0.40498171181960496</v>
      </c>
      <c r="J143" s="134">
        <f t="shared" si="31"/>
        <v>0.14954080032212802</v>
      </c>
      <c r="K143" s="134">
        <f t="shared" si="31"/>
        <v>0.16923742699561595</v>
      </c>
      <c r="L143" s="134">
        <f t="shared" si="31"/>
        <v>0.20952989869853655</v>
      </c>
      <c r="M143" s="134">
        <f t="shared" si="31"/>
        <v>0.55368313398942326</v>
      </c>
      <c r="N143" s="134">
        <f t="shared" si="31"/>
        <v>5.6742499551003411E-2</v>
      </c>
      <c r="O143" s="134">
        <f t="shared" si="31"/>
        <v>0.44070896526612124</v>
      </c>
      <c r="P143" s="134">
        <f t="shared" si="31"/>
        <v>0.46491035658121838</v>
      </c>
      <c r="Q143" s="134">
        <f t="shared" si="31"/>
        <v>0.1662047091035771</v>
      </c>
      <c r="R143" s="134">
        <f t="shared" si="31"/>
        <v>6.2458005560415919E-2</v>
      </c>
      <c r="S143" s="134">
        <f t="shared" si="31"/>
        <v>-0.22701460104694537</v>
      </c>
      <c r="T143" s="134">
        <f t="shared" si="31"/>
        <v>0.20150393662171762</v>
      </c>
      <c r="U143" s="134">
        <f t="shared" si="31"/>
        <v>-1.3469562991837294</v>
      </c>
      <c r="V143" s="134">
        <f t="shared" si="31"/>
        <v>-0.69816217493633159</v>
      </c>
    </row>
    <row r="144" spans="1:22">
      <c r="A144" s="224">
        <f t="shared" si="18"/>
        <v>0.64000000000000046</v>
      </c>
      <c r="E144" s="130">
        <f t="shared" ref="E144:V144" si="32">AVERAGE(E136:E138)</f>
        <v>10406.666666666666</v>
      </c>
      <c r="F144" s="130">
        <f t="shared" si="32"/>
        <v>118367.66666666667</v>
      </c>
      <c r="G144" s="130">
        <f>AVERAGE(G136:G138)</f>
        <v>16010.333333333334</v>
      </c>
      <c r="H144" s="130">
        <f t="shared" si="32"/>
        <v>223804.66666666666</v>
      </c>
      <c r="I144" s="130">
        <f t="shared" si="32"/>
        <v>8660</v>
      </c>
      <c r="J144" s="130">
        <f t="shared" si="32"/>
        <v>98670.333333333328</v>
      </c>
      <c r="K144" s="130">
        <f t="shared" si="32"/>
        <v>9857.3333333333339</v>
      </c>
      <c r="L144" s="130">
        <f t="shared" si="32"/>
        <v>111493.33333333333</v>
      </c>
      <c r="M144" s="130">
        <f t="shared" si="32"/>
        <v>440.66666666666669</v>
      </c>
      <c r="N144" s="130">
        <f t="shared" si="32"/>
        <v>77923.333333333328</v>
      </c>
      <c r="O144" s="130">
        <f t="shared" si="32"/>
        <v>10170</v>
      </c>
      <c r="P144" s="130">
        <f t="shared" si="32"/>
        <v>102460.5</v>
      </c>
      <c r="Q144" s="130">
        <f t="shared" si="32"/>
        <v>7522</v>
      </c>
      <c r="R144" s="130">
        <f t="shared" si="32"/>
        <v>80547.333333333328</v>
      </c>
      <c r="S144" s="130">
        <f t="shared" si="32"/>
        <v>3133</v>
      </c>
      <c r="T144" s="130">
        <f t="shared" si="32"/>
        <v>74579</v>
      </c>
      <c r="U144" s="130">
        <f t="shared" si="32"/>
        <v>2610.3333333333335</v>
      </c>
      <c r="V144" s="130">
        <f t="shared" si="32"/>
        <v>52215.666666666664</v>
      </c>
    </row>
    <row r="145" spans="1:1">
      <c r="A145" s="224">
        <f t="shared" si="18"/>
        <v>0.64500000000000046</v>
      </c>
    </row>
    <row r="146" spans="1:1">
      <c r="A146" s="224">
        <f t="shared" ref="A146:A209" si="33">0.005+A145</f>
        <v>0.65000000000000047</v>
      </c>
    </row>
    <row r="147" spans="1:1">
      <c r="A147" s="224">
        <f t="shared" si="33"/>
        <v>0.65500000000000047</v>
      </c>
    </row>
    <row r="148" spans="1:1">
      <c r="A148" s="224">
        <f t="shared" si="33"/>
        <v>0.66000000000000048</v>
      </c>
    </row>
    <row r="149" spans="1:1">
      <c r="A149" s="224">
        <f t="shared" si="33"/>
        <v>0.66500000000000048</v>
      </c>
    </row>
    <row r="150" spans="1:1">
      <c r="A150" s="224">
        <f t="shared" si="33"/>
        <v>0.67000000000000048</v>
      </c>
    </row>
    <row r="151" spans="1:1">
      <c r="A151" s="224">
        <f t="shared" si="33"/>
        <v>0.67500000000000049</v>
      </c>
    </row>
    <row r="152" spans="1:1">
      <c r="A152" s="224">
        <f t="shared" si="33"/>
        <v>0.68000000000000049</v>
      </c>
    </row>
    <row r="153" spans="1:1">
      <c r="A153" s="224">
        <f t="shared" si="33"/>
        <v>0.6850000000000005</v>
      </c>
    </row>
    <row r="154" spans="1:1">
      <c r="A154" s="224">
        <f t="shared" si="33"/>
        <v>0.6900000000000005</v>
      </c>
    </row>
    <row r="155" spans="1:1">
      <c r="A155" s="224">
        <f t="shared" si="33"/>
        <v>0.69500000000000051</v>
      </c>
    </row>
    <row r="156" spans="1:1">
      <c r="A156" s="224">
        <f t="shared" si="33"/>
        <v>0.70000000000000051</v>
      </c>
    </row>
    <row r="157" spans="1:1">
      <c r="A157" s="224">
        <f t="shared" si="33"/>
        <v>0.70500000000000052</v>
      </c>
    </row>
    <row r="158" spans="1:1">
      <c r="A158" s="224">
        <f t="shared" si="33"/>
        <v>0.71000000000000052</v>
      </c>
    </row>
    <row r="159" spans="1:1">
      <c r="A159" s="224">
        <f t="shared" si="33"/>
        <v>0.71500000000000052</v>
      </c>
    </row>
    <row r="160" spans="1:1">
      <c r="A160" s="224">
        <f t="shared" si="33"/>
        <v>0.72000000000000053</v>
      </c>
    </row>
    <row r="161" spans="1:1">
      <c r="A161" s="224">
        <f t="shared" si="33"/>
        <v>0.72500000000000053</v>
      </c>
    </row>
    <row r="162" spans="1:1">
      <c r="A162" s="224">
        <f t="shared" si="33"/>
        <v>0.73000000000000054</v>
      </c>
    </row>
    <row r="163" spans="1:1">
      <c r="A163" s="224">
        <f t="shared" si="33"/>
        <v>0.73500000000000054</v>
      </c>
    </row>
    <row r="164" spans="1:1">
      <c r="A164" s="224">
        <f t="shared" si="33"/>
        <v>0.74000000000000055</v>
      </c>
    </row>
    <row r="165" spans="1:1">
      <c r="A165" s="224">
        <f t="shared" si="33"/>
        <v>0.74500000000000055</v>
      </c>
    </row>
    <row r="166" spans="1:1">
      <c r="A166" s="224">
        <f t="shared" si="33"/>
        <v>0.75000000000000056</v>
      </c>
    </row>
    <row r="167" spans="1:1">
      <c r="A167" s="224">
        <f t="shared" si="33"/>
        <v>0.75500000000000056</v>
      </c>
    </row>
    <row r="168" spans="1:1">
      <c r="A168" s="224">
        <f t="shared" si="33"/>
        <v>0.76000000000000056</v>
      </c>
    </row>
    <row r="169" spans="1:1">
      <c r="A169" s="224">
        <f t="shared" si="33"/>
        <v>0.76500000000000057</v>
      </c>
    </row>
    <row r="170" spans="1:1">
      <c r="A170" s="224">
        <f t="shared" si="33"/>
        <v>0.77000000000000057</v>
      </c>
    </row>
    <row r="171" spans="1:1">
      <c r="A171" s="224">
        <f t="shared" si="33"/>
        <v>0.77500000000000058</v>
      </c>
    </row>
    <row r="172" spans="1:1">
      <c r="A172" s="224">
        <f t="shared" si="33"/>
        <v>0.78000000000000058</v>
      </c>
    </row>
    <row r="173" spans="1:1">
      <c r="A173" s="224">
        <f t="shared" si="33"/>
        <v>0.78500000000000059</v>
      </c>
    </row>
    <row r="174" spans="1:1">
      <c r="A174" s="224">
        <f t="shared" si="33"/>
        <v>0.79000000000000059</v>
      </c>
    </row>
    <row r="175" spans="1:1">
      <c r="A175" s="224">
        <f t="shared" si="33"/>
        <v>0.7950000000000006</v>
      </c>
    </row>
    <row r="176" spans="1:1">
      <c r="A176" s="224">
        <f t="shared" si="33"/>
        <v>0.8000000000000006</v>
      </c>
    </row>
    <row r="177" spans="1:1">
      <c r="A177" s="224">
        <f t="shared" si="33"/>
        <v>0.8050000000000006</v>
      </c>
    </row>
    <row r="178" spans="1:1">
      <c r="A178" s="224">
        <f t="shared" si="33"/>
        <v>0.81000000000000061</v>
      </c>
    </row>
    <row r="179" spans="1:1">
      <c r="A179" s="224">
        <f t="shared" si="33"/>
        <v>0.81500000000000061</v>
      </c>
    </row>
    <row r="180" spans="1:1">
      <c r="A180" s="224">
        <f t="shared" si="33"/>
        <v>0.82000000000000062</v>
      </c>
    </row>
    <row r="181" spans="1:1">
      <c r="A181" s="224">
        <f t="shared" si="33"/>
        <v>0.82500000000000062</v>
      </c>
    </row>
    <row r="182" spans="1:1">
      <c r="A182" s="224">
        <f t="shared" si="33"/>
        <v>0.83000000000000063</v>
      </c>
    </row>
    <row r="183" spans="1:1">
      <c r="A183" s="224">
        <f t="shared" si="33"/>
        <v>0.83500000000000063</v>
      </c>
    </row>
    <row r="184" spans="1:1">
      <c r="A184" s="224">
        <f t="shared" si="33"/>
        <v>0.84000000000000064</v>
      </c>
    </row>
    <row r="185" spans="1:1">
      <c r="A185" s="224">
        <f t="shared" si="33"/>
        <v>0.84500000000000064</v>
      </c>
    </row>
    <row r="186" spans="1:1">
      <c r="A186" s="224">
        <f t="shared" si="33"/>
        <v>0.85000000000000064</v>
      </c>
    </row>
    <row r="187" spans="1:1">
      <c r="A187" s="224">
        <f t="shared" si="33"/>
        <v>0.85500000000000065</v>
      </c>
    </row>
    <row r="188" spans="1:1">
      <c r="A188" s="224">
        <f t="shared" si="33"/>
        <v>0.86000000000000065</v>
      </c>
    </row>
    <row r="189" spans="1:1">
      <c r="A189" s="224">
        <f t="shared" si="33"/>
        <v>0.86500000000000066</v>
      </c>
    </row>
    <row r="190" spans="1:1">
      <c r="A190" s="224">
        <f t="shared" si="33"/>
        <v>0.87000000000000066</v>
      </c>
    </row>
    <row r="191" spans="1:1">
      <c r="A191" s="224">
        <f t="shared" si="33"/>
        <v>0.87500000000000067</v>
      </c>
    </row>
    <row r="192" spans="1:1">
      <c r="A192" s="224">
        <f t="shared" si="33"/>
        <v>0.88000000000000067</v>
      </c>
    </row>
    <row r="193" spans="1:1">
      <c r="A193" s="224">
        <f t="shared" si="33"/>
        <v>0.88500000000000068</v>
      </c>
    </row>
    <row r="194" spans="1:1">
      <c r="A194" s="224">
        <f t="shared" si="33"/>
        <v>0.89000000000000068</v>
      </c>
    </row>
    <row r="195" spans="1:1">
      <c r="A195" s="224">
        <f t="shared" si="33"/>
        <v>0.89500000000000068</v>
      </c>
    </row>
    <row r="196" spans="1:1">
      <c r="A196" s="224">
        <f t="shared" si="33"/>
        <v>0.90000000000000069</v>
      </c>
    </row>
    <row r="197" spans="1:1">
      <c r="A197" s="224">
        <f t="shared" si="33"/>
        <v>0.90500000000000069</v>
      </c>
    </row>
    <row r="198" spans="1:1">
      <c r="A198" s="224">
        <f t="shared" si="33"/>
        <v>0.9100000000000007</v>
      </c>
    </row>
    <row r="199" spans="1:1">
      <c r="A199" s="224">
        <f t="shared" si="33"/>
        <v>0.9150000000000007</v>
      </c>
    </row>
    <row r="200" spans="1:1">
      <c r="A200" s="224">
        <f t="shared" si="33"/>
        <v>0.92000000000000071</v>
      </c>
    </row>
    <row r="201" spans="1:1">
      <c r="A201" s="224">
        <f t="shared" si="33"/>
        <v>0.92500000000000071</v>
      </c>
    </row>
    <row r="202" spans="1:1">
      <c r="A202" s="224">
        <f t="shared" si="33"/>
        <v>0.93000000000000071</v>
      </c>
    </row>
    <row r="203" spans="1:1">
      <c r="A203" s="224">
        <f t="shared" si="33"/>
        <v>0.93500000000000072</v>
      </c>
    </row>
    <row r="204" spans="1:1">
      <c r="A204" s="224">
        <f t="shared" si="33"/>
        <v>0.94000000000000072</v>
      </c>
    </row>
    <row r="205" spans="1:1">
      <c r="A205" s="224">
        <f t="shared" si="33"/>
        <v>0.94500000000000073</v>
      </c>
    </row>
    <row r="206" spans="1:1">
      <c r="A206" s="224">
        <f t="shared" si="33"/>
        <v>0.95000000000000073</v>
      </c>
    </row>
    <row r="207" spans="1:1">
      <c r="A207" s="224">
        <f t="shared" si="33"/>
        <v>0.95500000000000074</v>
      </c>
    </row>
    <row r="208" spans="1:1">
      <c r="A208" s="224">
        <f t="shared" si="33"/>
        <v>0.96000000000000074</v>
      </c>
    </row>
    <row r="209" spans="1:1">
      <c r="A209" s="224">
        <f t="shared" si="33"/>
        <v>0.96500000000000075</v>
      </c>
    </row>
    <row r="210" spans="1:1">
      <c r="A210" s="224">
        <f t="shared" ref="A210:A216" si="34">0.005+A209</f>
        <v>0.97000000000000075</v>
      </c>
    </row>
    <row r="211" spans="1:1">
      <c r="A211" s="224">
        <f t="shared" si="34"/>
        <v>0.97500000000000075</v>
      </c>
    </row>
    <row r="212" spans="1:1">
      <c r="A212" s="224">
        <f t="shared" si="34"/>
        <v>0.98000000000000076</v>
      </c>
    </row>
    <row r="213" spans="1:1">
      <c r="A213" s="224">
        <f t="shared" si="34"/>
        <v>0.98500000000000076</v>
      </c>
    </row>
    <row r="214" spans="1:1">
      <c r="A214" s="224">
        <f t="shared" si="34"/>
        <v>0.99000000000000077</v>
      </c>
    </row>
    <row r="215" spans="1:1">
      <c r="A215" s="224">
        <f t="shared" si="34"/>
        <v>0.99500000000000077</v>
      </c>
    </row>
    <row r="216" spans="1:1">
      <c r="A216" s="224">
        <f t="shared" si="34"/>
        <v>1.0000000000000007</v>
      </c>
    </row>
    <row r="217" spans="1:1">
      <c r="A217" s="224"/>
    </row>
    <row r="218" spans="1:1">
      <c r="A218" s="224"/>
    </row>
    <row r="219" spans="1:1">
      <c r="A219" s="224"/>
    </row>
    <row r="220" spans="1:1">
      <c r="A220" s="224"/>
    </row>
    <row r="221" spans="1:1">
      <c r="A221" s="224"/>
    </row>
    <row r="222" spans="1:1">
      <c r="A222" s="224"/>
    </row>
    <row r="223" spans="1:1">
      <c r="A223" s="224"/>
    </row>
    <row r="224" spans="1:1">
      <c r="A224" s="224"/>
    </row>
    <row r="225" spans="1:1">
      <c r="A225" s="224"/>
    </row>
    <row r="226" spans="1:1">
      <c r="A226" s="224"/>
    </row>
    <row r="227" spans="1:1">
      <c r="A227" s="224"/>
    </row>
    <row r="228" spans="1:1">
      <c r="A228" s="224"/>
    </row>
    <row r="229" spans="1:1">
      <c r="A229" s="224"/>
    </row>
    <row r="230" spans="1:1">
      <c r="A230" s="224"/>
    </row>
    <row r="231" spans="1:1">
      <c r="A231" s="224"/>
    </row>
    <row r="232" spans="1:1">
      <c r="A232" s="224"/>
    </row>
    <row r="233" spans="1:1">
      <c r="A233" s="224"/>
    </row>
    <row r="234" spans="1:1">
      <c r="A234" s="224"/>
    </row>
    <row r="235" spans="1:1">
      <c r="A235" s="224"/>
    </row>
    <row r="236" spans="1:1">
      <c r="A236" s="224"/>
    </row>
    <row r="237" spans="1:1">
      <c r="A237" s="224"/>
    </row>
    <row r="238" spans="1:1">
      <c r="A238" s="224"/>
    </row>
    <row r="239" spans="1:1">
      <c r="A239" s="224"/>
    </row>
    <row r="240" spans="1:1">
      <c r="A240" s="224"/>
    </row>
    <row r="241" spans="1:1">
      <c r="A241" s="224"/>
    </row>
    <row r="242" spans="1:1">
      <c r="A242" s="224"/>
    </row>
    <row r="243" spans="1:1">
      <c r="A243" s="224"/>
    </row>
    <row r="244" spans="1:1">
      <c r="A244" s="224"/>
    </row>
    <row r="245" spans="1:1">
      <c r="A245" s="224"/>
    </row>
    <row r="246" spans="1:1">
      <c r="A246" s="224"/>
    </row>
    <row r="247" spans="1:1">
      <c r="A247" s="224"/>
    </row>
    <row r="248" spans="1:1">
      <c r="A248" s="224"/>
    </row>
    <row r="249" spans="1:1">
      <c r="A249" s="224"/>
    </row>
    <row r="250" spans="1:1">
      <c r="A250" s="224"/>
    </row>
    <row r="251" spans="1:1">
      <c r="A251" s="224"/>
    </row>
    <row r="252" spans="1:1">
      <c r="A252" s="224"/>
    </row>
    <row r="253" spans="1:1">
      <c r="A253" s="224"/>
    </row>
    <row r="254" spans="1:1">
      <c r="A254" s="224"/>
    </row>
    <row r="255" spans="1:1">
      <c r="A255" s="224"/>
    </row>
    <row r="256" spans="1:1">
      <c r="A256" s="224"/>
    </row>
    <row r="257" spans="1:1">
      <c r="A257" s="224"/>
    </row>
    <row r="258" spans="1:1">
      <c r="A258" s="224"/>
    </row>
    <row r="259" spans="1:1">
      <c r="A259" s="224"/>
    </row>
  </sheetData>
  <autoFilter ref="C3:AW3" xr:uid="{25DA0FE4-C813-4E69-AF89-98DD33260FDA}">
    <sortState xmlns:xlrd2="http://schemas.microsoft.com/office/spreadsheetml/2017/richdata2" ref="C4:AW101">
      <sortCondition ref="C3"/>
    </sortState>
  </autoFilter>
  <mergeCells count="47">
    <mergeCell ref="O1:Q1"/>
    <mergeCell ref="D132:D138"/>
    <mergeCell ref="C140:C143"/>
    <mergeCell ref="AD2:AF2"/>
    <mergeCell ref="AG2:AI2"/>
    <mergeCell ref="AJ2:AL2"/>
    <mergeCell ref="G106:G107"/>
    <mergeCell ref="J106:J107"/>
    <mergeCell ref="Q106:Q107"/>
    <mergeCell ref="T106:T107"/>
    <mergeCell ref="W106:W107"/>
    <mergeCell ref="Z106:Z107"/>
    <mergeCell ref="AC106:AC107"/>
    <mergeCell ref="AF106:AF107"/>
    <mergeCell ref="AI106:AI107"/>
    <mergeCell ref="AT1:AT2"/>
    <mergeCell ref="E2:G2"/>
    <mergeCell ref="H2:J2"/>
    <mergeCell ref="K2:L2"/>
    <mergeCell ref="M2:N2"/>
    <mergeCell ref="O2:Q2"/>
    <mergeCell ref="R2:T2"/>
    <mergeCell ref="U2:W2"/>
    <mergeCell ref="X2:Z2"/>
    <mergeCell ref="AA2:AC2"/>
    <mergeCell ref="U1:W1"/>
    <mergeCell ref="X1:Z1"/>
    <mergeCell ref="AA1:AC1"/>
    <mergeCell ref="AD1:AF1"/>
    <mergeCell ref="AG1:AI1"/>
    <mergeCell ref="AJ1:AL1"/>
    <mergeCell ref="A1:B1"/>
    <mergeCell ref="R1:T1"/>
    <mergeCell ref="E110:F110"/>
    <mergeCell ref="G110:H110"/>
    <mergeCell ref="I110:J110"/>
    <mergeCell ref="K110:L110"/>
    <mergeCell ref="E109:V109"/>
    <mergeCell ref="M110:N110"/>
    <mergeCell ref="O110:P110"/>
    <mergeCell ref="Q110:R110"/>
    <mergeCell ref="S110:T110"/>
    <mergeCell ref="U110:V110"/>
    <mergeCell ref="E1:G1"/>
    <mergeCell ref="H1:J1"/>
    <mergeCell ref="K1:L1"/>
    <mergeCell ref="M1:N1"/>
  </mergeCells>
  <conditionalFormatting sqref="E132:V138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{7879E6D7-8A77-41E5-81AE-BA89F5F69055}</x14:id>
        </ext>
      </extLst>
    </cfRule>
  </conditionalFormatting>
  <conditionalFormatting sqref="E140:V143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dataValidations count="1">
    <dataValidation type="list" allowBlank="1" showInputMessage="1" showErrorMessage="1" sqref="B4:B12" xr:uid="{64877AF8-4581-4919-A94F-CC97B2932E6D}">
      <formula1>$A$16:$A$216</formula1>
    </dataValidation>
  </dataValidations>
  <pageMargins left="0.511811024" right="0.511811024" top="0.78740157499999996" bottom="0.78740157499999996" header="0.31496062000000002" footer="0.31496062000000002"/>
  <pageSetup paperSize="9" orientation="portrait" r:id="rId1"/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7879E6D7-8A77-41E5-81AE-BA89F5F6905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E132:V138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FB5554-B860-488F-AF6A-9C4E071087A6}">
  <dimension ref="A1:U372"/>
  <sheetViews>
    <sheetView zoomScale="115" zoomScaleNormal="115" workbookViewId="0">
      <pane ySplit="1" topLeftCell="A2" activePane="bottomLeft" state="frozen"/>
      <selection pane="bottomLeft" activeCell="F130" sqref="F130"/>
    </sheetView>
  </sheetViews>
  <sheetFormatPr defaultColWidth="8.85546875" defaultRowHeight="11.25"/>
  <cols>
    <col min="1" max="2" width="11" style="77" bestFit="1" customWidth="1"/>
    <col min="3" max="3" width="17.5703125" style="78" customWidth="1"/>
    <col min="4" max="4" width="13.7109375" style="77" bestFit="1" customWidth="1"/>
    <col min="5" max="8" width="12.7109375" style="77" bestFit="1" customWidth="1"/>
    <col min="9" max="10" width="8.42578125" style="77" bestFit="1" customWidth="1"/>
    <col min="11" max="14" width="12.7109375" style="77" bestFit="1" customWidth="1"/>
    <col min="15" max="16384" width="8.85546875" style="77"/>
  </cols>
  <sheetData>
    <row r="1" spans="1:14" ht="45.75" thickBot="1">
      <c r="A1" s="77">
        <v>0.95</v>
      </c>
      <c r="D1" s="78" t="s">
        <v>67</v>
      </c>
      <c r="E1" s="78" t="s">
        <v>23</v>
      </c>
      <c r="F1" s="78" t="s">
        <v>26</v>
      </c>
      <c r="G1" s="78" t="s">
        <v>27</v>
      </c>
      <c r="H1" s="78" t="s">
        <v>28</v>
      </c>
      <c r="I1" s="360" t="s">
        <v>29</v>
      </c>
      <c r="J1" s="360"/>
      <c r="K1" s="360"/>
      <c r="L1" s="78" t="s">
        <v>30</v>
      </c>
      <c r="M1" s="78" t="s">
        <v>31</v>
      </c>
      <c r="N1" s="78" t="s">
        <v>32</v>
      </c>
    </row>
    <row r="2" spans="1:14" ht="12" thickBot="1">
      <c r="A2" s="79" t="s">
        <v>68</v>
      </c>
      <c r="B2" s="80">
        <v>43101</v>
      </c>
      <c r="C2" s="78">
        <f t="shared" ref="C2:C8" si="0">MONTH(DATE(YEAR(B2),MONTH(B2),DAY(B2)))</f>
        <v>1</v>
      </c>
      <c r="D2" s="81">
        <v>698</v>
      </c>
      <c r="E2" s="82">
        <v>901</v>
      </c>
      <c r="F2" s="82">
        <v>610</v>
      </c>
      <c r="G2" s="82">
        <v>344</v>
      </c>
      <c r="H2" s="83">
        <v>603</v>
      </c>
      <c r="K2" s="77">
        <f t="shared" ref="K2:K8" si="1">MAX(I2,J2)</f>
        <v>0</v>
      </c>
      <c r="L2" s="82">
        <v>330</v>
      </c>
      <c r="M2" s="84">
        <v>574</v>
      </c>
      <c r="N2" s="85">
        <v>565</v>
      </c>
    </row>
    <row r="3" spans="1:14" ht="12" thickBot="1">
      <c r="A3" s="86" t="s">
        <v>69</v>
      </c>
      <c r="B3" s="80">
        <v>43466</v>
      </c>
      <c r="C3" s="78">
        <f t="shared" si="0"/>
        <v>1</v>
      </c>
      <c r="D3" s="87">
        <v>771</v>
      </c>
      <c r="E3" s="88">
        <v>0</v>
      </c>
      <c r="F3" s="82">
        <v>689</v>
      </c>
      <c r="G3" s="82">
        <v>339</v>
      </c>
      <c r="H3" s="83">
        <v>657</v>
      </c>
      <c r="I3" s="82">
        <v>371</v>
      </c>
      <c r="J3" s="89"/>
      <c r="K3" s="77">
        <f t="shared" si="1"/>
        <v>371</v>
      </c>
      <c r="L3" s="82">
        <v>270</v>
      </c>
      <c r="M3" s="90">
        <v>562</v>
      </c>
      <c r="N3" s="91"/>
    </row>
    <row r="4" spans="1:14" ht="12" thickBot="1">
      <c r="A4" s="86" t="s">
        <v>70</v>
      </c>
      <c r="B4" s="80">
        <v>43831</v>
      </c>
      <c r="C4" s="78">
        <f t="shared" si="0"/>
        <v>1</v>
      </c>
      <c r="D4" s="92">
        <v>753</v>
      </c>
      <c r="E4" s="93">
        <v>1067</v>
      </c>
      <c r="F4" s="82">
        <v>599</v>
      </c>
      <c r="G4" s="82">
        <v>335</v>
      </c>
      <c r="H4" s="83">
        <v>746</v>
      </c>
      <c r="I4" s="82">
        <v>300</v>
      </c>
      <c r="K4" s="77">
        <f t="shared" si="1"/>
        <v>300</v>
      </c>
      <c r="L4" s="94">
        <v>319</v>
      </c>
      <c r="M4" s="90">
        <v>547</v>
      </c>
      <c r="N4" s="95">
        <v>504</v>
      </c>
    </row>
    <row r="5" spans="1:14" ht="12" thickBot="1">
      <c r="A5" s="86" t="s">
        <v>71</v>
      </c>
      <c r="B5" s="80">
        <v>44197</v>
      </c>
      <c r="C5" s="78">
        <f t="shared" si="0"/>
        <v>1</v>
      </c>
      <c r="D5" s="92">
        <v>515</v>
      </c>
      <c r="E5" s="93">
        <v>728</v>
      </c>
      <c r="F5" s="88">
        <v>344</v>
      </c>
      <c r="G5" s="88">
        <v>0</v>
      </c>
      <c r="H5" s="96">
        <v>711</v>
      </c>
      <c r="I5" s="82">
        <v>137</v>
      </c>
      <c r="J5" s="81">
        <v>0</v>
      </c>
      <c r="K5" s="77">
        <f t="shared" si="1"/>
        <v>137</v>
      </c>
      <c r="L5" s="94">
        <v>309</v>
      </c>
      <c r="M5" s="90">
        <v>502</v>
      </c>
      <c r="N5" s="95">
        <v>50</v>
      </c>
    </row>
    <row r="6" spans="1:14" ht="12" thickBot="1">
      <c r="A6" s="86" t="s">
        <v>72</v>
      </c>
      <c r="B6" s="80">
        <v>44562</v>
      </c>
      <c r="C6" s="78">
        <f t="shared" si="0"/>
        <v>1</v>
      </c>
      <c r="D6" s="97">
        <v>566</v>
      </c>
      <c r="E6" s="98"/>
      <c r="F6" s="93">
        <v>436</v>
      </c>
      <c r="G6" s="93">
        <v>255</v>
      </c>
      <c r="H6" s="99"/>
      <c r="I6" s="82">
        <v>204</v>
      </c>
      <c r="J6" s="81">
        <v>276</v>
      </c>
      <c r="K6" s="77">
        <f t="shared" si="1"/>
        <v>276</v>
      </c>
      <c r="L6" s="100">
        <v>283</v>
      </c>
      <c r="M6" s="95">
        <v>459</v>
      </c>
      <c r="N6" s="95">
        <v>408</v>
      </c>
    </row>
    <row r="7" spans="1:14" ht="12" thickBot="1">
      <c r="A7" s="86" t="s">
        <v>73</v>
      </c>
      <c r="B7" s="80">
        <v>44927</v>
      </c>
      <c r="C7" s="78">
        <f t="shared" si="0"/>
        <v>1</v>
      </c>
      <c r="D7" s="97">
        <v>496</v>
      </c>
      <c r="E7" s="93">
        <v>728</v>
      </c>
      <c r="F7" s="93">
        <v>412</v>
      </c>
      <c r="G7" s="93">
        <v>286</v>
      </c>
      <c r="H7" s="93">
        <v>386</v>
      </c>
      <c r="I7" s="82">
        <v>244</v>
      </c>
      <c r="J7" s="81">
        <v>341</v>
      </c>
      <c r="K7" s="77">
        <f t="shared" si="1"/>
        <v>341</v>
      </c>
      <c r="L7" s="101">
        <v>283</v>
      </c>
      <c r="M7" s="95">
        <v>386</v>
      </c>
      <c r="N7" s="95">
        <v>425</v>
      </c>
    </row>
    <row r="8" spans="1:14" ht="12" thickBot="1">
      <c r="A8" s="86" t="s">
        <v>74</v>
      </c>
      <c r="B8" s="80">
        <v>45292</v>
      </c>
      <c r="C8" s="78">
        <f t="shared" si="0"/>
        <v>1</v>
      </c>
      <c r="D8" s="97">
        <v>606</v>
      </c>
      <c r="E8" s="93">
        <v>726</v>
      </c>
      <c r="F8" s="93">
        <v>485</v>
      </c>
      <c r="G8" s="93">
        <v>321</v>
      </c>
      <c r="H8" s="93">
        <v>448</v>
      </c>
      <c r="I8" s="82">
        <v>556</v>
      </c>
      <c r="J8" s="81">
        <v>810</v>
      </c>
      <c r="K8" s="77">
        <f t="shared" si="1"/>
        <v>810</v>
      </c>
      <c r="L8" s="101">
        <v>288</v>
      </c>
      <c r="M8" s="95">
        <v>492</v>
      </c>
      <c r="N8" s="95">
        <v>403</v>
      </c>
    </row>
    <row r="9" spans="1:14" ht="12" thickBot="1">
      <c r="A9" s="86"/>
      <c r="B9" s="80"/>
      <c r="D9" s="92">
        <f>_xlfn.FORECAST.ETS(DATE(2025,1,1),D$2:D$8,$B$2:$B$8,1,1)+_xlfn.FORECAST.ETS.CONFINT(DATE(2025,1,1),D$2:D$8,$B$2:$B$8,$A$1,1)</f>
        <v>631.04540852567879</v>
      </c>
      <c r="E9" s="92">
        <f>_xlfn.FORECAST.ETS(DATE(2025,1,1),E$2:E$8,$B$2:$B$8,1,1)+_xlfn.FORECAST.ETS.CONFINT(DATE(2025,1,1),E$2:E$8,$B$2:$B$8,$A$1,1)</f>
        <v>1327.2596228264065</v>
      </c>
      <c r="F9" s="92">
        <f>_xlfn.FORECAST.ETS(DATE(2025,1,1),F$2:F$8,$B$2:$B$8,1,1)+_xlfn.FORECAST.ETS.CONFINT(DATE(2025,1,1),F$2:F$8,$B$2:$B$8,$A$1,1)</f>
        <v>508.13693245778188</v>
      </c>
      <c r="G9" s="92">
        <f>_xlfn.FORECAST.ETS(DATE(2025,1,1),G$2:G$8,$B$2:$B$8,1,1)+_xlfn.FORECAST.ETS.CONFINT(DATE(2025,1,1),G$2:G$8,$B$2:$B$8,$A$1,1)</f>
        <v>517.51508341330509</v>
      </c>
      <c r="H9" s="92">
        <f>_xlfn.FORECAST.ETS(DATE(2025,1,1),H$2:H$8,$B$2:$B$8,1,1)+_xlfn.FORECAST.ETS.CONFINT(DATE(2025,1,1),H$2:H$8,$B$2:$B$8,$A$1,1)</f>
        <v>591.1504532989652</v>
      </c>
      <c r="I9" s="92"/>
      <c r="J9" s="92"/>
      <c r="K9" s="92">
        <f>_xlfn.FORECAST.ETS(DATE(2025,1,1),K$2:K$8,$B$2:$B$8,1,1)+_xlfn.FORECAST.ETS.CONFINT(DATE(2025,1,1),K$2:K$8,$B$2:$B$8,$A$1,1)</f>
        <v>934.11189297286001</v>
      </c>
      <c r="L9" s="92">
        <f>_xlfn.FORECAST.ETS(DATE(2025,1,1),L$2:L$8,$B$2:$B$8,1,1)+_xlfn.FORECAST.ETS.CONFINT(DATE(2025,1,1),L$2:L$8,$B$2:$B$8,$A$1,1)</f>
        <v>310.53101605761424</v>
      </c>
      <c r="M9" s="92">
        <f>_xlfn.FORECAST.ETS(DATE(2025,1,1),M$2:M$8,$B$2:$B$8,1,1)+_xlfn.FORECAST.ETS.CONFINT(DATE(2025,1,1),M$2:M$8,$B$2:$B$8,$A$1,1)</f>
        <v>474.71150933880637</v>
      </c>
      <c r="N9" s="92">
        <f>_xlfn.FORECAST.ETS(DATE(2025,1,1),N$2:N$8,$B$2:$B$8,1,1)+_xlfn.FORECAST.ETS.CONFINT(DATE(2025,1,1),N$2:N$8,$B$2:$B$8,$A$1,1)</f>
        <v>681.52783597997461</v>
      </c>
    </row>
    <row r="10" spans="1:14" ht="12" thickBot="1">
      <c r="A10" s="102" t="s">
        <v>75</v>
      </c>
      <c r="B10" s="103">
        <v>43132</v>
      </c>
      <c r="C10" s="78">
        <f t="shared" ref="C10:C16" si="2">MONTH(DATE(YEAR(B10),MONTH(B10),DAY(B10)))</f>
        <v>2</v>
      </c>
      <c r="D10" s="101">
        <v>769</v>
      </c>
      <c r="E10" s="95">
        <v>942</v>
      </c>
      <c r="F10" s="95">
        <v>630</v>
      </c>
      <c r="G10" s="95">
        <v>367</v>
      </c>
      <c r="H10" s="90">
        <v>644</v>
      </c>
      <c r="K10" s="77">
        <f t="shared" ref="K10:K16" si="3">MAX(I10,J10)</f>
        <v>0</v>
      </c>
      <c r="L10" s="95">
        <v>330</v>
      </c>
      <c r="M10" s="104">
        <v>564</v>
      </c>
      <c r="N10" s="93">
        <v>594</v>
      </c>
    </row>
    <row r="11" spans="1:14" ht="12" thickBot="1">
      <c r="A11" s="102" t="s">
        <v>76</v>
      </c>
      <c r="B11" s="103">
        <v>43497</v>
      </c>
      <c r="C11" s="78">
        <f t="shared" si="2"/>
        <v>2</v>
      </c>
      <c r="D11" s="101">
        <v>894</v>
      </c>
      <c r="E11" s="95">
        <v>0</v>
      </c>
      <c r="F11" s="95">
        <v>611</v>
      </c>
      <c r="G11" s="95">
        <v>322</v>
      </c>
      <c r="H11" s="90">
        <v>617</v>
      </c>
      <c r="I11" s="94">
        <v>369</v>
      </c>
      <c r="J11" s="105"/>
      <c r="K11" s="77">
        <f t="shared" si="3"/>
        <v>369</v>
      </c>
      <c r="L11" s="95">
        <v>322</v>
      </c>
      <c r="M11" s="104">
        <v>552</v>
      </c>
      <c r="N11" s="98"/>
    </row>
    <row r="12" spans="1:14" ht="12" thickBot="1">
      <c r="A12" s="102" t="s">
        <v>77</v>
      </c>
      <c r="B12" s="103">
        <v>43862</v>
      </c>
      <c r="C12" s="78">
        <f t="shared" si="2"/>
        <v>2</v>
      </c>
      <c r="D12" s="101">
        <v>695</v>
      </c>
      <c r="E12" s="95">
        <v>892</v>
      </c>
      <c r="F12" s="91"/>
      <c r="G12" s="95">
        <v>325</v>
      </c>
      <c r="H12" s="90">
        <v>726</v>
      </c>
      <c r="I12" s="94">
        <v>358</v>
      </c>
      <c r="K12" s="77">
        <f t="shared" si="3"/>
        <v>358</v>
      </c>
      <c r="L12" s="93">
        <v>339</v>
      </c>
      <c r="M12" s="104">
        <v>526</v>
      </c>
      <c r="N12" s="93">
        <v>518</v>
      </c>
    </row>
    <row r="13" spans="1:14" ht="12" thickBot="1">
      <c r="A13" s="102" t="s">
        <v>78</v>
      </c>
      <c r="B13" s="103">
        <v>44228</v>
      </c>
      <c r="C13" s="78">
        <f t="shared" si="2"/>
        <v>2</v>
      </c>
      <c r="D13" s="101">
        <v>515</v>
      </c>
      <c r="E13" s="95">
        <v>756</v>
      </c>
      <c r="F13" s="95">
        <v>370</v>
      </c>
      <c r="G13" s="95">
        <v>231</v>
      </c>
      <c r="H13" s="90">
        <v>689</v>
      </c>
      <c r="I13" s="94">
        <v>333</v>
      </c>
      <c r="J13" s="106">
        <v>201</v>
      </c>
      <c r="K13" s="77">
        <f t="shared" si="3"/>
        <v>333</v>
      </c>
      <c r="L13" s="93">
        <v>301</v>
      </c>
      <c r="M13" s="104">
        <v>501</v>
      </c>
      <c r="N13" s="93">
        <v>462</v>
      </c>
    </row>
    <row r="14" spans="1:14" ht="12" thickBot="1">
      <c r="A14" s="102" t="s">
        <v>79</v>
      </c>
      <c r="B14" s="103">
        <v>44593</v>
      </c>
      <c r="C14" s="78">
        <f t="shared" si="2"/>
        <v>2</v>
      </c>
      <c r="D14" s="107"/>
      <c r="E14" s="91"/>
      <c r="F14" s="91">
        <v>0</v>
      </c>
      <c r="G14" s="95">
        <v>259</v>
      </c>
      <c r="H14" s="108"/>
      <c r="I14" s="94">
        <v>209</v>
      </c>
      <c r="J14" s="106">
        <v>366</v>
      </c>
      <c r="K14" s="77">
        <f t="shared" si="3"/>
        <v>366</v>
      </c>
      <c r="L14" s="92">
        <v>282</v>
      </c>
      <c r="M14" s="98"/>
      <c r="N14" s="98">
        <v>0</v>
      </c>
    </row>
    <row r="15" spans="1:14" ht="12" thickBot="1">
      <c r="A15" s="109" t="s">
        <v>80</v>
      </c>
      <c r="B15" s="103">
        <v>44958</v>
      </c>
      <c r="C15" s="78">
        <f t="shared" si="2"/>
        <v>2</v>
      </c>
      <c r="D15" s="110">
        <v>628</v>
      </c>
      <c r="E15" s="95">
        <v>758</v>
      </c>
      <c r="F15" s="95">
        <v>474</v>
      </c>
      <c r="G15" s="95">
        <v>316</v>
      </c>
      <c r="H15" s="95">
        <v>454</v>
      </c>
      <c r="I15" s="94">
        <v>315</v>
      </c>
      <c r="J15" s="106">
        <v>446</v>
      </c>
      <c r="K15" s="77">
        <f t="shared" si="3"/>
        <v>446</v>
      </c>
      <c r="L15" s="92">
        <v>294</v>
      </c>
      <c r="M15" s="88">
        <v>425</v>
      </c>
      <c r="N15" s="111">
        <v>0</v>
      </c>
    </row>
    <row r="16" spans="1:14" ht="12" thickBot="1">
      <c r="A16" s="102" t="s">
        <v>81</v>
      </c>
      <c r="B16" s="103">
        <v>45323</v>
      </c>
      <c r="C16" s="78">
        <f t="shared" si="2"/>
        <v>2</v>
      </c>
      <c r="D16" s="112">
        <v>573</v>
      </c>
      <c r="E16" s="85">
        <v>737</v>
      </c>
      <c r="F16" s="95">
        <v>467</v>
      </c>
      <c r="G16" s="95">
        <v>334</v>
      </c>
      <c r="H16" s="95">
        <v>432</v>
      </c>
      <c r="I16" s="94">
        <v>556</v>
      </c>
      <c r="J16" s="106">
        <v>810</v>
      </c>
      <c r="K16" s="77">
        <f t="shared" si="3"/>
        <v>810</v>
      </c>
      <c r="L16" s="92">
        <v>286</v>
      </c>
      <c r="M16" s="93">
        <v>480</v>
      </c>
      <c r="N16" s="93">
        <v>396</v>
      </c>
    </row>
    <row r="17" spans="1:14" ht="12" thickBot="1">
      <c r="A17" s="102"/>
      <c r="B17" s="103"/>
      <c r="D17" s="92">
        <f>_xlfn.FORECAST.ETS(DATE(2025,1,1),D$10:D$16,$B$10:$B$16,1,1)+_xlfn.FORECAST.ETS.CONFINT(DATE(2025,1,1),D$10:D$16,$B$10:$B$16,$A$1,1)</f>
        <v>629.8597186663618</v>
      </c>
      <c r="E17" s="92">
        <f>_xlfn.FORECAST.ETS(DATE(2025,1,1),E$10:E$16,$B$10:$B$16,1,1)+_xlfn.FORECAST.ETS.CONFINT(DATE(2025,1,1),E$10:E$16,$B$10:$B$16,$A$1,1)</f>
        <v>1310.1668518593838</v>
      </c>
      <c r="F17" s="92">
        <f>_xlfn.FORECAST.ETS(DATE(2025,1,1),F$10:F$16,$B$10:$B$16,1,1)+_xlfn.FORECAST.ETS.CONFINT(DATE(2025,1,1),F$10:F$16,$B$10:$B$16,$A$1,1)</f>
        <v>663.95978585540479</v>
      </c>
      <c r="G17" s="92">
        <f>_xlfn.FORECAST.ETS(DATE(2025,1,1),G$10:G$16,$B$10:$B$16,1,1)+_xlfn.FORECAST.ETS.CONFINT(DATE(2025,1,1),G$10:G$16,$B$10:$B$16,$A$1,1)</f>
        <v>412.17253232649381</v>
      </c>
      <c r="H17" s="92">
        <f>_xlfn.FORECAST.ETS(DATE(2025,1,1),H$10:H$16,$B$10:$B$16,1,1)+_xlfn.FORECAST.ETS.CONFINT(DATE(2025,1,1),H$10:H$16,$B$10:$B$16,$A$1,1)</f>
        <v>529.39419038940002</v>
      </c>
      <c r="I17" s="92"/>
      <c r="J17" s="92"/>
      <c r="K17" s="92">
        <f>_xlfn.FORECAST.ETS(DATE(2025,1,1),K$10:K$16,$B$10:$B$16,1,1)+_xlfn.FORECAST.ETS.CONFINT(DATE(2025,1,1),K$10:K$16,$B$10:$B$16,$A$1,1)</f>
        <v>1009.3913284034672</v>
      </c>
      <c r="L17" s="92">
        <f>_xlfn.FORECAST.ETS(DATE(2025,1,1),L$10:L$16,$B$10:$B$16,1,1)+_xlfn.FORECAST.ETS.CONFINT(DATE(2025,1,1),L$10:L$16,$B$10:$B$16,$A$1,1)</f>
        <v>292.19190800467595</v>
      </c>
      <c r="M17" s="92">
        <f>_xlfn.FORECAST.ETS(DATE(2025,1,1),M$10:M$16,$B$10:$B$16,1,1)+_xlfn.FORECAST.ETS.CONFINT(DATE(2025,1,1),M$10:M$16,$B$10:$B$16,$A$1,1)</f>
        <v>464.22872542044433</v>
      </c>
      <c r="N17" s="92">
        <f>_xlfn.FORECAST.ETS(DATE(2025,1,1),N$10:N$16,$B$10:$B$16,1,1)+_xlfn.FORECAST.ETS.CONFINT(DATE(2025,1,1),N$10:N$16,$B$10:$B$16,$A$1,1)</f>
        <v>372.21485040528955</v>
      </c>
    </row>
    <row r="18" spans="1:14" ht="12" thickBot="1">
      <c r="A18" s="86" t="s">
        <v>82</v>
      </c>
      <c r="B18" s="80">
        <v>43160</v>
      </c>
      <c r="C18" s="78">
        <f t="shared" ref="C18:C24" si="4">MONTH(DATE(YEAR(B18),MONTH(B18),DAY(B18)))</f>
        <v>3</v>
      </c>
      <c r="D18" s="92">
        <v>776</v>
      </c>
      <c r="E18" s="93">
        <v>921</v>
      </c>
      <c r="F18" s="93">
        <v>669</v>
      </c>
      <c r="G18" s="93">
        <v>352</v>
      </c>
      <c r="H18" s="104">
        <v>654</v>
      </c>
      <c r="K18" s="77">
        <f t="shared" ref="K18:K24" si="5">MAX(I18,J18)</f>
        <v>0</v>
      </c>
      <c r="L18" s="93">
        <v>343</v>
      </c>
      <c r="M18" s="90">
        <v>564</v>
      </c>
      <c r="N18" s="95">
        <v>0</v>
      </c>
    </row>
    <row r="19" spans="1:14" ht="12" thickBot="1">
      <c r="A19" s="86" t="s">
        <v>83</v>
      </c>
      <c r="B19" s="80">
        <v>43525</v>
      </c>
      <c r="C19" s="78">
        <f t="shared" si="4"/>
        <v>3</v>
      </c>
      <c r="D19" s="92">
        <v>762</v>
      </c>
      <c r="E19" s="93">
        <v>876</v>
      </c>
      <c r="F19" s="88">
        <v>625</v>
      </c>
      <c r="G19" s="88">
        <v>309</v>
      </c>
      <c r="H19" s="96">
        <v>604</v>
      </c>
      <c r="I19" s="88">
        <v>374</v>
      </c>
      <c r="J19" s="113"/>
      <c r="K19" s="77">
        <f t="shared" si="5"/>
        <v>374</v>
      </c>
      <c r="L19" s="93">
        <v>337</v>
      </c>
      <c r="M19" s="90">
        <v>553</v>
      </c>
      <c r="N19" s="91"/>
    </row>
    <row r="20" spans="1:14" ht="12" thickBot="1">
      <c r="A20" s="86" t="s">
        <v>84</v>
      </c>
      <c r="B20" s="80">
        <v>43891</v>
      </c>
      <c r="C20" s="78">
        <f t="shared" si="4"/>
        <v>3</v>
      </c>
      <c r="D20" s="92">
        <v>612</v>
      </c>
      <c r="E20" s="93">
        <v>852</v>
      </c>
      <c r="F20" s="98"/>
      <c r="G20" s="93">
        <v>314</v>
      </c>
      <c r="H20" s="104">
        <v>640</v>
      </c>
      <c r="I20" s="93">
        <v>506</v>
      </c>
      <c r="J20" s="114"/>
      <c r="K20" s="77">
        <f t="shared" si="5"/>
        <v>506</v>
      </c>
      <c r="L20" s="85">
        <v>318</v>
      </c>
      <c r="M20" s="90">
        <v>525</v>
      </c>
      <c r="N20" s="95">
        <v>164</v>
      </c>
    </row>
    <row r="21" spans="1:14" ht="12" thickBot="1">
      <c r="A21" s="86" t="s">
        <v>85</v>
      </c>
      <c r="B21" s="80">
        <v>44256</v>
      </c>
      <c r="C21" s="78">
        <f t="shared" si="4"/>
        <v>3</v>
      </c>
      <c r="D21" s="92">
        <v>426</v>
      </c>
      <c r="E21" s="93">
        <v>723</v>
      </c>
      <c r="F21" s="93">
        <v>304</v>
      </c>
      <c r="G21" s="93">
        <v>221</v>
      </c>
      <c r="H21" s="104">
        <v>640</v>
      </c>
      <c r="I21" s="93">
        <v>265</v>
      </c>
      <c r="J21" s="92">
        <v>185</v>
      </c>
      <c r="K21" s="77">
        <f t="shared" si="5"/>
        <v>265</v>
      </c>
      <c r="L21" s="95">
        <v>282</v>
      </c>
      <c r="M21" s="90">
        <v>501</v>
      </c>
      <c r="N21" s="95">
        <v>464</v>
      </c>
    </row>
    <row r="22" spans="1:14" ht="12" thickBot="1">
      <c r="A22" s="86" t="s">
        <v>86</v>
      </c>
      <c r="B22" s="80">
        <v>44621</v>
      </c>
      <c r="C22" s="78">
        <f t="shared" si="4"/>
        <v>3</v>
      </c>
      <c r="D22" s="97">
        <v>589</v>
      </c>
      <c r="E22" s="93">
        <v>755</v>
      </c>
      <c r="F22" s="93">
        <v>435</v>
      </c>
      <c r="G22" s="93">
        <v>295</v>
      </c>
      <c r="H22" s="104">
        <v>567</v>
      </c>
      <c r="I22" s="93">
        <v>248</v>
      </c>
      <c r="J22" s="92">
        <v>383</v>
      </c>
      <c r="K22" s="77">
        <f t="shared" si="5"/>
        <v>383</v>
      </c>
      <c r="L22" s="101">
        <v>290</v>
      </c>
      <c r="M22" s="95">
        <v>472</v>
      </c>
      <c r="N22" s="95">
        <v>424</v>
      </c>
    </row>
    <row r="23" spans="1:14" ht="12" thickBot="1">
      <c r="A23" s="86" t="s">
        <v>87</v>
      </c>
      <c r="B23" s="80">
        <v>44986</v>
      </c>
      <c r="C23" s="78">
        <f t="shared" si="4"/>
        <v>3</v>
      </c>
      <c r="D23" s="97">
        <v>624</v>
      </c>
      <c r="E23" s="93">
        <v>776</v>
      </c>
      <c r="F23" s="93">
        <v>478</v>
      </c>
      <c r="G23" s="93">
        <v>321</v>
      </c>
      <c r="H23" s="93">
        <v>466</v>
      </c>
      <c r="I23" s="93">
        <v>235</v>
      </c>
      <c r="J23" s="92">
        <v>404</v>
      </c>
      <c r="K23" s="77">
        <f t="shared" si="5"/>
        <v>404</v>
      </c>
      <c r="L23" s="101">
        <v>273</v>
      </c>
      <c r="M23" s="95">
        <v>441</v>
      </c>
      <c r="N23" s="95">
        <v>427</v>
      </c>
    </row>
    <row r="24" spans="1:14" ht="12" thickBot="1">
      <c r="A24" s="86" t="s">
        <v>88</v>
      </c>
      <c r="B24" s="80">
        <v>45352</v>
      </c>
      <c r="C24" s="78">
        <f t="shared" si="4"/>
        <v>3</v>
      </c>
      <c r="D24" s="97">
        <v>678</v>
      </c>
      <c r="E24" s="93">
        <v>860</v>
      </c>
      <c r="F24" s="93">
        <v>515</v>
      </c>
      <c r="G24" s="93">
        <v>359</v>
      </c>
      <c r="H24" s="93">
        <v>528</v>
      </c>
      <c r="I24" s="93">
        <v>529</v>
      </c>
      <c r="J24" s="92">
        <v>893</v>
      </c>
      <c r="K24" s="77">
        <f t="shared" si="5"/>
        <v>893</v>
      </c>
      <c r="L24" s="101">
        <v>300</v>
      </c>
      <c r="M24" s="95">
        <v>506</v>
      </c>
      <c r="N24" s="95">
        <v>398</v>
      </c>
    </row>
    <row r="25" spans="1:14" ht="12" thickBot="1">
      <c r="A25" s="86"/>
      <c r="B25" s="80"/>
      <c r="D25" s="92">
        <f>_xlfn.FORECAST.ETS(DATE(2025,1,1),D$18:D$24,$B$18:$B$24,1,1)+_xlfn.FORECAST.ETS.CONFINT(DATE(2025,1,1),D$18:D$24,$B$18:$B$24,$A$1,1)</f>
        <v>853.12111075660778</v>
      </c>
      <c r="E25" s="92">
        <f>_xlfn.FORECAST.ETS(DATE(2025,1,1),E$18:E$24,$B$18:$B$24,1,1)+_xlfn.FORECAST.ETS.CONFINT(DATE(2025,1,1),E$18:E$24,$B$18:$B$24,$A$1,1)</f>
        <v>948.44265359904466</v>
      </c>
      <c r="F25" s="92">
        <f>_xlfn.FORECAST.ETS(DATE(2025,1,1),F$18:F$24,$B$18:$B$24,1,1)+_xlfn.FORECAST.ETS.CONFINT(DATE(2025,1,1),F$18:F$24,$B$18:$B$24,$A$1,1)</f>
        <v>667.60521120079829</v>
      </c>
      <c r="G25" s="92">
        <f>_xlfn.FORECAST.ETS(DATE(2025,1,1),G$18:G$24,$B$18:$B$24,1,1)+_xlfn.FORECAST.ETS.CONFINT(DATE(2025,1,1),G$18:G$24,$B$18:$B$24,$A$1,1)</f>
        <v>436.88128311753593</v>
      </c>
      <c r="H25" s="92">
        <f>_xlfn.FORECAST.ETS(DATE(2025,1,1),H$18:H$24,$B$18:$B$24,1,1)+_xlfn.FORECAST.ETS.CONFINT(DATE(2025,1,1),H$18:H$24,$B$18:$B$24,$A$1,1)</f>
        <v>546.91267620022995</v>
      </c>
      <c r="I25" s="92"/>
      <c r="J25" s="92"/>
      <c r="K25" s="92">
        <f>_xlfn.FORECAST.ETS(DATE(2025,1,1),K$18:K$24,$B$18:$B$24,1,1)+_xlfn.FORECAST.ETS.CONFINT(DATE(2025,1,1),K$18:K$24,$B$18:$B$24,$A$1,1)</f>
        <v>1068.3313897084122</v>
      </c>
      <c r="L25" s="92">
        <f>_xlfn.FORECAST.ETS(DATE(2025,1,1),L$18:L$24,$B$18:$B$24,1,1)+_xlfn.FORECAST.ETS.CONFINT(DATE(2025,1,1),L$18:L$24,$B$18:$B$24,$A$1,1)</f>
        <v>302.0050319664478</v>
      </c>
      <c r="M25" s="92">
        <f>_xlfn.FORECAST.ETS(DATE(2025,1,1),M$18:M$24,$B$18:$B$24,1,1)+_xlfn.FORECAST.ETS.CONFINT(DATE(2025,1,1),M$18:M$24,$B$18:$B$24,$A$1,1)</f>
        <v>498.33392559065146</v>
      </c>
      <c r="N25" s="92">
        <f>_xlfn.FORECAST.ETS(DATE(2025,1,1),N$18:N$24,$B$18:$B$24,1,1)+_xlfn.FORECAST.ETS.CONFINT(DATE(2025,1,1),N$18:N$24,$B$18:$B$24,$A$1,1)</f>
        <v>732.65506109645605</v>
      </c>
    </row>
    <row r="26" spans="1:14" ht="12" thickBot="1">
      <c r="A26" s="102" t="s">
        <v>89</v>
      </c>
      <c r="B26" s="103">
        <v>43191</v>
      </c>
      <c r="C26" s="78">
        <f t="shared" ref="C26:C32" si="6">MONTH(DATE(YEAR(B26),MONTH(B26),DAY(B26)))</f>
        <v>4</v>
      </c>
      <c r="D26" s="101">
        <v>754</v>
      </c>
      <c r="E26" s="95">
        <v>926</v>
      </c>
      <c r="F26" s="95">
        <v>503</v>
      </c>
      <c r="G26" s="95">
        <v>340</v>
      </c>
      <c r="H26" s="90">
        <v>668</v>
      </c>
      <c r="I26" s="114"/>
      <c r="J26" s="114"/>
      <c r="K26" s="77">
        <f t="shared" ref="K26:K32" si="7">MAX(I26,J26)</f>
        <v>0</v>
      </c>
      <c r="L26" s="95">
        <v>326</v>
      </c>
      <c r="M26" s="104">
        <v>534</v>
      </c>
      <c r="N26" s="93">
        <v>562</v>
      </c>
    </row>
    <row r="27" spans="1:14" ht="12" thickBot="1">
      <c r="A27" s="102" t="s">
        <v>90</v>
      </c>
      <c r="B27" s="103">
        <v>43556</v>
      </c>
      <c r="C27" s="78">
        <f t="shared" si="6"/>
        <v>4</v>
      </c>
      <c r="D27" s="101">
        <v>686</v>
      </c>
      <c r="E27" s="95">
        <v>932</v>
      </c>
      <c r="F27" s="95">
        <v>525</v>
      </c>
      <c r="G27" s="95">
        <v>314</v>
      </c>
      <c r="H27" s="90">
        <v>596</v>
      </c>
      <c r="I27" s="95">
        <v>344</v>
      </c>
      <c r="J27" s="115"/>
      <c r="K27" s="77">
        <f t="shared" si="7"/>
        <v>344</v>
      </c>
      <c r="L27" s="95">
        <v>322</v>
      </c>
      <c r="M27" s="104">
        <v>502</v>
      </c>
      <c r="N27" s="98"/>
    </row>
    <row r="28" spans="1:14" ht="12" thickBot="1">
      <c r="A28" s="102" t="s">
        <v>91</v>
      </c>
      <c r="B28" s="103">
        <v>43922</v>
      </c>
      <c r="C28" s="78">
        <f t="shared" si="6"/>
        <v>4</v>
      </c>
      <c r="D28" s="101">
        <v>345</v>
      </c>
      <c r="E28" s="95">
        <v>790</v>
      </c>
      <c r="F28" s="91"/>
      <c r="G28" s="95">
        <v>169</v>
      </c>
      <c r="H28" s="90">
        <v>594</v>
      </c>
      <c r="I28" s="95">
        <v>277</v>
      </c>
      <c r="J28" s="114"/>
      <c r="K28" s="77">
        <f t="shared" si="7"/>
        <v>277</v>
      </c>
      <c r="L28" s="93">
        <v>270</v>
      </c>
      <c r="M28" s="104">
        <v>505</v>
      </c>
      <c r="N28" s="93">
        <v>154</v>
      </c>
    </row>
    <row r="29" spans="1:14" ht="12" thickBot="1">
      <c r="A29" s="109" t="s">
        <v>92</v>
      </c>
      <c r="B29" s="103">
        <v>44287</v>
      </c>
      <c r="C29" s="78">
        <f t="shared" si="6"/>
        <v>4</v>
      </c>
      <c r="D29" s="101">
        <v>357</v>
      </c>
      <c r="E29" s="95">
        <v>746</v>
      </c>
      <c r="F29" s="91"/>
      <c r="G29" s="95">
        <v>217</v>
      </c>
      <c r="H29" s="90">
        <v>643</v>
      </c>
      <c r="I29" s="95">
        <v>212</v>
      </c>
      <c r="J29" s="101">
        <v>154</v>
      </c>
      <c r="K29" s="77">
        <f t="shared" si="7"/>
        <v>212</v>
      </c>
      <c r="L29" s="93">
        <v>288</v>
      </c>
      <c r="M29" s="96">
        <v>483</v>
      </c>
      <c r="N29" s="88">
        <v>453</v>
      </c>
    </row>
    <row r="30" spans="1:14" ht="12" thickBot="1">
      <c r="A30" s="102" t="s">
        <v>93</v>
      </c>
      <c r="B30" s="103">
        <v>44652</v>
      </c>
      <c r="C30" s="78">
        <f t="shared" si="6"/>
        <v>4</v>
      </c>
      <c r="D30" s="112">
        <v>578</v>
      </c>
      <c r="E30" s="85">
        <v>801</v>
      </c>
      <c r="F30" s="95">
        <v>410</v>
      </c>
      <c r="G30" s="95">
        <v>302</v>
      </c>
      <c r="H30" s="90">
        <v>575</v>
      </c>
      <c r="I30" s="95">
        <v>213</v>
      </c>
      <c r="J30" s="101">
        <v>307</v>
      </c>
      <c r="K30" s="77">
        <f t="shared" si="7"/>
        <v>307</v>
      </c>
      <c r="L30" s="92">
        <v>285</v>
      </c>
      <c r="M30" s="93">
        <v>460</v>
      </c>
      <c r="N30" s="93">
        <v>41</v>
      </c>
    </row>
    <row r="31" spans="1:14" ht="12" thickBot="1">
      <c r="A31" s="102" t="s">
        <v>94</v>
      </c>
      <c r="B31" s="103">
        <v>45017</v>
      </c>
      <c r="C31" s="78">
        <f t="shared" si="6"/>
        <v>4</v>
      </c>
      <c r="D31" s="110">
        <v>500</v>
      </c>
      <c r="E31" s="95">
        <v>728</v>
      </c>
      <c r="F31" s="95">
        <v>418</v>
      </c>
      <c r="G31" s="95">
        <v>308</v>
      </c>
      <c r="H31" s="95">
        <v>436</v>
      </c>
      <c r="I31" s="95">
        <v>0</v>
      </c>
      <c r="J31" s="101">
        <v>130</v>
      </c>
      <c r="K31" s="77">
        <f t="shared" si="7"/>
        <v>130</v>
      </c>
      <c r="L31" s="92">
        <v>276</v>
      </c>
      <c r="M31" s="93">
        <v>400</v>
      </c>
      <c r="N31" s="93">
        <v>413</v>
      </c>
    </row>
    <row r="32" spans="1:14" ht="12" thickBot="1">
      <c r="A32" s="102" t="s">
        <v>95</v>
      </c>
      <c r="B32" s="103">
        <v>45383</v>
      </c>
      <c r="C32" s="78">
        <f t="shared" si="6"/>
        <v>4</v>
      </c>
      <c r="D32" s="110">
        <v>605</v>
      </c>
      <c r="E32" s="95">
        <v>779</v>
      </c>
      <c r="F32" s="85">
        <v>472</v>
      </c>
      <c r="G32" s="85">
        <v>346</v>
      </c>
      <c r="H32" s="85">
        <v>480</v>
      </c>
      <c r="I32" s="85">
        <v>483</v>
      </c>
      <c r="J32" s="106">
        <v>764</v>
      </c>
      <c r="K32" s="77">
        <f t="shared" si="7"/>
        <v>764</v>
      </c>
      <c r="L32" s="92">
        <v>291</v>
      </c>
      <c r="M32" s="93">
        <v>447</v>
      </c>
      <c r="N32" s="93">
        <v>408</v>
      </c>
    </row>
    <row r="33" spans="1:14" ht="12" thickBot="1">
      <c r="A33" s="102"/>
      <c r="B33" s="103"/>
      <c r="D33" s="92">
        <f>_xlfn.FORECAST.ETS(DATE(2025,1,1),D$26:D$32,$B$26:$B$32,1,1)+_xlfn.FORECAST.ETS.CONFINT(DATE(2025,1,1),D$26:D$32,$B$26:$B$32,$A$1,1)</f>
        <v>851.66866748101745</v>
      </c>
      <c r="E33" s="92">
        <f>_xlfn.FORECAST.ETS(DATE(2025,1,1),E$26:E$32,$B$26:$B$32,1,1)+_xlfn.FORECAST.ETS.CONFINT(DATE(2025,1,1),E$26:E$32,$B$26:$B$32,$A$1,1)</f>
        <v>810.83527034736301</v>
      </c>
      <c r="F33" s="92">
        <f>_xlfn.FORECAST.ETS(DATE(2025,1,1),F$26:F$32,$B$26:$B$32,1,1)+_xlfn.FORECAST.ETS.CONFINT(DATE(2025,1,1),F$26:F$32,$B$26:$B$32,$A$1,1)</f>
        <v>460.22737896761612</v>
      </c>
      <c r="G33" s="92">
        <f>_xlfn.FORECAST.ETS(DATE(2025,1,1),G$26:G$32,$B$26:$B$32,1,1)+_xlfn.FORECAST.ETS.CONFINT(DATE(2025,1,1),G$26:G$32,$B$26:$B$32,$A$1,1)</f>
        <v>463.63439916482582</v>
      </c>
      <c r="H33" s="92">
        <f>_xlfn.FORECAST.ETS(DATE(2025,1,1),H$26:H$32,$B$26:$B$32,1,1)+_xlfn.FORECAST.ETS.CONFINT(DATE(2025,1,1),H$26:H$32,$B$26:$B$32,$A$1,1)</f>
        <v>524.020107781305</v>
      </c>
      <c r="I33" s="92"/>
      <c r="J33" s="92"/>
      <c r="K33" s="92">
        <f>_xlfn.FORECAST.ETS(DATE(2025,1,1),K$26:K$32,$B$26:$B$32,1,1)+_xlfn.FORECAST.ETS.CONFINT(DATE(2025,1,1),K$26:K$32,$B$26:$B$32,$A$1,1)</f>
        <v>753.62096985318271</v>
      </c>
      <c r="L33" s="92">
        <f>_xlfn.FORECAST.ETS(DATE(2025,1,1),L$26:L$32,$B$26:$B$32,1,1)+_xlfn.FORECAST.ETS.CONFINT(DATE(2025,1,1),L$26:L$32,$B$26:$B$32,$A$1,1)</f>
        <v>303.45338790380913</v>
      </c>
      <c r="M33" s="92">
        <f>_xlfn.FORECAST.ETS(DATE(2025,1,1),M$26:M$32,$B$26:$B$32,1,1)+_xlfn.FORECAST.ETS.CONFINT(DATE(2025,1,1),M$26:M$32,$B$26:$B$32,$A$1,1)</f>
        <v>443.66797619681176</v>
      </c>
      <c r="N33" s="92">
        <f>_xlfn.FORECAST.ETS(DATE(2025,1,1),N$26:N$32,$B$26:$B$32,1,1)+_xlfn.FORECAST.ETS.CONFINT(DATE(2025,1,1),N$26:N$32,$B$26:$B$32,$A$1,1)</f>
        <v>660.29458565748769</v>
      </c>
    </row>
    <row r="34" spans="1:14" ht="12" thickBot="1">
      <c r="A34" s="86" t="s">
        <v>96</v>
      </c>
      <c r="B34" s="80">
        <v>43221</v>
      </c>
      <c r="C34" s="78">
        <f t="shared" ref="C34:C40" si="8">MONTH(DATE(YEAR(B34),MONTH(B34),DAY(B34)))</f>
        <v>5</v>
      </c>
      <c r="D34" s="92">
        <v>670</v>
      </c>
      <c r="E34" s="93">
        <v>915</v>
      </c>
      <c r="F34" s="93">
        <v>449</v>
      </c>
      <c r="G34" s="93">
        <v>324</v>
      </c>
      <c r="H34" s="104">
        <v>559</v>
      </c>
      <c r="I34" s="114"/>
      <c r="K34" s="77">
        <f t="shared" ref="K34:K40" si="9">MAX(I34,J34)</f>
        <v>0</v>
      </c>
      <c r="L34" s="88">
        <v>318</v>
      </c>
      <c r="M34" s="90">
        <v>534</v>
      </c>
      <c r="N34" s="95">
        <v>552</v>
      </c>
    </row>
    <row r="35" spans="1:14" ht="12" thickBot="1">
      <c r="A35" s="86" t="s">
        <v>97</v>
      </c>
      <c r="B35" s="80">
        <v>43586</v>
      </c>
      <c r="C35" s="78">
        <f t="shared" si="8"/>
        <v>5</v>
      </c>
      <c r="D35" s="92">
        <v>648</v>
      </c>
      <c r="E35" s="93">
        <v>943</v>
      </c>
      <c r="F35" s="93">
        <v>488</v>
      </c>
      <c r="G35" s="93">
        <v>316</v>
      </c>
      <c r="H35" s="104">
        <v>571</v>
      </c>
      <c r="I35" s="93">
        <v>314</v>
      </c>
      <c r="J35" s="89"/>
      <c r="K35" s="77">
        <f t="shared" si="9"/>
        <v>314</v>
      </c>
      <c r="L35" s="93">
        <v>323</v>
      </c>
      <c r="M35" s="90">
        <v>492</v>
      </c>
      <c r="N35" s="91"/>
    </row>
    <row r="36" spans="1:14" ht="12" thickBot="1">
      <c r="A36" s="86" t="s">
        <v>98</v>
      </c>
      <c r="B36" s="80">
        <v>43952</v>
      </c>
      <c r="C36" s="78">
        <f t="shared" si="8"/>
        <v>5</v>
      </c>
      <c r="D36" s="92">
        <v>253</v>
      </c>
      <c r="E36" s="93">
        <v>603</v>
      </c>
      <c r="F36" s="98"/>
      <c r="G36" s="93">
        <v>174</v>
      </c>
      <c r="H36" s="104">
        <v>542</v>
      </c>
      <c r="I36" s="93">
        <v>237</v>
      </c>
      <c r="K36" s="77">
        <f t="shared" si="9"/>
        <v>237</v>
      </c>
      <c r="L36" s="95">
        <v>270</v>
      </c>
      <c r="M36" s="90">
        <v>471</v>
      </c>
      <c r="N36" s="95">
        <v>151</v>
      </c>
    </row>
    <row r="37" spans="1:14" ht="12" thickBot="1">
      <c r="A37" s="86" t="s">
        <v>99</v>
      </c>
      <c r="B37" s="80">
        <v>44317</v>
      </c>
      <c r="C37" s="78">
        <f t="shared" si="8"/>
        <v>5</v>
      </c>
      <c r="D37" s="92">
        <v>405</v>
      </c>
      <c r="E37" s="93">
        <v>772</v>
      </c>
      <c r="F37" s="93">
        <v>279</v>
      </c>
      <c r="G37" s="93">
        <v>216</v>
      </c>
      <c r="H37" s="104">
        <v>574</v>
      </c>
      <c r="I37" s="93">
        <v>202</v>
      </c>
      <c r="J37" s="81">
        <v>142</v>
      </c>
      <c r="K37" s="77">
        <f t="shared" si="9"/>
        <v>202</v>
      </c>
      <c r="L37" s="95">
        <v>254</v>
      </c>
      <c r="M37" s="90">
        <v>387</v>
      </c>
      <c r="N37" s="95">
        <v>454</v>
      </c>
    </row>
    <row r="38" spans="1:14" ht="12" thickBot="1">
      <c r="A38" s="86" t="s">
        <v>100</v>
      </c>
      <c r="B38" s="80">
        <v>44682</v>
      </c>
      <c r="C38" s="78">
        <f t="shared" si="8"/>
        <v>5</v>
      </c>
      <c r="D38" s="97">
        <v>488</v>
      </c>
      <c r="E38" s="93">
        <v>739</v>
      </c>
      <c r="F38" s="93">
        <v>377</v>
      </c>
      <c r="G38" s="93">
        <v>298</v>
      </c>
      <c r="H38" s="104">
        <v>494</v>
      </c>
      <c r="I38" s="93">
        <v>217</v>
      </c>
      <c r="J38" s="81">
        <v>217</v>
      </c>
      <c r="K38" s="77">
        <f t="shared" si="9"/>
        <v>217</v>
      </c>
      <c r="L38" s="101">
        <v>282</v>
      </c>
      <c r="M38" s="95">
        <v>443</v>
      </c>
      <c r="N38" s="95">
        <v>136</v>
      </c>
    </row>
    <row r="39" spans="1:14" ht="12" thickBot="1">
      <c r="A39" s="86" t="s">
        <v>101</v>
      </c>
      <c r="B39" s="80">
        <v>45047</v>
      </c>
      <c r="C39" s="78">
        <f t="shared" si="8"/>
        <v>5</v>
      </c>
      <c r="D39" s="97">
        <v>413</v>
      </c>
      <c r="E39" s="93">
        <v>653</v>
      </c>
      <c r="F39" s="93">
        <v>351</v>
      </c>
      <c r="G39" s="93">
        <v>301</v>
      </c>
      <c r="H39" s="93">
        <v>394</v>
      </c>
      <c r="I39" s="93">
        <v>195</v>
      </c>
      <c r="J39" s="81">
        <v>282</v>
      </c>
      <c r="K39" s="77">
        <f t="shared" si="9"/>
        <v>282</v>
      </c>
      <c r="L39" s="116">
        <v>268</v>
      </c>
      <c r="M39" s="95">
        <v>396</v>
      </c>
      <c r="N39" s="95">
        <v>406</v>
      </c>
    </row>
    <row r="40" spans="1:14" ht="12" thickBot="1">
      <c r="A40" s="86" t="s">
        <v>102</v>
      </c>
      <c r="B40" s="80">
        <v>45413</v>
      </c>
      <c r="C40" s="78">
        <f t="shared" si="8"/>
        <v>5</v>
      </c>
      <c r="D40" s="97">
        <v>525</v>
      </c>
      <c r="E40" s="93">
        <v>756</v>
      </c>
      <c r="F40" s="93">
        <v>417</v>
      </c>
      <c r="G40" s="93">
        <v>343</v>
      </c>
      <c r="H40" s="93">
        <v>446</v>
      </c>
      <c r="I40" s="93">
        <v>457</v>
      </c>
      <c r="J40" s="81">
        <v>702</v>
      </c>
      <c r="K40" s="77">
        <f t="shared" si="9"/>
        <v>702</v>
      </c>
      <c r="L40" s="95">
        <v>281</v>
      </c>
      <c r="M40" s="95">
        <v>438</v>
      </c>
      <c r="N40" s="95">
        <v>398</v>
      </c>
    </row>
    <row r="41" spans="1:14" ht="12" thickBot="1">
      <c r="A41" s="86"/>
      <c r="B41" s="80"/>
      <c r="D41" s="92">
        <f>_xlfn.FORECAST.ETS(DATE(2025,1,1),D$34:D$40,$B$34:$B$40,1,1)+_xlfn.FORECAST.ETS.CONFINT(DATE(2025,1,1),D$34:D$40,$B$34:$B$40,$A$1,1)</f>
        <v>665.8411371473569</v>
      </c>
      <c r="E41" s="92">
        <f>_xlfn.FORECAST.ETS(DATE(2025,1,1),E$34:E$40,$B$34:$B$40,1,1)+_xlfn.FORECAST.ETS.CONFINT(DATE(2025,1,1),E$34:E$40,$B$34:$B$40,$A$1,1)</f>
        <v>840.75085729878629</v>
      </c>
      <c r="F41" s="92">
        <f>_xlfn.FORECAST.ETS(DATE(2025,1,1),F$34:F$40,$B$34:$B$40,1,1)+_xlfn.FORECAST.ETS.CONFINT(DATE(2025,1,1),F$34:F$40,$B$34:$B$40,$A$1,1)</f>
        <v>454.15371793281923</v>
      </c>
      <c r="G41" s="92">
        <f>_xlfn.FORECAST.ETS(DATE(2025,1,1),G$34:G$40,$B$34:$B$40,1,1)+_xlfn.FORECAST.ETS.CONFINT(DATE(2025,1,1),G$34:G$40,$B$34:$B$40,$A$1,1)</f>
        <v>448.74739521713661</v>
      </c>
      <c r="H41" s="92">
        <f>_xlfn.FORECAST.ETS(DATE(2025,1,1),H$34:H$40,$B$34:$B$40,1,1)+_xlfn.FORECAST.ETS.CONFINT(DATE(2025,1,1),H$34:H$40,$B$34:$B$40,$A$1,1)</f>
        <v>480.36145131461683</v>
      </c>
      <c r="I41" s="92"/>
      <c r="J41" s="92"/>
      <c r="K41" s="92">
        <f>_xlfn.FORECAST.ETS(DATE(2025,1,1),K$34:K$40,$B$34:$B$40,1,1)+_xlfn.FORECAST.ETS.CONFINT(DATE(2025,1,1),K$34:K$40,$B$34:$B$40,$A$1,1)</f>
        <v>719.56969828029764</v>
      </c>
      <c r="L41" s="92">
        <f>_xlfn.FORECAST.ETS(DATE(2025,1,1),L$34:L$40,$B$34:$B$40,1,1)+_xlfn.FORECAST.ETS.CONFINT(DATE(2025,1,1),L$34:L$40,$B$34:$B$40,$A$1,1)</f>
        <v>296.72134865542341</v>
      </c>
      <c r="M41" s="92">
        <f>_xlfn.FORECAST.ETS(DATE(2025,1,1),M$34:M$40,$B$34:$B$40,1,1)+_xlfn.FORECAST.ETS.CONFINT(DATE(2025,1,1),M$34:M$40,$B$34:$B$40,$A$1,1)</f>
        <v>452.66970596593671</v>
      </c>
      <c r="N41" s="92">
        <f>_xlfn.FORECAST.ETS(DATE(2025,1,1),N$34:N$40,$B$34:$B$40,1,1)+_xlfn.FORECAST.ETS.CONFINT(DATE(2025,1,1),N$34:N$40,$B$34:$B$40,$A$1,1)</f>
        <v>619.19744966456005</v>
      </c>
    </row>
    <row r="42" spans="1:14" ht="12" thickBot="1">
      <c r="A42" s="102" t="s">
        <v>103</v>
      </c>
      <c r="B42" s="103">
        <v>43252</v>
      </c>
      <c r="C42" s="78">
        <f t="shared" ref="C42:C48" si="10">MONTH(DATE(YEAR(B42),MONTH(B42),DAY(B42)))</f>
        <v>6</v>
      </c>
      <c r="D42" s="101">
        <v>586</v>
      </c>
      <c r="E42" s="95">
        <v>910</v>
      </c>
      <c r="F42" s="95">
        <v>445</v>
      </c>
      <c r="G42" s="95">
        <v>329</v>
      </c>
      <c r="H42" s="90">
        <v>646</v>
      </c>
      <c r="I42" s="114"/>
      <c r="K42" s="77">
        <f t="shared" ref="K42:K48" si="11">MAX(I42,J42)</f>
        <v>0</v>
      </c>
      <c r="L42" s="95">
        <v>296</v>
      </c>
      <c r="M42" s="104">
        <v>553</v>
      </c>
      <c r="N42" s="93">
        <v>566</v>
      </c>
    </row>
    <row r="43" spans="1:14" ht="12" thickBot="1">
      <c r="A43" s="109" t="s">
        <v>104</v>
      </c>
      <c r="B43" s="103">
        <v>43617</v>
      </c>
      <c r="C43" s="78">
        <f t="shared" si="10"/>
        <v>6</v>
      </c>
      <c r="D43" s="101">
        <v>528</v>
      </c>
      <c r="E43" s="95">
        <v>896</v>
      </c>
      <c r="F43" s="95">
        <v>348</v>
      </c>
      <c r="G43" s="95">
        <v>313</v>
      </c>
      <c r="H43" s="90">
        <v>556</v>
      </c>
      <c r="I43" s="95">
        <v>399</v>
      </c>
      <c r="J43" s="105"/>
      <c r="K43" s="77">
        <f t="shared" si="11"/>
        <v>399</v>
      </c>
      <c r="L43" s="95">
        <v>304</v>
      </c>
      <c r="M43" s="96">
        <v>461</v>
      </c>
      <c r="N43" s="88">
        <v>523</v>
      </c>
    </row>
    <row r="44" spans="1:14" ht="12" thickBot="1">
      <c r="A44" s="102" t="s">
        <v>105</v>
      </c>
      <c r="B44" s="103">
        <v>43983</v>
      </c>
      <c r="C44" s="78">
        <f t="shared" si="10"/>
        <v>6</v>
      </c>
      <c r="D44" s="100">
        <v>237</v>
      </c>
      <c r="E44" s="85">
        <v>532</v>
      </c>
      <c r="F44" s="95">
        <v>171</v>
      </c>
      <c r="G44" s="95">
        <v>178</v>
      </c>
      <c r="H44" s="90">
        <v>482</v>
      </c>
      <c r="I44" s="95">
        <v>219</v>
      </c>
      <c r="K44" s="77">
        <f t="shared" si="11"/>
        <v>219</v>
      </c>
      <c r="L44" s="93">
        <v>273</v>
      </c>
      <c r="M44" s="104">
        <v>440</v>
      </c>
      <c r="N44" s="93">
        <v>144</v>
      </c>
    </row>
    <row r="45" spans="1:14" ht="12" thickBot="1">
      <c r="A45" s="102" t="s">
        <v>106</v>
      </c>
      <c r="B45" s="103">
        <v>44348</v>
      </c>
      <c r="C45" s="78">
        <f t="shared" si="10"/>
        <v>6</v>
      </c>
      <c r="D45" s="101">
        <v>305</v>
      </c>
      <c r="E45" s="95">
        <v>739</v>
      </c>
      <c r="F45" s="95">
        <v>246</v>
      </c>
      <c r="G45" s="95">
        <v>211</v>
      </c>
      <c r="H45" s="90">
        <v>557</v>
      </c>
      <c r="I45" s="95">
        <v>182</v>
      </c>
      <c r="J45" s="106">
        <v>130</v>
      </c>
      <c r="K45" s="77">
        <f t="shared" si="11"/>
        <v>182</v>
      </c>
      <c r="L45" s="93">
        <v>254</v>
      </c>
      <c r="M45" s="93">
        <v>368</v>
      </c>
      <c r="N45" s="93">
        <v>449</v>
      </c>
    </row>
    <row r="46" spans="1:14" ht="12" thickBot="1">
      <c r="A46" s="102" t="s">
        <v>107</v>
      </c>
      <c r="B46" s="103">
        <v>44713</v>
      </c>
      <c r="C46" s="78">
        <f t="shared" si="10"/>
        <v>6</v>
      </c>
      <c r="D46" s="110">
        <v>353</v>
      </c>
      <c r="E46" s="95">
        <v>662</v>
      </c>
      <c r="F46" s="85">
        <v>255</v>
      </c>
      <c r="G46" s="85">
        <v>271</v>
      </c>
      <c r="H46" s="85">
        <v>486</v>
      </c>
      <c r="I46" s="85">
        <v>206</v>
      </c>
      <c r="J46" s="100">
        <v>206</v>
      </c>
      <c r="K46" s="77">
        <f t="shared" si="11"/>
        <v>206</v>
      </c>
      <c r="L46" s="92">
        <v>281</v>
      </c>
      <c r="M46" s="93">
        <v>424</v>
      </c>
      <c r="N46" s="93">
        <v>88</v>
      </c>
    </row>
    <row r="47" spans="1:14" ht="12" thickBot="1">
      <c r="A47" s="102" t="s">
        <v>108</v>
      </c>
      <c r="B47" s="103">
        <v>45078</v>
      </c>
      <c r="C47" s="78">
        <f t="shared" si="10"/>
        <v>6</v>
      </c>
      <c r="D47" s="110">
        <v>392</v>
      </c>
      <c r="E47" s="95">
        <v>633</v>
      </c>
      <c r="F47" s="95">
        <v>348</v>
      </c>
      <c r="G47" s="95">
        <v>294</v>
      </c>
      <c r="H47" s="95">
        <v>347</v>
      </c>
      <c r="I47" s="95">
        <v>500</v>
      </c>
      <c r="J47" s="101">
        <v>0</v>
      </c>
      <c r="K47" s="77">
        <f t="shared" si="11"/>
        <v>500</v>
      </c>
      <c r="L47" s="87">
        <v>270</v>
      </c>
      <c r="M47" s="93">
        <v>412</v>
      </c>
      <c r="N47" s="93">
        <v>391</v>
      </c>
    </row>
    <row r="48" spans="1:14" ht="12" thickBot="1">
      <c r="A48" s="102" t="s">
        <v>109</v>
      </c>
      <c r="B48" s="103">
        <v>45444</v>
      </c>
      <c r="C48" s="78">
        <f t="shared" si="10"/>
        <v>6</v>
      </c>
      <c r="D48" s="117">
        <v>383</v>
      </c>
      <c r="E48" s="91">
        <v>997</v>
      </c>
      <c r="F48" s="95">
        <v>332</v>
      </c>
      <c r="G48" s="91">
        <v>316</v>
      </c>
      <c r="H48" s="91">
        <v>358</v>
      </c>
      <c r="I48" s="91"/>
      <c r="J48" s="117"/>
      <c r="K48" s="77">
        <f t="shared" si="11"/>
        <v>0</v>
      </c>
      <c r="L48" s="118"/>
      <c r="M48" s="98"/>
      <c r="N48" s="98"/>
    </row>
    <row r="49" spans="1:14" ht="12" thickBot="1">
      <c r="A49" s="102"/>
      <c r="B49" s="103"/>
      <c r="D49" s="92">
        <f>_xlfn.FORECAST.ETS(DATE(2025,1,1),D$42:D$48,$B$42:$B$48,1,1)+_xlfn.FORECAST.ETS.CONFINT(DATE(2025,1,1),D$42:D$48,$B$42:$B$48,$A$1,1)</f>
        <v>534.42413486204464</v>
      </c>
      <c r="E49" s="92">
        <f>_xlfn.FORECAST.ETS(DATE(2025,1,1),E$42:E$48,$B$42:$B$48,1,1)+_xlfn.FORECAST.ETS.CONFINT(DATE(2025,1,1),E$42:E$48,$B$42:$B$48,$A$1,1)</f>
        <v>1061.421729204962</v>
      </c>
      <c r="F49" s="92">
        <f>_xlfn.FORECAST.ETS(DATE(2025,1,1),F$42:F$48,$B$42:$B$48,1,1)+_xlfn.FORECAST.ETS.CONFINT(DATE(2025,1,1),F$42:F$48,$B$42:$B$48,$A$1,1)</f>
        <v>459.25657353333952</v>
      </c>
      <c r="G49" s="92">
        <f>_xlfn.FORECAST.ETS(DATE(2025,1,1),G$42:G$48,$B$42:$B$48,1,1)+_xlfn.FORECAST.ETS.CONFINT(DATE(2025,1,1),G$42:G$48,$B$42:$B$48,$A$1,1)</f>
        <v>402.93993612649183</v>
      </c>
      <c r="H49" s="92">
        <f>_xlfn.FORECAST.ETS(DATE(2025,1,1),H$42:H$48,$B$42:$B$48,1,1)+_xlfn.FORECAST.ETS.CONFINT(DATE(2025,1,1),H$42:H$48,$B$42:$B$48,$A$1,1)</f>
        <v>414.67690232889493</v>
      </c>
      <c r="I49" s="92"/>
      <c r="J49" s="92"/>
      <c r="K49" s="92">
        <f>_xlfn.FORECAST.ETS(DATE(2025,1,1),K$42:K$48,$B$42:$B$48,1,1)+_xlfn.FORECAST.ETS.CONFINT(DATE(2025,1,1),K$42:K$48,$B$42:$B$48,$A$1,1)</f>
        <v>537.29300775432955</v>
      </c>
      <c r="L49" s="92">
        <f>_xlfn.FORECAST.ETS(DATE(2025,1,1),L$42:L$48,$B$42:$B$48,1,1)+_xlfn.FORECAST.ETS.CONFINT(DATE(2025,1,1),L$42:L$48,$B$42:$B$48,$A$1,1)</f>
        <v>280.62294611938921</v>
      </c>
      <c r="M49" s="92">
        <f>_xlfn.FORECAST.ETS(DATE(2025,1,1),M$42:M$48,$B$42:$B$48,1,1)+_xlfn.FORECAST.ETS.CONFINT(DATE(2025,1,1),M$42:M$48,$B$42:$B$48,$A$1,1)</f>
        <v>479.22408328868505</v>
      </c>
      <c r="N49" s="92">
        <f>_xlfn.FORECAST.ETS(DATE(2025,1,1),N$42:N$48,$B$42:$B$48,1,1)+_xlfn.FORECAST.ETS.CONFINT(DATE(2025,1,1),N$42:N$48,$B$42:$B$48,$A$1,1)</f>
        <v>461.84611698557126</v>
      </c>
    </row>
    <row r="50" spans="1:14" ht="12" thickBot="1">
      <c r="A50" s="86" t="s">
        <v>110</v>
      </c>
      <c r="B50" s="80">
        <v>43282</v>
      </c>
      <c r="C50" s="78">
        <f t="shared" ref="C50:C56" si="12">MONTH(DATE(YEAR(B50),MONTH(B50),DAY(B50)))</f>
        <v>7</v>
      </c>
      <c r="D50" s="92">
        <v>589</v>
      </c>
      <c r="E50" s="93">
        <v>895</v>
      </c>
      <c r="F50" s="93">
        <v>504</v>
      </c>
      <c r="G50" s="93">
        <v>315</v>
      </c>
      <c r="H50" s="99"/>
      <c r="I50" s="114"/>
      <c r="J50" s="114"/>
      <c r="K50" s="77">
        <f t="shared" ref="K50:K56" si="13">MAX(I50,J50)</f>
        <v>0</v>
      </c>
      <c r="L50" s="93">
        <v>307</v>
      </c>
      <c r="M50" s="90">
        <v>507</v>
      </c>
      <c r="N50" s="95">
        <v>266</v>
      </c>
    </row>
    <row r="51" spans="1:14" ht="12" thickBot="1">
      <c r="A51" s="86" t="s">
        <v>111</v>
      </c>
      <c r="B51" s="80">
        <v>43647</v>
      </c>
      <c r="C51" s="78">
        <f t="shared" si="12"/>
        <v>7</v>
      </c>
      <c r="D51" s="92">
        <v>506</v>
      </c>
      <c r="E51" s="93">
        <v>798</v>
      </c>
      <c r="F51" s="93">
        <v>365</v>
      </c>
      <c r="G51" s="93">
        <v>292</v>
      </c>
      <c r="H51" s="104">
        <v>425</v>
      </c>
      <c r="I51" s="93">
        <v>254</v>
      </c>
      <c r="J51" s="118"/>
      <c r="K51" s="77">
        <f t="shared" si="13"/>
        <v>254</v>
      </c>
      <c r="L51" s="93">
        <v>294</v>
      </c>
      <c r="M51" s="90">
        <v>481</v>
      </c>
      <c r="N51" s="95">
        <v>493</v>
      </c>
    </row>
    <row r="52" spans="1:14" ht="12" thickBot="1">
      <c r="A52" s="86" t="s">
        <v>112</v>
      </c>
      <c r="B52" s="80">
        <v>44013</v>
      </c>
      <c r="C52" s="78">
        <f t="shared" si="12"/>
        <v>7</v>
      </c>
      <c r="D52" s="92">
        <v>228</v>
      </c>
      <c r="E52" s="93">
        <v>614</v>
      </c>
      <c r="F52" s="93">
        <v>164</v>
      </c>
      <c r="G52" s="93">
        <v>171</v>
      </c>
      <c r="H52" s="104">
        <v>435</v>
      </c>
      <c r="I52" s="93">
        <v>202</v>
      </c>
      <c r="J52" s="114"/>
      <c r="K52" s="77">
        <f t="shared" si="13"/>
        <v>202</v>
      </c>
      <c r="L52" s="95">
        <v>243</v>
      </c>
      <c r="M52" s="90">
        <v>411</v>
      </c>
      <c r="N52" s="95">
        <v>402</v>
      </c>
    </row>
    <row r="53" spans="1:14" ht="12" thickBot="1">
      <c r="A53" s="86" t="s">
        <v>113</v>
      </c>
      <c r="B53" s="80">
        <v>44378</v>
      </c>
      <c r="C53" s="78">
        <f t="shared" si="12"/>
        <v>7</v>
      </c>
      <c r="D53" s="92">
        <v>301</v>
      </c>
      <c r="E53" s="93">
        <v>730</v>
      </c>
      <c r="F53" s="93">
        <v>217</v>
      </c>
      <c r="G53" s="93">
        <v>217</v>
      </c>
      <c r="H53" s="104">
        <v>599</v>
      </c>
      <c r="I53" s="93">
        <v>0</v>
      </c>
      <c r="J53" s="92">
        <v>97</v>
      </c>
      <c r="K53" s="77">
        <f t="shared" si="13"/>
        <v>97</v>
      </c>
      <c r="L53" s="95">
        <v>238</v>
      </c>
      <c r="M53" s="95">
        <v>354</v>
      </c>
      <c r="N53" s="91"/>
    </row>
    <row r="54" spans="1:14" ht="12" thickBot="1">
      <c r="A54" s="86" t="s">
        <v>114</v>
      </c>
      <c r="B54" s="80">
        <v>44743</v>
      </c>
      <c r="C54" s="78">
        <f t="shared" si="12"/>
        <v>7</v>
      </c>
      <c r="D54" s="97">
        <v>329</v>
      </c>
      <c r="E54" s="93">
        <v>669</v>
      </c>
      <c r="F54" s="93">
        <v>224</v>
      </c>
      <c r="G54" s="93">
        <v>258</v>
      </c>
      <c r="H54" s="93">
        <v>474</v>
      </c>
      <c r="I54" s="93">
        <v>206</v>
      </c>
      <c r="J54" s="92">
        <v>222</v>
      </c>
      <c r="K54" s="77">
        <f t="shared" si="13"/>
        <v>222</v>
      </c>
      <c r="L54" s="95">
        <v>269</v>
      </c>
      <c r="M54" s="95">
        <v>404</v>
      </c>
      <c r="N54" s="95">
        <v>193</v>
      </c>
    </row>
    <row r="55" spans="1:14" ht="12" thickBot="1">
      <c r="A55" s="86" t="s">
        <v>115</v>
      </c>
      <c r="B55" s="80">
        <v>45108</v>
      </c>
      <c r="C55" s="78">
        <f t="shared" si="12"/>
        <v>7</v>
      </c>
      <c r="D55" s="97">
        <v>377</v>
      </c>
      <c r="E55" s="93">
        <v>593</v>
      </c>
      <c r="F55" s="93">
        <v>347</v>
      </c>
      <c r="G55" s="93">
        <v>297</v>
      </c>
      <c r="H55" s="93">
        <v>327</v>
      </c>
      <c r="I55" s="93">
        <v>500</v>
      </c>
      <c r="J55" s="92">
        <v>500</v>
      </c>
      <c r="K55" s="77">
        <f t="shared" si="13"/>
        <v>500</v>
      </c>
      <c r="L55" s="101">
        <v>270</v>
      </c>
      <c r="M55" s="95">
        <v>415</v>
      </c>
      <c r="N55" s="95">
        <v>394</v>
      </c>
    </row>
    <row r="56" spans="1:14" ht="12" thickBot="1">
      <c r="A56" s="79" t="s">
        <v>116</v>
      </c>
      <c r="B56" s="80">
        <v>45474</v>
      </c>
      <c r="C56" s="78">
        <f t="shared" si="12"/>
        <v>7</v>
      </c>
      <c r="D56" s="118">
        <v>412</v>
      </c>
      <c r="E56" s="98">
        <v>682</v>
      </c>
      <c r="F56" s="98"/>
      <c r="G56" s="98">
        <v>310</v>
      </c>
      <c r="H56" s="98"/>
      <c r="I56" s="98">
        <v>540</v>
      </c>
      <c r="J56" s="118">
        <v>373</v>
      </c>
      <c r="K56" s="77">
        <f t="shared" si="13"/>
        <v>540</v>
      </c>
      <c r="L56" s="117"/>
      <c r="M56" s="119"/>
      <c r="N56" s="119"/>
    </row>
    <row r="57" spans="1:14" ht="12" thickBot="1">
      <c r="A57" s="86"/>
      <c r="B57" s="80"/>
      <c r="D57" s="92">
        <f>_xlfn.FORECAST.ETS(DATE(2025,1,1),D$50:D$56,$B$50:$B$56,1,1)+_xlfn.FORECAST.ETS.CONFINT(DATE(2025,1,1),D$50:D$56,$B$50:$B$56,$A$1,1)</f>
        <v>550.76312554159222</v>
      </c>
      <c r="E57" s="92">
        <f>_xlfn.FORECAST.ETS(DATE(2025,1,1),E$50:E$56,$B$50:$B$56,1,1)+_xlfn.FORECAST.ETS.CONFINT(DATE(2025,1,1),E$50:E$56,$B$50:$B$56,$A$1,1)</f>
        <v>721.85658017344554</v>
      </c>
      <c r="F57" s="92">
        <f>_xlfn.FORECAST.ETS(DATE(2025,1,1),F$50:F$56,$B$50:$B$56,1,1)+_xlfn.FORECAST.ETS.CONFINT(DATE(2025,1,1),F$50:F$56,$B$50:$B$56,$A$1,1)</f>
        <v>564.67602027090027</v>
      </c>
      <c r="G57" s="92">
        <f>_xlfn.FORECAST.ETS(DATE(2025,1,1),G$50:G$56,$B$50:$B$56,1,1)+_xlfn.FORECAST.ETS.CONFINT(DATE(2025,1,1),G$50:G$56,$B$50:$B$56,$A$1,1)</f>
        <v>386.50871038453022</v>
      </c>
      <c r="H57" s="92">
        <f>_xlfn.FORECAST.ETS(DATE(2025,1,1),H$50:H$56,$B$50:$B$56,1,1)+_xlfn.FORECAST.ETS.CONFINT(DATE(2025,1,1),H$50:H$56,$B$50:$B$56,$A$1,1)</f>
        <v>561.4890979200502</v>
      </c>
      <c r="I57" s="92"/>
      <c r="J57" s="92"/>
      <c r="K57" s="92">
        <f>_xlfn.FORECAST.ETS(DATE(2025,1,1),K$50:K$56,$B$50:$B$56,1,1)+_xlfn.FORECAST.ETS.CONFINT(DATE(2025,1,1),K$50:K$56,$B$50:$B$56,$A$1,1)</f>
        <v>644.57608720033522</v>
      </c>
      <c r="L57" s="92">
        <f>_xlfn.FORECAST.ETS(DATE(2025,1,1),L$50:L$56,$B$50:$B$56,1,1)+_xlfn.FORECAST.ETS.CONFINT(DATE(2025,1,1),L$50:L$56,$B$50:$B$56,$A$1,1)</f>
        <v>317.5803865634112</v>
      </c>
      <c r="M57" s="92">
        <f>_xlfn.FORECAST.ETS(DATE(2025,1,1),M$50:M$56,$B$50:$B$56,1,1)+_xlfn.FORECAST.ETS.CONFINT(DATE(2025,1,1),M$50:M$56,$B$50:$B$56,$A$1,1)</f>
        <v>478.75997765947176</v>
      </c>
      <c r="N57" s="92">
        <f>_xlfn.FORECAST.ETS(DATE(2025,1,1),N$50:N$56,$B$50:$B$56,1,1)+_xlfn.FORECAST.ETS.CONFINT(DATE(2025,1,1),N$50:N$56,$B$50:$B$56,$A$1,1)</f>
        <v>409.97700771317659</v>
      </c>
    </row>
    <row r="58" spans="1:14" ht="12" thickBot="1">
      <c r="A58" s="102" t="s">
        <v>117</v>
      </c>
      <c r="B58" s="103">
        <v>43313</v>
      </c>
      <c r="C58" s="78">
        <f t="shared" ref="C58:C64" si="14">MONTH(DATE(YEAR(B58),MONTH(B58),DAY(B58)))</f>
        <v>8</v>
      </c>
      <c r="D58" s="100">
        <v>669</v>
      </c>
      <c r="E58" s="85">
        <v>924</v>
      </c>
      <c r="F58" s="95">
        <v>562</v>
      </c>
      <c r="G58" s="95">
        <v>315</v>
      </c>
      <c r="H58" s="90">
        <v>626</v>
      </c>
      <c r="I58" s="114"/>
      <c r="J58" s="114"/>
      <c r="K58" s="77">
        <f t="shared" ref="K58:K64" si="15">MAX(I58,J58)</f>
        <v>0</v>
      </c>
      <c r="L58" s="95">
        <v>318</v>
      </c>
      <c r="M58" s="104">
        <v>507</v>
      </c>
      <c r="N58" s="93">
        <v>587</v>
      </c>
    </row>
    <row r="59" spans="1:14" ht="12" thickBot="1">
      <c r="A59" s="102" t="s">
        <v>118</v>
      </c>
      <c r="B59" s="103">
        <v>43678</v>
      </c>
      <c r="C59" s="78">
        <f t="shared" si="14"/>
        <v>8</v>
      </c>
      <c r="D59" s="101">
        <v>720</v>
      </c>
      <c r="E59" s="95">
        <v>899</v>
      </c>
      <c r="F59" s="95">
        <v>543</v>
      </c>
      <c r="G59" s="95">
        <v>342</v>
      </c>
      <c r="H59" s="90">
        <v>662</v>
      </c>
      <c r="I59" s="95">
        <v>301</v>
      </c>
      <c r="J59" s="115"/>
      <c r="K59" s="77">
        <f t="shared" si="15"/>
        <v>301</v>
      </c>
      <c r="L59" s="95">
        <v>282</v>
      </c>
      <c r="M59" s="104">
        <v>497</v>
      </c>
      <c r="N59" s="93">
        <v>555</v>
      </c>
    </row>
    <row r="60" spans="1:14" ht="12" thickBot="1">
      <c r="A60" s="102" t="s">
        <v>119</v>
      </c>
      <c r="B60" s="103">
        <v>44044</v>
      </c>
      <c r="C60" s="78">
        <f t="shared" si="14"/>
        <v>8</v>
      </c>
      <c r="D60" s="101">
        <v>371</v>
      </c>
      <c r="E60" s="95">
        <v>685</v>
      </c>
      <c r="F60" s="85">
        <v>280</v>
      </c>
      <c r="G60" s="85">
        <v>223</v>
      </c>
      <c r="H60" s="84">
        <v>594</v>
      </c>
      <c r="I60" s="85">
        <v>312</v>
      </c>
      <c r="J60" s="120"/>
      <c r="K60" s="77">
        <f t="shared" si="15"/>
        <v>312</v>
      </c>
      <c r="L60" s="93">
        <v>275</v>
      </c>
      <c r="M60" s="104">
        <v>460</v>
      </c>
      <c r="N60" s="93">
        <v>451</v>
      </c>
    </row>
    <row r="61" spans="1:14" ht="12" thickBot="1">
      <c r="A61" s="102" t="s">
        <v>120</v>
      </c>
      <c r="B61" s="103">
        <v>44409</v>
      </c>
      <c r="C61" s="78">
        <f t="shared" si="14"/>
        <v>8</v>
      </c>
      <c r="D61" s="101">
        <v>543</v>
      </c>
      <c r="E61" s="95">
        <v>724</v>
      </c>
      <c r="F61" s="95">
        <v>321</v>
      </c>
      <c r="G61" s="95">
        <v>231</v>
      </c>
      <c r="H61" s="90">
        <v>603</v>
      </c>
      <c r="I61" s="95">
        <v>163</v>
      </c>
      <c r="J61" s="101">
        <v>264</v>
      </c>
      <c r="K61" s="77">
        <f t="shared" si="15"/>
        <v>264</v>
      </c>
      <c r="L61" s="88">
        <v>262</v>
      </c>
      <c r="M61" s="93">
        <v>362</v>
      </c>
      <c r="N61" s="93">
        <v>406</v>
      </c>
    </row>
    <row r="62" spans="1:14" ht="12" thickBot="1">
      <c r="A62" s="102" t="s">
        <v>121</v>
      </c>
      <c r="B62" s="103">
        <v>44774</v>
      </c>
      <c r="C62" s="78">
        <f t="shared" si="14"/>
        <v>8</v>
      </c>
      <c r="D62" s="110">
        <v>474</v>
      </c>
      <c r="E62" s="95">
        <v>710</v>
      </c>
      <c r="F62" s="95">
        <v>329</v>
      </c>
      <c r="G62" s="95">
        <v>283</v>
      </c>
      <c r="H62" s="95">
        <v>497</v>
      </c>
      <c r="I62" s="95">
        <v>234</v>
      </c>
      <c r="J62" s="95">
        <v>395</v>
      </c>
      <c r="K62" s="77">
        <f t="shared" si="15"/>
        <v>395</v>
      </c>
      <c r="L62" s="92">
        <v>264</v>
      </c>
      <c r="M62" s="93">
        <v>416</v>
      </c>
      <c r="N62" s="93">
        <v>414</v>
      </c>
    </row>
    <row r="63" spans="1:14" ht="12" thickBot="1">
      <c r="A63" s="102" t="s">
        <v>122</v>
      </c>
      <c r="B63" s="103">
        <v>45139</v>
      </c>
      <c r="C63" s="78">
        <f t="shared" si="14"/>
        <v>8</v>
      </c>
      <c r="D63" s="110">
        <v>476</v>
      </c>
      <c r="E63" s="95">
        <v>695</v>
      </c>
      <c r="F63" s="95">
        <v>408</v>
      </c>
      <c r="G63" s="95">
        <v>264</v>
      </c>
      <c r="H63" s="95">
        <v>396</v>
      </c>
      <c r="I63" s="95">
        <v>397</v>
      </c>
      <c r="J63" s="101">
        <v>626</v>
      </c>
      <c r="K63" s="77">
        <f t="shared" si="15"/>
        <v>626</v>
      </c>
      <c r="L63" s="92">
        <v>270</v>
      </c>
      <c r="M63" s="93">
        <v>435</v>
      </c>
      <c r="N63" s="92">
        <v>482.6</v>
      </c>
    </row>
    <row r="64" spans="1:14" ht="12" thickBot="1">
      <c r="A64" s="102" t="s">
        <v>123</v>
      </c>
      <c r="B64" s="103">
        <v>45505</v>
      </c>
      <c r="C64" s="78">
        <f t="shared" si="14"/>
        <v>8</v>
      </c>
      <c r="D64" s="117"/>
      <c r="E64" s="91"/>
      <c r="F64" s="91"/>
      <c r="G64" s="91"/>
      <c r="H64" s="91"/>
      <c r="I64" s="91"/>
      <c r="J64" s="117"/>
      <c r="K64" s="77">
        <f t="shared" si="15"/>
        <v>0</v>
      </c>
      <c r="L64" s="118"/>
      <c r="M64" s="98"/>
      <c r="N64" s="98"/>
    </row>
    <row r="65" spans="1:14" ht="12" thickBot="1">
      <c r="A65" s="102"/>
      <c r="B65" s="103"/>
      <c r="D65" s="92">
        <f>_xlfn.FORECAST.ETS(DATE(2025,1,1),D$58:D$64,$B$58:$B$64,1,1)+_xlfn.FORECAST.ETS.CONFINT(DATE(2025,1,1),D$58:D$64,$B$58:$B$64,$A$1,1)</f>
        <v>536.32013116910093</v>
      </c>
      <c r="E65" s="92">
        <f>_xlfn.FORECAST.ETS(DATE(2025,1,1),E$58:E$64,$B$58:$B$64,1,1)+_xlfn.FORECAST.ETS.CONFINT(DATE(2025,1,1),E$58:E$64,$B$58:$B$64,$A$1,1)</f>
        <v>746.8930088552695</v>
      </c>
      <c r="F65" s="92">
        <f>_xlfn.FORECAST.ETS(DATE(2025,1,1),F$58:F$64,$B$58:$B$64,1,1)+_xlfn.FORECAST.ETS.CONFINT(DATE(2025,1,1),F$58:F$64,$B$58:$B$64,$A$1,1)</f>
        <v>499.11261945648437</v>
      </c>
      <c r="G65" s="92">
        <f>_xlfn.FORECAST.ETS(DATE(2025,1,1),G$58:G$64,$B$58:$B$64,1,1)+_xlfn.FORECAST.ETS.CONFINT(DATE(2025,1,1),G$58:G$64,$B$58:$B$64,$A$1,1)</f>
        <v>318.7437383258557</v>
      </c>
      <c r="H65" s="92">
        <f>_xlfn.FORECAST.ETS(DATE(2025,1,1),H$58:H$64,$B$58:$B$64,1,1)+_xlfn.FORECAST.ETS.CONFINT(DATE(2025,1,1),H$58:H$64,$B$58:$B$64,$A$1,1)</f>
        <v>446.49685960273996</v>
      </c>
      <c r="I65" s="92"/>
      <c r="J65" s="92"/>
      <c r="K65" s="92">
        <f>_xlfn.FORECAST.ETS(DATE(2025,1,1),K$58:K$64,$B$58:$B$64,1,1)+_xlfn.FORECAST.ETS.CONFINT(DATE(2025,1,1),K$58:K$64,$B$58:$B$64,$A$1,1)</f>
        <v>629.22840726019649</v>
      </c>
      <c r="L65" s="92">
        <f>_xlfn.FORECAST.ETS(DATE(2025,1,1),L$58:L$64,$B$58:$B$64,1,1)+_xlfn.FORECAST.ETS.CONFINT(DATE(2025,1,1),L$58:L$64,$B$58:$B$64,$A$1,1)</f>
        <v>290.3051392585204</v>
      </c>
      <c r="M65" s="92">
        <f>_xlfn.FORECAST.ETS(DATE(2025,1,1),M$58:M$64,$B$58:$B$64,1,1)+_xlfn.FORECAST.ETS.CONFINT(DATE(2025,1,1),M$58:M$64,$B$58:$B$64,$A$1,1)</f>
        <v>460.12067100555078</v>
      </c>
      <c r="N65" s="92">
        <f>_xlfn.FORECAST.ETS(DATE(2025,1,1),N$58:N$64,$B$58:$B$64,1,1)+_xlfn.FORECAST.ETS.CONFINT(DATE(2025,1,1),N$58:N$64,$B$58:$B$64,$A$1,1)</f>
        <v>560.29959613538927</v>
      </c>
    </row>
    <row r="66" spans="1:14" ht="12" thickBot="1">
      <c r="A66" s="86" t="s">
        <v>124</v>
      </c>
      <c r="B66" s="80">
        <v>42979</v>
      </c>
      <c r="C66" s="78">
        <f t="shared" ref="C66:C73" si="16">MONTH(DATE(YEAR(B66),MONTH(B66),DAY(B66)))</f>
        <v>9</v>
      </c>
      <c r="D66" s="114"/>
      <c r="E66" s="114"/>
      <c r="F66" s="114"/>
      <c r="G66" s="114"/>
      <c r="H66" s="114"/>
      <c r="I66" s="114"/>
      <c r="J66" s="114"/>
      <c r="L66" s="114"/>
      <c r="M66" s="91"/>
      <c r="N66" s="91"/>
    </row>
    <row r="67" spans="1:14" ht="12" thickBot="1">
      <c r="A67" s="86" t="s">
        <v>125</v>
      </c>
      <c r="B67" s="80">
        <v>43344</v>
      </c>
      <c r="C67" s="78">
        <f t="shared" si="16"/>
        <v>9</v>
      </c>
      <c r="D67" s="92">
        <v>846</v>
      </c>
      <c r="E67" s="93">
        <v>964</v>
      </c>
      <c r="F67" s="93">
        <v>682</v>
      </c>
      <c r="G67" s="93">
        <v>341</v>
      </c>
      <c r="H67" s="104">
        <v>665</v>
      </c>
      <c r="I67" s="114"/>
      <c r="J67" s="114"/>
      <c r="K67" s="77">
        <f t="shared" ref="K67:K73" si="17">MAX(I67,J67)</f>
        <v>0</v>
      </c>
      <c r="L67" s="93">
        <v>320</v>
      </c>
      <c r="M67" s="90">
        <v>507</v>
      </c>
      <c r="N67" s="95">
        <v>615</v>
      </c>
    </row>
    <row r="68" spans="1:14" ht="12" thickBot="1">
      <c r="A68" s="86" t="s">
        <v>126</v>
      </c>
      <c r="B68" s="80">
        <v>43709</v>
      </c>
      <c r="C68" s="78">
        <f t="shared" si="16"/>
        <v>9</v>
      </c>
      <c r="D68" s="92">
        <v>749</v>
      </c>
      <c r="E68" s="93">
        <v>928</v>
      </c>
      <c r="F68" s="93">
        <v>594</v>
      </c>
      <c r="G68" s="93">
        <v>343</v>
      </c>
      <c r="H68" s="104">
        <v>732</v>
      </c>
      <c r="I68" s="93">
        <v>592</v>
      </c>
      <c r="J68" s="118"/>
      <c r="K68" s="77">
        <f t="shared" si="17"/>
        <v>592</v>
      </c>
      <c r="L68" s="93">
        <v>324</v>
      </c>
      <c r="M68" s="90">
        <v>493</v>
      </c>
      <c r="N68" s="95">
        <v>535</v>
      </c>
    </row>
    <row r="69" spans="1:14" ht="12" thickBot="1">
      <c r="A69" s="86" t="s">
        <v>127</v>
      </c>
      <c r="B69" s="80">
        <v>44075</v>
      </c>
      <c r="C69" s="78">
        <f t="shared" si="16"/>
        <v>9</v>
      </c>
      <c r="D69" s="92">
        <v>534</v>
      </c>
      <c r="E69" s="93">
        <v>747</v>
      </c>
      <c r="F69" s="93">
        <v>120</v>
      </c>
      <c r="G69" s="121">
        <v>251</v>
      </c>
      <c r="H69" s="104">
        <v>684</v>
      </c>
      <c r="I69" s="93">
        <v>448</v>
      </c>
      <c r="J69" s="122"/>
      <c r="K69" s="77">
        <f t="shared" si="17"/>
        <v>448</v>
      </c>
      <c r="L69" s="95">
        <v>280</v>
      </c>
      <c r="M69" s="90">
        <v>485</v>
      </c>
      <c r="N69" s="95">
        <v>479</v>
      </c>
    </row>
    <row r="70" spans="1:14" ht="12" thickBot="1">
      <c r="A70" s="79" t="s">
        <v>128</v>
      </c>
      <c r="B70" s="80">
        <v>44440</v>
      </c>
      <c r="C70" s="78">
        <f t="shared" si="16"/>
        <v>9</v>
      </c>
      <c r="D70" s="92">
        <v>584</v>
      </c>
      <c r="E70" s="93">
        <v>748</v>
      </c>
      <c r="F70" s="93">
        <v>430</v>
      </c>
      <c r="G70" s="93">
        <v>251</v>
      </c>
      <c r="H70" s="104">
        <v>699</v>
      </c>
      <c r="I70" s="93">
        <v>224</v>
      </c>
      <c r="J70" s="92">
        <v>431</v>
      </c>
      <c r="K70" s="77">
        <f t="shared" si="17"/>
        <v>431</v>
      </c>
      <c r="L70" s="95">
        <v>283</v>
      </c>
      <c r="M70" s="85">
        <v>463</v>
      </c>
      <c r="N70" s="100">
        <v>431</v>
      </c>
    </row>
    <row r="71" spans="1:14" ht="12" thickBot="1">
      <c r="A71" s="86" t="s">
        <v>129</v>
      </c>
      <c r="B71" s="80">
        <v>44805</v>
      </c>
      <c r="C71" s="78">
        <f t="shared" si="16"/>
        <v>9</v>
      </c>
      <c r="D71" s="123">
        <v>554</v>
      </c>
      <c r="E71" s="88">
        <v>694</v>
      </c>
      <c r="F71" s="93">
        <v>445</v>
      </c>
      <c r="G71" s="93">
        <v>296</v>
      </c>
      <c r="H71" s="93">
        <v>542</v>
      </c>
      <c r="I71" s="93">
        <v>363</v>
      </c>
      <c r="J71" s="92">
        <v>0</v>
      </c>
      <c r="K71" s="77">
        <f t="shared" si="17"/>
        <v>363</v>
      </c>
      <c r="L71" s="101">
        <v>273</v>
      </c>
      <c r="M71" s="95">
        <v>439</v>
      </c>
      <c r="N71" s="101">
        <v>50</v>
      </c>
    </row>
    <row r="72" spans="1:14" ht="12" thickBot="1">
      <c r="A72" s="86" t="s">
        <v>130</v>
      </c>
      <c r="B72" s="80">
        <v>45170</v>
      </c>
      <c r="C72" s="78">
        <f t="shared" si="16"/>
        <v>9</v>
      </c>
      <c r="D72" s="97">
        <v>728</v>
      </c>
      <c r="E72" s="93">
        <v>770</v>
      </c>
      <c r="F72" s="93">
        <v>598</v>
      </c>
      <c r="G72" s="93">
        <v>296.39999999999998</v>
      </c>
      <c r="H72" s="93">
        <v>534</v>
      </c>
      <c r="I72" s="93">
        <v>263</v>
      </c>
      <c r="J72" s="92">
        <v>431</v>
      </c>
      <c r="K72" s="77">
        <f t="shared" si="17"/>
        <v>431</v>
      </c>
      <c r="L72" s="101">
        <v>320</v>
      </c>
      <c r="M72" s="95">
        <v>514</v>
      </c>
      <c r="N72" s="101">
        <v>515</v>
      </c>
    </row>
    <row r="73" spans="1:14" ht="12" thickBot="1">
      <c r="A73" s="86" t="s">
        <v>131</v>
      </c>
      <c r="B73" s="80">
        <v>45536</v>
      </c>
      <c r="C73" s="78">
        <f t="shared" si="16"/>
        <v>9</v>
      </c>
      <c r="D73" s="118"/>
      <c r="E73" s="98"/>
      <c r="F73" s="111"/>
      <c r="G73" s="111"/>
      <c r="H73" s="111"/>
      <c r="I73" s="111"/>
      <c r="J73" s="113"/>
      <c r="K73" s="77">
        <f t="shared" si="17"/>
        <v>0</v>
      </c>
      <c r="L73" s="117"/>
      <c r="M73" s="91"/>
      <c r="N73" s="91"/>
    </row>
    <row r="74" spans="1:14" ht="12" thickBot="1">
      <c r="A74" s="86"/>
      <c r="B74" s="80"/>
      <c r="D74" s="92">
        <f>_xlfn.FORECAST.ETS(DATE(2025,1,1),D$66:D$72,$B$66:$B$72,1,1)+_xlfn.FORECAST.ETS.CONFINT(DATE(2025,1,1),D$66:D$72,$B$66:$B$72,$A$1,1)</f>
        <v>945.85504295468468</v>
      </c>
      <c r="E74" s="92">
        <f>_xlfn.FORECAST.ETS(DATE(2025,1,1),E$66:E$72,$B$66:$B$72,1,1)+_xlfn.FORECAST.ETS.CONFINT(DATE(2025,1,1),E$66:E$72,$B$66:$B$72,$A$1,1)</f>
        <v>788.1194122964921</v>
      </c>
      <c r="F74" s="92">
        <f>_xlfn.FORECAST.ETS(DATE(2025,1,1),F$66:F$72,$B$66:$B$72,1,1)+_xlfn.FORECAST.ETS.CONFINT(DATE(2025,1,1),F$66:F$72,$B$66:$B$72,$A$1,1)</f>
        <v>979.51640560602368</v>
      </c>
      <c r="G74" s="92">
        <f>_xlfn.FORECAST.ETS(DATE(2025,1,1),G$66:G$72,$B$66:$B$72,1,1)+_xlfn.FORECAST.ETS.CONFINT(DATE(2025,1,1),G$66:G$72,$B$66:$B$72,$A$1,1)</f>
        <v>345.2749199010413</v>
      </c>
      <c r="H74" s="92">
        <f>_xlfn.FORECAST.ETS(DATE(2025,1,1),H$66:H$72,$B$66:$B$72,1,1)+_xlfn.FORECAST.ETS.CONFINT(DATE(2025,1,1),H$66:H$72,$B$66:$B$72,$A$1,1)</f>
        <v>617.69734874413984</v>
      </c>
      <c r="I74" s="92"/>
      <c r="J74" s="92"/>
      <c r="K74" s="92">
        <f>_xlfn.FORECAST.ETS(DATE(2025,1,1),K$66:K$72,$B$66:$B$72,1,1)+_xlfn.FORECAST.ETS.CONFINT(DATE(2025,1,1),K$66:K$72,$B$66:$B$72,$A$1,1)</f>
        <v>952.94863401124792</v>
      </c>
      <c r="L74" s="92">
        <f>_xlfn.FORECAST.ETS(DATE(2025,1,1),L$66:L$72,$B$66:$B$72,1,1)+_xlfn.FORECAST.ETS.CONFINT(DATE(2025,1,1),L$66:L$72,$B$66:$B$72,$A$1,1)</f>
        <v>339.02969169385574</v>
      </c>
      <c r="M74" s="92">
        <f>_xlfn.FORECAST.ETS(DATE(2025,1,1),M$66:M$72,$B$66:$B$72,1,1)+_xlfn.FORECAST.ETS.CONFINT(DATE(2025,1,1),M$66:M$72,$B$66:$B$72,$A$1,1)</f>
        <v>536.18610779139271</v>
      </c>
      <c r="N74" s="92">
        <f>_xlfn.FORECAST.ETS(DATE(2025,1,1),N$66:N$72,$B$66:$B$72,1,1)+_xlfn.FORECAST.ETS.CONFINT(DATE(2025,1,1),N$66:N$72,$B$66:$B$72,$A$1,1)</f>
        <v>587.95049336559919</v>
      </c>
    </row>
    <row r="75" spans="1:14" ht="12" thickBot="1">
      <c r="A75" s="102" t="s">
        <v>132</v>
      </c>
      <c r="B75" s="103">
        <v>43009</v>
      </c>
      <c r="C75" s="78">
        <f t="shared" ref="C75:C81" si="18">MONTH(DATE(YEAR(B75),MONTH(B75),DAY(B75)))</f>
        <v>10</v>
      </c>
      <c r="D75" s="117"/>
      <c r="E75" s="91"/>
      <c r="F75" s="114"/>
      <c r="G75" s="114"/>
      <c r="H75" s="114"/>
      <c r="I75" s="114"/>
      <c r="J75" s="114"/>
      <c r="L75" s="120"/>
      <c r="M75" s="98"/>
      <c r="N75" s="98"/>
    </row>
    <row r="76" spans="1:14" ht="12" thickBot="1">
      <c r="A76" s="102" t="s">
        <v>133</v>
      </c>
      <c r="B76" s="103">
        <v>43374</v>
      </c>
      <c r="C76" s="78">
        <f t="shared" si="18"/>
        <v>10</v>
      </c>
      <c r="D76" s="101">
        <v>846</v>
      </c>
      <c r="E76" s="95">
        <v>957</v>
      </c>
      <c r="F76" s="95">
        <v>621</v>
      </c>
      <c r="G76" s="95">
        <v>342</v>
      </c>
      <c r="H76" s="90">
        <v>646</v>
      </c>
      <c r="I76" s="114"/>
      <c r="J76" s="114"/>
      <c r="K76" s="77">
        <f t="shared" ref="K76:K81" si="19">MAX(I76,J76)</f>
        <v>0</v>
      </c>
      <c r="L76" s="95">
        <v>294</v>
      </c>
      <c r="M76" s="104">
        <v>507</v>
      </c>
      <c r="N76" s="93">
        <v>568</v>
      </c>
    </row>
    <row r="77" spans="1:14" ht="12" thickBot="1">
      <c r="A77" s="102" t="s">
        <v>134</v>
      </c>
      <c r="B77" s="103">
        <v>43739</v>
      </c>
      <c r="C77" s="78">
        <f t="shared" si="18"/>
        <v>10</v>
      </c>
      <c r="D77" s="101">
        <v>763</v>
      </c>
      <c r="E77" s="95">
        <v>891</v>
      </c>
      <c r="F77" s="91"/>
      <c r="G77" s="95">
        <v>339</v>
      </c>
      <c r="H77" s="90">
        <v>719</v>
      </c>
      <c r="I77" s="95">
        <v>616</v>
      </c>
      <c r="J77" s="115"/>
      <c r="K77" s="77">
        <f t="shared" si="19"/>
        <v>616</v>
      </c>
      <c r="L77" s="95">
        <v>329</v>
      </c>
      <c r="M77" s="104">
        <v>540</v>
      </c>
      <c r="N77" s="93">
        <v>548</v>
      </c>
    </row>
    <row r="78" spans="1:14" ht="12" thickBot="1">
      <c r="A78" s="102" t="s">
        <v>135</v>
      </c>
      <c r="B78" s="103">
        <v>44105</v>
      </c>
      <c r="C78" s="78">
        <f t="shared" si="18"/>
        <v>10</v>
      </c>
      <c r="D78" s="101">
        <v>447</v>
      </c>
      <c r="E78" s="95">
        <v>721</v>
      </c>
      <c r="F78" s="95">
        <v>346</v>
      </c>
      <c r="G78" s="95">
        <v>259</v>
      </c>
      <c r="H78" s="90">
        <v>658</v>
      </c>
      <c r="I78" s="95">
        <v>390</v>
      </c>
      <c r="J78" s="114"/>
      <c r="K78" s="77">
        <f t="shared" si="19"/>
        <v>390</v>
      </c>
      <c r="L78" s="93">
        <v>280</v>
      </c>
      <c r="M78" s="104">
        <v>505</v>
      </c>
      <c r="N78" s="93">
        <v>453</v>
      </c>
    </row>
    <row r="79" spans="1:14" ht="12" thickBot="1">
      <c r="A79" s="102" t="s">
        <v>136</v>
      </c>
      <c r="B79" s="103">
        <v>44470</v>
      </c>
      <c r="C79" s="78">
        <f t="shared" si="18"/>
        <v>10</v>
      </c>
      <c r="D79" s="101">
        <v>571</v>
      </c>
      <c r="E79" s="95">
        <v>738</v>
      </c>
      <c r="F79" s="95">
        <v>419</v>
      </c>
      <c r="G79" s="95">
        <v>259</v>
      </c>
      <c r="H79" s="90">
        <v>659</v>
      </c>
      <c r="I79" s="95">
        <v>198</v>
      </c>
      <c r="J79" s="101">
        <v>347</v>
      </c>
      <c r="K79" s="77">
        <f t="shared" si="19"/>
        <v>347</v>
      </c>
      <c r="L79" s="124">
        <v>286</v>
      </c>
      <c r="M79" s="93">
        <v>481</v>
      </c>
      <c r="N79" s="92">
        <v>416</v>
      </c>
    </row>
    <row r="80" spans="1:14" ht="12" thickBot="1">
      <c r="A80" s="102" t="s">
        <v>137</v>
      </c>
      <c r="B80" s="103">
        <v>44835</v>
      </c>
      <c r="C80" s="78">
        <f t="shared" si="18"/>
        <v>10</v>
      </c>
      <c r="D80" s="110">
        <v>489</v>
      </c>
      <c r="E80" s="95">
        <v>693</v>
      </c>
      <c r="F80" s="95">
        <v>442</v>
      </c>
      <c r="G80" s="95">
        <v>296</v>
      </c>
      <c r="H80" s="95">
        <v>404</v>
      </c>
      <c r="I80" s="95">
        <v>194</v>
      </c>
      <c r="J80" s="101">
        <v>376</v>
      </c>
      <c r="K80" s="77">
        <f t="shared" si="19"/>
        <v>376</v>
      </c>
      <c r="L80" s="92">
        <v>276</v>
      </c>
      <c r="M80" s="93">
        <v>449</v>
      </c>
      <c r="N80" s="92">
        <v>496.25</v>
      </c>
    </row>
    <row r="81" spans="1:14" ht="12" thickBot="1">
      <c r="A81" s="102" t="s">
        <v>138</v>
      </c>
      <c r="B81" s="103">
        <v>45200</v>
      </c>
      <c r="C81" s="78">
        <f t="shared" si="18"/>
        <v>10</v>
      </c>
      <c r="D81" s="110">
        <v>672</v>
      </c>
      <c r="E81" s="95">
        <v>772</v>
      </c>
      <c r="F81" s="95">
        <v>577</v>
      </c>
      <c r="G81" s="95">
        <v>360</v>
      </c>
      <c r="H81" s="95">
        <v>529</v>
      </c>
      <c r="I81" s="95">
        <v>468</v>
      </c>
      <c r="J81" s="101">
        <v>750</v>
      </c>
      <c r="K81" s="77">
        <f t="shared" si="19"/>
        <v>750</v>
      </c>
      <c r="L81" s="92">
        <v>292</v>
      </c>
      <c r="M81" s="93">
        <v>503</v>
      </c>
      <c r="N81" s="92">
        <v>496.25</v>
      </c>
    </row>
    <row r="82" spans="1:14" ht="12" thickBot="1">
      <c r="A82" s="102"/>
      <c r="B82" s="103"/>
      <c r="D82" s="92">
        <f>_xlfn.FORECAST.ETS(DATE(2025,1,1),D$75:D$81,$B$75:$B$81,1,1)+_xlfn.FORECAST.ETS.CONFINT(DATE(2025,1,1),D$75:D$81,$B$75:$B$81,$A$1,1)</f>
        <v>836.93984906092487</v>
      </c>
      <c r="E82" s="92">
        <f>_xlfn.FORECAST.ETS(DATE(2025,1,1),E$75:E$81,$B$75:$B$81,1,1)+_xlfn.FORECAST.ETS.CONFINT(DATE(2025,1,1),E$75:E$81,$B$75:$B$81,$A$1,1)</f>
        <v>854.7528237842688</v>
      </c>
      <c r="F82" s="92">
        <f>_xlfn.FORECAST.ETS(DATE(2025,1,1),F$75:F$81,$B$75:$B$81,1,1)+_xlfn.FORECAST.ETS.CONFINT(DATE(2025,1,1),F$75:F$81,$B$75:$B$81,$A$1,1)</f>
        <v>795.2439065362737</v>
      </c>
      <c r="G82" s="92">
        <f>_xlfn.FORECAST.ETS(DATE(2025,1,1),G$75:G$81,$B$75:$B$81,1,1)+_xlfn.FORECAST.ETS.CONFINT(DATE(2025,1,1),G$75:G$81,$B$75:$B$81,$A$1,1)</f>
        <v>453.82056760760082</v>
      </c>
      <c r="H82" s="92">
        <f>_xlfn.FORECAST.ETS(DATE(2025,1,1),H$75:H$81,$B$75:$B$81,1,1)+_xlfn.FORECAST.ETS.CONFINT(DATE(2025,1,1),H$75:H$81,$B$75:$B$81,$A$1,1)</f>
        <v>498.89118744292216</v>
      </c>
      <c r="I82" s="92"/>
      <c r="J82" s="92"/>
      <c r="K82" s="92">
        <f>_xlfn.FORECAST.ETS(DATE(2025,1,1),K$75:K$81,$B$75:$B$81,1,1)+_xlfn.FORECAST.ETS.CONFINT(DATE(2025,1,1),K$75:K$81,$B$75:$B$81,$A$1,1)</f>
        <v>815.98524597260302</v>
      </c>
      <c r="L82" s="92">
        <f>_xlfn.FORECAST.ETS(DATE(2025,1,1),L$75:L$81,$B$75:$B$81,1,1)+_xlfn.FORECAST.ETS.CONFINT(DATE(2025,1,1),L$75:L$81,$B$75:$B$81,$A$1,1)</f>
        <v>282.06083938867573</v>
      </c>
      <c r="M82" s="92">
        <f>_xlfn.FORECAST.ETS(DATE(2025,1,1),M$75:M$81,$B$75:$B$81,1,1)+_xlfn.FORECAST.ETS.CONFINT(DATE(2025,1,1),M$75:M$81,$B$75:$B$81,$A$1,1)</f>
        <v>476.80266099178709</v>
      </c>
      <c r="N82" s="92">
        <f>_xlfn.FORECAST.ETS(DATE(2025,1,1),N$75:N$81,$B$75:$B$81,1,1)+_xlfn.FORECAST.ETS.CONFINT(DATE(2025,1,1),N$75:N$81,$B$75:$B$81,$A$1,1)</f>
        <v>591.73246241917957</v>
      </c>
    </row>
    <row r="83" spans="1:14" ht="12" thickBot="1">
      <c r="A83" s="86" t="s">
        <v>139</v>
      </c>
      <c r="B83" s="80">
        <v>43040</v>
      </c>
      <c r="C83" s="78">
        <f t="shared" ref="C83:C89" si="20">MONTH(DATE(YEAR(B83),MONTH(B83),DAY(B83)))</f>
        <v>11</v>
      </c>
      <c r="D83" s="118"/>
      <c r="E83" s="98"/>
      <c r="F83" s="114"/>
      <c r="G83" s="114"/>
      <c r="H83" s="114"/>
      <c r="I83" s="114"/>
      <c r="J83" s="114"/>
      <c r="L83" s="114"/>
      <c r="M83" s="91"/>
      <c r="N83" s="91"/>
    </row>
    <row r="84" spans="1:14" ht="12" thickBot="1">
      <c r="A84" s="79" t="s">
        <v>140</v>
      </c>
      <c r="B84" s="80">
        <v>43405</v>
      </c>
      <c r="C84" s="78">
        <f t="shared" si="20"/>
        <v>11</v>
      </c>
      <c r="D84" s="92">
        <v>805</v>
      </c>
      <c r="E84" s="93">
        <v>932</v>
      </c>
      <c r="F84" s="93">
        <v>566</v>
      </c>
      <c r="G84" s="93">
        <v>319</v>
      </c>
      <c r="H84" s="104">
        <v>620</v>
      </c>
      <c r="I84" s="114"/>
      <c r="J84" s="114"/>
      <c r="K84" s="77">
        <f t="shared" ref="K84:K89" si="21">MAX(I84,J84)</f>
        <v>0</v>
      </c>
      <c r="L84" s="93">
        <v>291</v>
      </c>
      <c r="M84" s="84">
        <v>541</v>
      </c>
      <c r="N84" s="85">
        <v>572</v>
      </c>
    </row>
    <row r="85" spans="1:14" ht="12" thickBot="1">
      <c r="A85" s="86" t="s">
        <v>141</v>
      </c>
      <c r="B85" s="80">
        <v>43770</v>
      </c>
      <c r="C85" s="78">
        <f t="shared" si="20"/>
        <v>11</v>
      </c>
      <c r="D85" s="87">
        <v>799</v>
      </c>
      <c r="E85" s="88">
        <v>1082</v>
      </c>
      <c r="F85" s="98"/>
      <c r="G85" s="93">
        <v>345</v>
      </c>
      <c r="H85" s="104">
        <v>715</v>
      </c>
      <c r="I85" s="93">
        <v>326</v>
      </c>
      <c r="J85" s="92">
        <v>631</v>
      </c>
      <c r="K85" s="77">
        <f t="shared" si="21"/>
        <v>631</v>
      </c>
      <c r="L85" s="93">
        <v>352</v>
      </c>
      <c r="M85" s="90">
        <v>543</v>
      </c>
      <c r="N85" s="95">
        <v>560</v>
      </c>
    </row>
    <row r="86" spans="1:14" ht="12" thickBot="1">
      <c r="A86" s="86" t="s">
        <v>142</v>
      </c>
      <c r="B86" s="80">
        <v>44136</v>
      </c>
      <c r="C86" s="78">
        <f t="shared" si="20"/>
        <v>11</v>
      </c>
      <c r="D86" s="92">
        <v>515</v>
      </c>
      <c r="E86" s="93">
        <v>219</v>
      </c>
      <c r="F86" s="93">
        <v>374</v>
      </c>
      <c r="G86" s="93">
        <v>247</v>
      </c>
      <c r="H86" s="104">
        <v>604</v>
      </c>
      <c r="I86" s="93">
        <v>394</v>
      </c>
      <c r="J86" s="114"/>
      <c r="K86" s="77">
        <f t="shared" si="21"/>
        <v>394</v>
      </c>
      <c r="L86" s="95">
        <v>303</v>
      </c>
      <c r="M86" s="90">
        <v>508</v>
      </c>
      <c r="N86" s="95">
        <v>477</v>
      </c>
    </row>
    <row r="87" spans="1:14" ht="12" thickBot="1">
      <c r="A87" s="86" t="s">
        <v>143</v>
      </c>
      <c r="B87" s="80">
        <v>44501</v>
      </c>
      <c r="C87" s="78">
        <f t="shared" si="20"/>
        <v>11</v>
      </c>
      <c r="D87" s="92">
        <v>509</v>
      </c>
      <c r="E87" s="93">
        <v>725</v>
      </c>
      <c r="F87" s="88">
        <v>388</v>
      </c>
      <c r="G87" s="88">
        <v>248</v>
      </c>
      <c r="H87" s="96">
        <v>574</v>
      </c>
      <c r="I87" s="88">
        <v>187</v>
      </c>
      <c r="J87" s="87">
        <v>353</v>
      </c>
      <c r="K87" s="77">
        <f t="shared" si="21"/>
        <v>353</v>
      </c>
      <c r="L87" s="95">
        <v>278</v>
      </c>
      <c r="M87" s="125">
        <v>479</v>
      </c>
      <c r="N87" s="95">
        <v>420</v>
      </c>
    </row>
    <row r="88" spans="1:14" ht="12" thickBot="1">
      <c r="A88" s="86" t="s">
        <v>144</v>
      </c>
      <c r="B88" s="80">
        <v>44866</v>
      </c>
      <c r="C88" s="78">
        <f t="shared" si="20"/>
        <v>11</v>
      </c>
      <c r="D88" s="97">
        <v>514</v>
      </c>
      <c r="E88" s="93">
        <v>730</v>
      </c>
      <c r="F88" s="93">
        <v>419</v>
      </c>
      <c r="G88" s="93">
        <v>279</v>
      </c>
      <c r="H88" s="93">
        <v>488</v>
      </c>
      <c r="I88" s="93">
        <v>158</v>
      </c>
      <c r="J88" s="92">
        <v>286</v>
      </c>
      <c r="K88" s="77">
        <f t="shared" si="21"/>
        <v>286</v>
      </c>
      <c r="L88" s="100">
        <v>282</v>
      </c>
      <c r="M88" s="95">
        <v>429</v>
      </c>
      <c r="N88" s="95">
        <v>430</v>
      </c>
    </row>
    <row r="89" spans="1:14" ht="12" thickBot="1">
      <c r="A89" s="86" t="s">
        <v>145</v>
      </c>
      <c r="B89" s="80">
        <v>45231</v>
      </c>
      <c r="C89" s="78">
        <f t="shared" si="20"/>
        <v>11</v>
      </c>
      <c r="D89" s="97">
        <v>712</v>
      </c>
      <c r="E89" s="93">
        <v>769</v>
      </c>
      <c r="F89" s="93">
        <v>636</v>
      </c>
      <c r="G89" s="93">
        <v>368</v>
      </c>
      <c r="H89" s="93">
        <v>551</v>
      </c>
      <c r="I89" s="93">
        <v>425</v>
      </c>
      <c r="J89" s="92">
        <v>631</v>
      </c>
      <c r="K89" s="77">
        <f t="shared" si="21"/>
        <v>631</v>
      </c>
      <c r="L89" s="101">
        <v>297</v>
      </c>
      <c r="M89" s="95">
        <v>498</v>
      </c>
      <c r="N89" s="95">
        <v>401</v>
      </c>
    </row>
    <row r="90" spans="1:14" ht="12" thickBot="1">
      <c r="A90" s="86"/>
      <c r="B90" s="80"/>
      <c r="D90" s="92">
        <f>_xlfn.FORECAST.ETS(DATE(2025,1,1),D$83:D$89,$B$83:$B$89,1,1)+_xlfn.FORECAST.ETS.CONFINT(DATE(2025,1,1),D$83:D$89,$B$83:$B$89,$A$1,1)</f>
        <v>819.34837285235267</v>
      </c>
      <c r="E90" s="92">
        <f>_xlfn.FORECAST.ETS(DATE(2025,1,1),E$83:E$89,$B$83:$B$89,1,1)+_xlfn.FORECAST.ETS.CONFINT(DATE(2025,1,1),E$83:E$89,$B$83:$B$89,$A$1,1)</f>
        <v>1018.918114386613</v>
      </c>
      <c r="F90" s="92">
        <f>_xlfn.FORECAST.ETS(DATE(2025,1,1),F$83:F$89,$B$83:$B$89,1,1)+_xlfn.FORECAST.ETS.CONFINT(DATE(2025,1,1),F$83:F$89,$B$83:$B$89,$A$1,1)</f>
        <v>860.40856069950485</v>
      </c>
      <c r="G90" s="92">
        <f>_xlfn.FORECAST.ETS(DATE(2025,1,1),G$83:G$89,$B$83:$B$89,1,1)+_xlfn.FORECAST.ETS.CONFINT(DATE(2025,1,1),G$83:G$89,$B$83:$B$89,$A$1,1)</f>
        <v>430.50822801432253</v>
      </c>
      <c r="H90" s="92">
        <f>_xlfn.FORECAST.ETS(DATE(2025,1,1),H$83:H$89,$B$83:$B$89,1,1)+_xlfn.FORECAST.ETS.CONFINT(DATE(2025,1,1),H$83:H$89,$B$83:$B$89,$A$1,1)</f>
        <v>471.46161796489912</v>
      </c>
      <c r="I90" s="92"/>
      <c r="J90" s="92"/>
      <c r="K90" s="92">
        <f>_xlfn.FORECAST.ETS(DATE(2025,1,1),K$83:K$89,$B$83:$B$89,1,1)+_xlfn.FORECAST.ETS.CONFINT(DATE(2025,1,1),K$83:K$89,$B$83:$B$89,$A$1,1)</f>
        <v>669.15887856301492</v>
      </c>
      <c r="L90" s="92">
        <f>_xlfn.FORECAST.ETS(DATE(2025,1,1),L$83:L$89,$B$83:$B$89,1,1)+_xlfn.FORECAST.ETS.CONFINT(DATE(2025,1,1),L$83:L$89,$B$83:$B$89,$A$1,1)</f>
        <v>327.69871850765821</v>
      </c>
      <c r="M90" s="92">
        <f>_xlfn.FORECAST.ETS(DATE(2025,1,1),M$83:M$89,$B$83:$B$89,1,1)+_xlfn.FORECAST.ETS.CONFINT(DATE(2025,1,1),M$83:M$89,$B$83:$B$89,$A$1,1)</f>
        <v>471.59080308813867</v>
      </c>
      <c r="N90" s="92">
        <f>_xlfn.FORECAST.ETS(DATE(2025,1,1),N$83:N$89,$B$83:$B$89,1,1)+_xlfn.FORECAST.ETS.CONFINT(DATE(2025,1,1),N$83:N$89,$B$83:$B$89,$A$1,1)</f>
        <v>387.80883052601803</v>
      </c>
    </row>
    <row r="91" spans="1:14" ht="12" thickBot="1">
      <c r="A91" s="102" t="s">
        <v>146</v>
      </c>
      <c r="B91" s="103">
        <v>43070</v>
      </c>
      <c r="C91" s="78">
        <f t="shared" ref="C91:C97" si="22">MONTH(DATE(YEAR(B91),MONTH(B91),DAY(B91)))</f>
        <v>12</v>
      </c>
      <c r="D91" s="117"/>
      <c r="E91" s="95">
        <v>849</v>
      </c>
      <c r="F91" s="91"/>
      <c r="G91" s="91"/>
      <c r="H91" s="91"/>
      <c r="I91" s="114"/>
      <c r="J91" s="114"/>
      <c r="K91" s="77">
        <f t="shared" ref="K91:K97" si="23">MAX(I91,J91)</f>
        <v>0</v>
      </c>
      <c r="L91" s="114"/>
      <c r="M91" s="104">
        <v>549</v>
      </c>
      <c r="N91" s="93">
        <v>543</v>
      </c>
    </row>
    <row r="92" spans="1:14" ht="12" thickBot="1">
      <c r="A92" s="102" t="s">
        <v>147</v>
      </c>
      <c r="B92" s="103">
        <v>43435</v>
      </c>
      <c r="C92" s="78">
        <f t="shared" si="22"/>
        <v>12</v>
      </c>
      <c r="D92" s="101">
        <v>694</v>
      </c>
      <c r="E92" s="95">
        <v>951</v>
      </c>
      <c r="F92" s="95">
        <v>655</v>
      </c>
      <c r="G92" s="95">
        <v>331</v>
      </c>
      <c r="H92" s="90">
        <v>627</v>
      </c>
      <c r="I92" s="95">
        <v>318</v>
      </c>
      <c r="J92" s="115"/>
      <c r="K92" s="77">
        <f t="shared" si="23"/>
        <v>318</v>
      </c>
      <c r="L92" s="95">
        <v>296</v>
      </c>
      <c r="M92" s="104">
        <v>516</v>
      </c>
      <c r="N92" s="93">
        <v>523</v>
      </c>
    </row>
    <row r="93" spans="1:14" ht="12" thickBot="1">
      <c r="A93" s="102" t="s">
        <v>148</v>
      </c>
      <c r="B93" s="103">
        <v>43800</v>
      </c>
      <c r="C93" s="78">
        <f t="shared" si="22"/>
        <v>12</v>
      </c>
      <c r="D93" s="101">
        <v>668</v>
      </c>
      <c r="E93" s="95">
        <v>886</v>
      </c>
      <c r="F93" s="91"/>
      <c r="G93" s="95">
        <v>307</v>
      </c>
      <c r="H93" s="90">
        <v>618</v>
      </c>
      <c r="I93" s="93">
        <v>540</v>
      </c>
      <c r="J93" s="114"/>
      <c r="K93" s="77">
        <f t="shared" si="23"/>
        <v>540</v>
      </c>
      <c r="L93" s="126">
        <v>316</v>
      </c>
      <c r="M93" s="104">
        <v>528</v>
      </c>
      <c r="N93" s="93">
        <v>507</v>
      </c>
    </row>
    <row r="94" spans="1:14" ht="12" thickBot="1">
      <c r="A94" s="102" t="s">
        <v>149</v>
      </c>
      <c r="B94" s="103">
        <v>44166</v>
      </c>
      <c r="C94" s="78">
        <f t="shared" si="22"/>
        <v>12</v>
      </c>
      <c r="D94" s="101">
        <v>465</v>
      </c>
      <c r="E94" s="95">
        <v>732</v>
      </c>
      <c r="F94" s="95">
        <v>374</v>
      </c>
      <c r="G94" s="95">
        <v>0</v>
      </c>
      <c r="H94" s="90">
        <v>604</v>
      </c>
      <c r="I94" s="95">
        <v>391</v>
      </c>
      <c r="J94" s="101">
        <v>228</v>
      </c>
      <c r="K94" s="77">
        <f t="shared" si="23"/>
        <v>391</v>
      </c>
      <c r="L94" s="93">
        <v>299</v>
      </c>
      <c r="M94" s="104">
        <v>500</v>
      </c>
      <c r="N94" s="93">
        <v>465</v>
      </c>
    </row>
    <row r="95" spans="1:14" ht="12" thickBot="1">
      <c r="A95" s="102" t="s">
        <v>150</v>
      </c>
      <c r="B95" s="103">
        <v>44531</v>
      </c>
      <c r="C95" s="78">
        <f t="shared" si="22"/>
        <v>12</v>
      </c>
      <c r="D95" s="101">
        <v>472</v>
      </c>
      <c r="E95" s="95">
        <v>765</v>
      </c>
      <c r="F95" s="95">
        <v>356</v>
      </c>
      <c r="G95" s="95">
        <v>247</v>
      </c>
      <c r="H95" s="90">
        <v>638</v>
      </c>
      <c r="I95" s="95">
        <v>190</v>
      </c>
      <c r="J95" s="101">
        <v>306</v>
      </c>
      <c r="K95" s="77">
        <f t="shared" si="23"/>
        <v>306</v>
      </c>
      <c r="L95" s="93">
        <v>275</v>
      </c>
      <c r="M95" s="93">
        <v>466</v>
      </c>
      <c r="N95" s="127">
        <v>60</v>
      </c>
    </row>
    <row r="96" spans="1:14" ht="12" thickBot="1">
      <c r="A96" s="102" t="s">
        <v>151</v>
      </c>
      <c r="B96" s="103">
        <v>44896</v>
      </c>
      <c r="C96" s="78">
        <f t="shared" si="22"/>
        <v>12</v>
      </c>
      <c r="D96" s="110">
        <v>453</v>
      </c>
      <c r="E96" s="95">
        <v>718</v>
      </c>
      <c r="F96" s="95">
        <v>342</v>
      </c>
      <c r="G96" s="95">
        <v>278</v>
      </c>
      <c r="H96" s="95">
        <v>508</v>
      </c>
      <c r="I96" s="95">
        <v>82</v>
      </c>
      <c r="J96" s="101">
        <v>0</v>
      </c>
      <c r="K96" s="77">
        <f t="shared" si="23"/>
        <v>82</v>
      </c>
      <c r="L96" s="92">
        <v>287</v>
      </c>
      <c r="M96" s="93">
        <v>427</v>
      </c>
      <c r="N96" s="93">
        <v>425</v>
      </c>
    </row>
    <row r="97" spans="1:14" ht="12" thickBot="1">
      <c r="A97" s="102" t="s">
        <v>152</v>
      </c>
      <c r="B97" s="103">
        <v>45261</v>
      </c>
      <c r="C97" s="78">
        <f t="shared" si="22"/>
        <v>12</v>
      </c>
      <c r="D97" s="110">
        <v>699</v>
      </c>
      <c r="E97" s="95">
        <v>760</v>
      </c>
      <c r="F97" s="95">
        <v>528</v>
      </c>
      <c r="G97" s="95">
        <v>341</v>
      </c>
      <c r="H97" s="95">
        <v>519</v>
      </c>
      <c r="I97" s="95">
        <v>383</v>
      </c>
      <c r="J97" s="101">
        <v>749</v>
      </c>
      <c r="K97" s="77">
        <f t="shared" si="23"/>
        <v>749</v>
      </c>
      <c r="L97" s="92">
        <v>292</v>
      </c>
      <c r="M97" s="93">
        <v>498</v>
      </c>
      <c r="N97" s="93">
        <v>403</v>
      </c>
    </row>
    <row r="98" spans="1:14" ht="12" thickBot="1">
      <c r="D98" s="92">
        <f>_xlfn.FORECAST.ETS(DATE(2025,1,1),D$91:D$97,$B$91:$B$97,1,1)+_xlfn.FORECAST.ETS.CONFINT(DATE(2025,1,1),D$91:D$97,$B$91:$B$97,$A$1,1)</f>
        <v>833.88633358480593</v>
      </c>
      <c r="E98" s="92">
        <f>_xlfn.FORECAST.ETS(DATE(2025,1,1),E$91:E$97,$B$91:$B$97,1,1)+_xlfn.FORECAST.ETS.CONFINT(DATE(2025,1,1),E$91:E$97,$B$91:$B$97,$A$1,1)</f>
        <v>811.35541409205155</v>
      </c>
      <c r="F98" s="92">
        <f>_xlfn.FORECAST.ETS(DATE(2025,1,1),F$91:F$97,$B$91:$B$97,1,1)+_xlfn.FORECAST.ETS.CONFINT(DATE(2025,1,1),F$91:F$97,$B$91:$B$97,$A$1,1)</f>
        <v>709.87555598683957</v>
      </c>
      <c r="G98" s="92">
        <f>_xlfn.FORECAST.ETS(DATE(2025,1,1),G$91:G$97,$B$91:$B$97,1,1)+_xlfn.FORECAST.ETS.CONFINT(DATE(2025,1,1),G$91:G$97,$B$91:$B$97,$A$1,1)</f>
        <v>616.91931180793961</v>
      </c>
      <c r="H98" s="92">
        <f>_xlfn.FORECAST.ETS(DATE(2025,1,1),H$91:H$97,$B$91:$B$97,1,1)+_xlfn.FORECAST.ETS.CONFINT(DATE(2025,1,1),H$91:H$97,$B$91:$B$97,$A$1,1)</f>
        <v>539.64150244852885</v>
      </c>
      <c r="I98" s="92"/>
      <c r="J98" s="92"/>
      <c r="K98" s="92">
        <f>_xlfn.FORECAST.ETS(DATE(2025,1,1),K$91:K$97,$B$91:$B$97,1,1)+_xlfn.FORECAST.ETS.CONFINT(DATE(2025,1,1),K$91:K$97,$B$91:$B$97,$A$1,1)</f>
        <v>1048.4250807544809</v>
      </c>
      <c r="L98" s="92">
        <f>_xlfn.FORECAST.ETS(DATE(2025,1,1),L$91:L$97,$B$91:$B$97,1,1)+_xlfn.FORECAST.ETS.CONFINT(DATE(2025,1,1),L$91:L$97,$B$91:$B$97,$A$1,1)</f>
        <v>307.29341003407671</v>
      </c>
      <c r="M98" s="92">
        <f>_xlfn.FORECAST.ETS(DATE(2025,1,1),M$91:M$97,$B$91:$B$97,1,1)+_xlfn.FORECAST.ETS.CONFINT(DATE(2025,1,1),M$91:M$97,$B$91:$B$97,$A$1,1)</f>
        <v>501.39023254147264</v>
      </c>
      <c r="N98" s="92">
        <f>_xlfn.FORECAST.ETS(DATE(2025,1,1),N$91:N$97,$B$91:$B$97,1,1)+_xlfn.FORECAST.ETS.CONFINT(DATE(2025,1,1),N$91:N$97,$B$91:$B$97,$A$1,1)</f>
        <v>536.63708855847426</v>
      </c>
    </row>
    <row r="99" spans="1:14" ht="12" thickBot="1">
      <c r="D99" s="118"/>
      <c r="E99" s="98"/>
      <c r="F99" s="98"/>
      <c r="G99" s="98"/>
      <c r="H99" s="98"/>
      <c r="I99" s="98"/>
      <c r="J99" s="118"/>
      <c r="K99" s="77">
        <f>MAX(I99,J99)</f>
        <v>0</v>
      </c>
      <c r="L99" s="117"/>
    </row>
    <row r="100" spans="1:14" ht="12" thickBot="1">
      <c r="D100" s="117"/>
      <c r="E100" s="91"/>
      <c r="G100" s="98"/>
      <c r="I100" s="91"/>
      <c r="J100" s="117"/>
      <c r="K100" s="77">
        <f>MAX(I100,J100)</f>
        <v>0</v>
      </c>
      <c r="L100" s="118"/>
    </row>
    <row r="102" spans="1:14">
      <c r="B102" s="359" t="s">
        <v>153</v>
      </c>
      <c r="C102" s="359"/>
      <c r="D102" s="77">
        <v>900</v>
      </c>
      <c r="E102" s="77">
        <v>1200</v>
      </c>
      <c r="F102" s="77">
        <v>970</v>
      </c>
      <c r="G102" s="77">
        <v>390</v>
      </c>
      <c r="H102" s="77">
        <v>840</v>
      </c>
      <c r="I102" s="77">
        <v>556</v>
      </c>
      <c r="J102" s="77">
        <v>893</v>
      </c>
      <c r="L102" s="77">
        <v>295</v>
      </c>
      <c r="M102" s="77">
        <v>550</v>
      </c>
      <c r="N102" s="77">
        <v>700</v>
      </c>
    </row>
    <row r="103" spans="1:14" ht="45">
      <c r="D103" s="78" t="s">
        <v>67</v>
      </c>
      <c r="E103" s="78" t="s">
        <v>23</v>
      </c>
      <c r="F103" s="78" t="s">
        <v>26</v>
      </c>
      <c r="G103" s="78" t="s">
        <v>27</v>
      </c>
      <c r="H103" s="78" t="s">
        <v>28</v>
      </c>
      <c r="I103" s="360" t="s">
        <v>29</v>
      </c>
      <c r="J103" s="360"/>
      <c r="K103" s="360"/>
      <c r="L103" s="78" t="s">
        <v>30</v>
      </c>
      <c r="M103" s="78" t="s">
        <v>31</v>
      </c>
      <c r="N103" s="78" t="s">
        <v>32</v>
      </c>
    </row>
    <row r="104" spans="1:14">
      <c r="A104" s="128">
        <v>45658</v>
      </c>
      <c r="D104" s="77">
        <f t="shared" ref="D104:N104" si="24">D9</f>
        <v>631.04540852567879</v>
      </c>
      <c r="E104" s="77">
        <f t="shared" si="24"/>
        <v>1327.2596228264065</v>
      </c>
      <c r="F104" s="77">
        <f t="shared" si="24"/>
        <v>508.13693245778188</v>
      </c>
      <c r="G104" s="77">
        <f t="shared" si="24"/>
        <v>517.51508341330509</v>
      </c>
      <c r="H104" s="77">
        <f t="shared" si="24"/>
        <v>591.1504532989652</v>
      </c>
      <c r="I104" s="77">
        <f t="shared" si="24"/>
        <v>0</v>
      </c>
      <c r="J104" s="77">
        <f t="shared" si="24"/>
        <v>0</v>
      </c>
      <c r="K104" s="77">
        <f t="shared" si="24"/>
        <v>934.11189297286001</v>
      </c>
      <c r="L104" s="77">
        <f t="shared" si="24"/>
        <v>310.53101605761424</v>
      </c>
      <c r="M104" s="77">
        <f t="shared" si="24"/>
        <v>474.71150933880637</v>
      </c>
      <c r="N104" s="77">
        <f t="shared" si="24"/>
        <v>681.52783597997461</v>
      </c>
    </row>
    <row r="105" spans="1:14">
      <c r="A105" s="128">
        <v>45689</v>
      </c>
      <c r="D105" s="77">
        <f t="shared" ref="D105:N105" si="25">D17</f>
        <v>629.8597186663618</v>
      </c>
      <c r="E105" s="77">
        <f t="shared" si="25"/>
        <v>1310.1668518593838</v>
      </c>
      <c r="F105" s="77">
        <f t="shared" si="25"/>
        <v>663.95978585540479</v>
      </c>
      <c r="G105" s="77">
        <f t="shared" si="25"/>
        <v>412.17253232649381</v>
      </c>
      <c r="H105" s="77">
        <f t="shared" si="25"/>
        <v>529.39419038940002</v>
      </c>
      <c r="I105" s="77">
        <f t="shared" si="25"/>
        <v>0</v>
      </c>
      <c r="J105" s="77">
        <f t="shared" si="25"/>
        <v>0</v>
      </c>
      <c r="K105" s="77">
        <f t="shared" si="25"/>
        <v>1009.3913284034672</v>
      </c>
      <c r="L105" s="77">
        <f t="shared" si="25"/>
        <v>292.19190800467595</v>
      </c>
      <c r="M105" s="77">
        <f t="shared" si="25"/>
        <v>464.22872542044433</v>
      </c>
      <c r="N105" s="77">
        <f t="shared" si="25"/>
        <v>372.21485040528955</v>
      </c>
    </row>
    <row r="106" spans="1:14">
      <c r="A106" s="128">
        <v>45717</v>
      </c>
      <c r="D106" s="77">
        <f t="shared" ref="D106:N106" si="26">D25</f>
        <v>853.12111075660778</v>
      </c>
      <c r="E106" s="77">
        <f t="shared" si="26"/>
        <v>948.44265359904466</v>
      </c>
      <c r="F106" s="77">
        <f t="shared" si="26"/>
        <v>667.60521120079829</v>
      </c>
      <c r="G106" s="77">
        <f t="shared" si="26"/>
        <v>436.88128311753593</v>
      </c>
      <c r="H106" s="77">
        <f t="shared" si="26"/>
        <v>546.91267620022995</v>
      </c>
      <c r="I106" s="77">
        <f t="shared" si="26"/>
        <v>0</v>
      </c>
      <c r="J106" s="77">
        <f t="shared" si="26"/>
        <v>0</v>
      </c>
      <c r="K106" s="77">
        <f t="shared" si="26"/>
        <v>1068.3313897084122</v>
      </c>
      <c r="L106" s="77">
        <f t="shared" si="26"/>
        <v>302.0050319664478</v>
      </c>
      <c r="M106" s="77">
        <f t="shared" si="26"/>
        <v>498.33392559065146</v>
      </c>
      <c r="N106" s="77">
        <f t="shared" si="26"/>
        <v>732.65506109645605</v>
      </c>
    </row>
    <row r="107" spans="1:14">
      <c r="A107" s="128">
        <v>45748</v>
      </c>
      <c r="D107" s="77">
        <f t="shared" ref="D107:N107" si="27">D33</f>
        <v>851.66866748101745</v>
      </c>
      <c r="E107" s="77">
        <f t="shared" si="27"/>
        <v>810.83527034736301</v>
      </c>
      <c r="F107" s="77">
        <f t="shared" si="27"/>
        <v>460.22737896761612</v>
      </c>
      <c r="G107" s="77">
        <f t="shared" si="27"/>
        <v>463.63439916482582</v>
      </c>
      <c r="H107" s="77">
        <f t="shared" si="27"/>
        <v>524.020107781305</v>
      </c>
      <c r="I107" s="77">
        <f t="shared" si="27"/>
        <v>0</v>
      </c>
      <c r="J107" s="77">
        <f t="shared" si="27"/>
        <v>0</v>
      </c>
      <c r="K107" s="77">
        <f t="shared" si="27"/>
        <v>753.62096985318271</v>
      </c>
      <c r="L107" s="77">
        <f t="shared" si="27"/>
        <v>303.45338790380913</v>
      </c>
      <c r="M107" s="77">
        <f t="shared" si="27"/>
        <v>443.66797619681176</v>
      </c>
      <c r="N107" s="77">
        <f t="shared" si="27"/>
        <v>660.29458565748769</v>
      </c>
    </row>
    <row r="108" spans="1:14">
      <c r="A108" s="128">
        <v>45778</v>
      </c>
      <c r="D108" s="77">
        <f t="shared" ref="D108:N108" si="28">D41</f>
        <v>665.8411371473569</v>
      </c>
      <c r="E108" s="77">
        <f t="shared" si="28"/>
        <v>840.75085729878629</v>
      </c>
      <c r="F108" s="77">
        <f t="shared" si="28"/>
        <v>454.15371793281923</v>
      </c>
      <c r="G108" s="77">
        <f t="shared" si="28"/>
        <v>448.74739521713661</v>
      </c>
      <c r="H108" s="77">
        <f t="shared" si="28"/>
        <v>480.36145131461683</v>
      </c>
      <c r="I108" s="77">
        <f t="shared" si="28"/>
        <v>0</v>
      </c>
      <c r="J108" s="77">
        <f t="shared" si="28"/>
        <v>0</v>
      </c>
      <c r="K108" s="77">
        <f t="shared" si="28"/>
        <v>719.56969828029764</v>
      </c>
      <c r="L108" s="77">
        <f t="shared" si="28"/>
        <v>296.72134865542341</v>
      </c>
      <c r="M108" s="77">
        <f t="shared" si="28"/>
        <v>452.66970596593671</v>
      </c>
      <c r="N108" s="77">
        <f t="shared" si="28"/>
        <v>619.19744966456005</v>
      </c>
    </row>
    <row r="109" spans="1:14">
      <c r="A109" s="128">
        <v>45809</v>
      </c>
      <c r="D109" s="77">
        <f t="shared" ref="D109:N109" si="29">D49</f>
        <v>534.42413486204464</v>
      </c>
      <c r="E109" s="77">
        <f t="shared" si="29"/>
        <v>1061.421729204962</v>
      </c>
      <c r="F109" s="77">
        <f t="shared" si="29"/>
        <v>459.25657353333952</v>
      </c>
      <c r="G109" s="77">
        <f t="shared" si="29"/>
        <v>402.93993612649183</v>
      </c>
      <c r="H109" s="77">
        <f t="shared" si="29"/>
        <v>414.67690232889493</v>
      </c>
      <c r="I109" s="77">
        <f t="shared" si="29"/>
        <v>0</v>
      </c>
      <c r="J109" s="77">
        <f t="shared" si="29"/>
        <v>0</v>
      </c>
      <c r="K109" s="77">
        <f t="shared" si="29"/>
        <v>537.29300775432955</v>
      </c>
      <c r="L109" s="77">
        <f t="shared" si="29"/>
        <v>280.62294611938921</v>
      </c>
      <c r="M109" s="77">
        <f t="shared" si="29"/>
        <v>479.22408328868505</v>
      </c>
      <c r="N109" s="77">
        <f t="shared" si="29"/>
        <v>461.84611698557126</v>
      </c>
    </row>
    <row r="110" spans="1:14">
      <c r="A110" s="128">
        <v>45839</v>
      </c>
      <c r="D110" s="77">
        <f t="shared" ref="D110:N110" si="30">D57</f>
        <v>550.76312554159222</v>
      </c>
      <c r="E110" s="77">
        <f t="shared" si="30"/>
        <v>721.85658017344554</v>
      </c>
      <c r="F110" s="77">
        <f t="shared" si="30"/>
        <v>564.67602027090027</v>
      </c>
      <c r="G110" s="77">
        <f t="shared" si="30"/>
        <v>386.50871038453022</v>
      </c>
      <c r="H110" s="77">
        <f t="shared" si="30"/>
        <v>561.4890979200502</v>
      </c>
      <c r="I110" s="77">
        <f t="shared" si="30"/>
        <v>0</v>
      </c>
      <c r="J110" s="77">
        <f t="shared" si="30"/>
        <v>0</v>
      </c>
      <c r="K110" s="77">
        <f t="shared" si="30"/>
        <v>644.57608720033522</v>
      </c>
      <c r="L110" s="77">
        <f t="shared" si="30"/>
        <v>317.5803865634112</v>
      </c>
      <c r="M110" s="77">
        <f t="shared" si="30"/>
        <v>478.75997765947176</v>
      </c>
      <c r="N110" s="77">
        <f t="shared" si="30"/>
        <v>409.97700771317659</v>
      </c>
    </row>
    <row r="111" spans="1:14">
      <c r="A111" s="128">
        <v>45870</v>
      </c>
      <c r="D111" s="77">
        <f t="shared" ref="D111:N111" si="31">D65</f>
        <v>536.32013116910093</v>
      </c>
      <c r="E111" s="77">
        <f t="shared" si="31"/>
        <v>746.8930088552695</v>
      </c>
      <c r="F111" s="77">
        <f t="shared" si="31"/>
        <v>499.11261945648437</v>
      </c>
      <c r="G111" s="77">
        <f t="shared" si="31"/>
        <v>318.7437383258557</v>
      </c>
      <c r="H111" s="77">
        <f t="shared" si="31"/>
        <v>446.49685960273996</v>
      </c>
      <c r="I111" s="77">
        <f t="shared" si="31"/>
        <v>0</v>
      </c>
      <c r="J111" s="77">
        <f t="shared" si="31"/>
        <v>0</v>
      </c>
      <c r="K111" s="77">
        <f t="shared" si="31"/>
        <v>629.22840726019649</v>
      </c>
      <c r="L111" s="77">
        <f t="shared" si="31"/>
        <v>290.3051392585204</v>
      </c>
      <c r="M111" s="77">
        <f t="shared" si="31"/>
        <v>460.12067100555078</v>
      </c>
      <c r="N111" s="77">
        <f t="shared" si="31"/>
        <v>560.29959613538927</v>
      </c>
    </row>
    <row r="112" spans="1:14">
      <c r="A112" s="128">
        <v>45901</v>
      </c>
      <c r="D112" s="77">
        <f t="shared" ref="D112:N112" si="32">D74</f>
        <v>945.85504295468468</v>
      </c>
      <c r="E112" s="77">
        <f t="shared" si="32"/>
        <v>788.1194122964921</v>
      </c>
      <c r="F112" s="77">
        <f t="shared" si="32"/>
        <v>979.51640560602368</v>
      </c>
      <c r="G112" s="77">
        <f t="shared" si="32"/>
        <v>345.2749199010413</v>
      </c>
      <c r="H112" s="77">
        <f t="shared" si="32"/>
        <v>617.69734874413984</v>
      </c>
      <c r="I112" s="77">
        <f t="shared" si="32"/>
        <v>0</v>
      </c>
      <c r="J112" s="77">
        <f t="shared" si="32"/>
        <v>0</v>
      </c>
      <c r="K112" s="77">
        <f t="shared" si="32"/>
        <v>952.94863401124792</v>
      </c>
      <c r="L112" s="77">
        <f t="shared" si="32"/>
        <v>339.02969169385574</v>
      </c>
      <c r="M112" s="77">
        <f t="shared" si="32"/>
        <v>536.18610779139271</v>
      </c>
      <c r="N112" s="77">
        <f t="shared" si="32"/>
        <v>587.95049336559919</v>
      </c>
    </row>
    <row r="113" spans="1:21">
      <c r="A113" s="128">
        <v>45931</v>
      </c>
      <c r="D113" s="77">
        <f t="shared" ref="D113:N113" si="33">D82</f>
        <v>836.93984906092487</v>
      </c>
      <c r="E113" s="77">
        <f t="shared" si="33"/>
        <v>854.7528237842688</v>
      </c>
      <c r="F113" s="77">
        <f t="shared" si="33"/>
        <v>795.2439065362737</v>
      </c>
      <c r="G113" s="77">
        <f t="shared" si="33"/>
        <v>453.82056760760082</v>
      </c>
      <c r="H113" s="77">
        <f t="shared" si="33"/>
        <v>498.89118744292216</v>
      </c>
      <c r="I113" s="77">
        <f t="shared" si="33"/>
        <v>0</v>
      </c>
      <c r="J113" s="77">
        <f t="shared" si="33"/>
        <v>0</v>
      </c>
      <c r="K113" s="77">
        <f t="shared" si="33"/>
        <v>815.98524597260302</v>
      </c>
      <c r="L113" s="77">
        <f t="shared" si="33"/>
        <v>282.06083938867573</v>
      </c>
      <c r="M113" s="77">
        <f t="shared" si="33"/>
        <v>476.80266099178709</v>
      </c>
      <c r="N113" s="77">
        <f t="shared" si="33"/>
        <v>591.73246241917957</v>
      </c>
    </row>
    <row r="114" spans="1:21">
      <c r="A114" s="128">
        <v>45962</v>
      </c>
      <c r="D114" s="77">
        <f>D90</f>
        <v>819.34837285235267</v>
      </c>
      <c r="E114" s="77">
        <f t="shared" ref="E114:N114" si="34">E90</f>
        <v>1018.918114386613</v>
      </c>
      <c r="F114" s="77">
        <f t="shared" si="34"/>
        <v>860.40856069950485</v>
      </c>
      <c r="G114" s="77">
        <f t="shared" si="34"/>
        <v>430.50822801432253</v>
      </c>
      <c r="H114" s="77">
        <f t="shared" si="34"/>
        <v>471.46161796489912</v>
      </c>
      <c r="I114" s="77">
        <f t="shared" si="34"/>
        <v>0</v>
      </c>
      <c r="J114" s="77">
        <f t="shared" si="34"/>
        <v>0</v>
      </c>
      <c r="K114" s="77">
        <f t="shared" si="34"/>
        <v>669.15887856301492</v>
      </c>
      <c r="L114" s="77">
        <f t="shared" si="34"/>
        <v>327.69871850765821</v>
      </c>
      <c r="M114" s="77">
        <f t="shared" si="34"/>
        <v>471.59080308813867</v>
      </c>
      <c r="N114" s="77">
        <f t="shared" si="34"/>
        <v>387.80883052601803</v>
      </c>
    </row>
    <row r="115" spans="1:21">
      <c r="A115" s="128">
        <v>45992</v>
      </c>
      <c r="D115" s="77">
        <f>D98</f>
        <v>833.88633358480593</v>
      </c>
      <c r="E115" s="77">
        <f t="shared" ref="E115:N115" si="35">E98</f>
        <v>811.35541409205155</v>
      </c>
      <c r="F115" s="77">
        <f t="shared" si="35"/>
        <v>709.87555598683957</v>
      </c>
      <c r="G115" s="77">
        <f t="shared" si="35"/>
        <v>616.91931180793961</v>
      </c>
      <c r="H115" s="77">
        <f t="shared" si="35"/>
        <v>539.64150244852885</v>
      </c>
      <c r="I115" s="77">
        <f t="shared" si="35"/>
        <v>0</v>
      </c>
      <c r="J115" s="77">
        <f t="shared" si="35"/>
        <v>0</v>
      </c>
      <c r="K115" s="77">
        <f t="shared" si="35"/>
        <v>1048.4250807544809</v>
      </c>
      <c r="L115" s="77">
        <f t="shared" si="35"/>
        <v>307.29341003407671</v>
      </c>
      <c r="M115" s="77">
        <f t="shared" si="35"/>
        <v>501.39023254147264</v>
      </c>
      <c r="N115" s="77">
        <f t="shared" si="35"/>
        <v>536.63708855847426</v>
      </c>
    </row>
    <row r="116" spans="1:21">
      <c r="C116" s="129" t="s">
        <v>58</v>
      </c>
      <c r="D116" s="130">
        <f>AVERAGE(D104:D115)</f>
        <v>724.08941938354394</v>
      </c>
      <c r="E116" s="130">
        <f t="shared" ref="E116:N116" si="36">AVERAGE(E104:E115)</f>
        <v>936.7310282270073</v>
      </c>
      <c r="F116" s="130">
        <f t="shared" si="36"/>
        <v>635.18105570864884</v>
      </c>
      <c r="G116" s="130">
        <f t="shared" si="36"/>
        <v>436.13884211725662</v>
      </c>
      <c r="H116" s="130">
        <f t="shared" si="36"/>
        <v>518.51611628639102</v>
      </c>
      <c r="I116" s="130">
        <f t="shared" si="36"/>
        <v>0</v>
      </c>
      <c r="J116" s="130">
        <f t="shared" si="36"/>
        <v>0</v>
      </c>
      <c r="K116" s="130">
        <f t="shared" si="36"/>
        <v>815.22005172786919</v>
      </c>
      <c r="L116" s="130">
        <f t="shared" si="36"/>
        <v>304.1244853461298</v>
      </c>
      <c r="M116" s="130">
        <f t="shared" si="36"/>
        <v>478.14053157326242</v>
      </c>
      <c r="N116" s="130">
        <f t="shared" si="36"/>
        <v>550.1784482089314</v>
      </c>
      <c r="O116" s="130"/>
      <c r="P116" s="130"/>
      <c r="Q116" s="130"/>
      <c r="R116" s="130"/>
      <c r="S116" s="130"/>
      <c r="T116" s="130"/>
      <c r="U116" s="130"/>
    </row>
    <row r="117" spans="1:21">
      <c r="C117" s="129" t="s">
        <v>59</v>
      </c>
      <c r="D117" s="130">
        <f>MEDIAN(D104:D115)</f>
        <v>742.59475499985479</v>
      </c>
      <c r="E117" s="130">
        <f t="shared" ref="E117:N117" si="37">MEDIAN(E104:E115)</f>
        <v>847.7518405415276</v>
      </c>
      <c r="F117" s="130">
        <f t="shared" si="37"/>
        <v>614.31790306315247</v>
      </c>
      <c r="G117" s="131">
        <f t="shared" si="37"/>
        <v>433.6947555659292</v>
      </c>
      <c r="H117" s="130">
        <f t="shared" si="37"/>
        <v>526.70714908535251</v>
      </c>
      <c r="I117" s="130">
        <f t="shared" si="37"/>
        <v>0</v>
      </c>
      <c r="J117" s="130">
        <f t="shared" si="37"/>
        <v>0</v>
      </c>
      <c r="K117" s="130">
        <f t="shared" si="37"/>
        <v>784.80310791289287</v>
      </c>
      <c r="L117" s="130">
        <f t="shared" si="37"/>
        <v>302.72920993512844</v>
      </c>
      <c r="M117" s="130">
        <f t="shared" si="37"/>
        <v>475.75708516529676</v>
      </c>
      <c r="N117" s="130">
        <f t="shared" si="37"/>
        <v>574.12504475049423</v>
      </c>
      <c r="O117" s="130"/>
      <c r="P117" s="130"/>
      <c r="Q117" s="130"/>
      <c r="R117" s="130"/>
      <c r="S117" s="130"/>
      <c r="T117" s="130"/>
      <c r="U117" s="130"/>
    </row>
    <row r="118" spans="1:21">
      <c r="C118" s="129" t="s">
        <v>60</v>
      </c>
      <c r="D118" s="130">
        <f>MAX(D104:D115)</f>
        <v>945.85504295468468</v>
      </c>
      <c r="E118" s="130">
        <f t="shared" ref="E118:N118" si="38">MAX(E104:E115)</f>
        <v>1327.2596228264065</v>
      </c>
      <c r="F118" s="130">
        <f t="shared" si="38"/>
        <v>979.51640560602368</v>
      </c>
      <c r="G118" s="130">
        <f t="shared" si="38"/>
        <v>616.91931180793961</v>
      </c>
      <c r="H118" s="132">
        <f t="shared" si="38"/>
        <v>617.69734874413984</v>
      </c>
      <c r="I118" s="130">
        <f t="shared" si="38"/>
        <v>0</v>
      </c>
      <c r="J118" s="130">
        <f t="shared" si="38"/>
        <v>0</v>
      </c>
      <c r="K118" s="130">
        <f t="shared" si="38"/>
        <v>1068.3313897084122</v>
      </c>
      <c r="L118" s="133">
        <f t="shared" si="38"/>
        <v>339.02969169385574</v>
      </c>
      <c r="M118" s="130">
        <f t="shared" si="38"/>
        <v>536.18610779139271</v>
      </c>
      <c r="N118" s="130">
        <f t="shared" si="38"/>
        <v>732.65506109645605</v>
      </c>
      <c r="O118" s="130"/>
      <c r="P118" s="130"/>
      <c r="Q118" s="130"/>
      <c r="R118" s="130"/>
      <c r="S118" s="130"/>
      <c r="T118" s="130"/>
      <c r="U118" s="130"/>
    </row>
    <row r="119" spans="1:21">
      <c r="C119" s="78" t="s">
        <v>61</v>
      </c>
      <c r="D119" s="131">
        <f>QUARTILE(D104:D115,3)</f>
        <v>840.62205366594799</v>
      </c>
      <c r="E119" s="131">
        <f>QUARTILE(E104:E115,3)</f>
        <v>1029.5440180912003</v>
      </c>
      <c r="F119" s="131">
        <f t="shared" ref="F119:N119" si="39">QUARTILE(F104:F115,3)</f>
        <v>731.2176436241981</v>
      </c>
      <c r="G119" s="130">
        <f t="shared" si="39"/>
        <v>456.27402549690709</v>
      </c>
      <c r="H119" s="132">
        <f t="shared" si="39"/>
        <v>550.55678163018501</v>
      </c>
      <c r="I119" s="130">
        <f t="shared" si="39"/>
        <v>0</v>
      </c>
      <c r="J119" s="130">
        <f t="shared" si="39"/>
        <v>0</v>
      </c>
      <c r="K119" s="132">
        <f t="shared" si="39"/>
        <v>967.05930760930278</v>
      </c>
      <c r="L119" s="132">
        <f t="shared" si="39"/>
        <v>312.29335868406349</v>
      </c>
      <c r="M119" s="133">
        <f t="shared" si="39"/>
        <v>484.00154386417665</v>
      </c>
      <c r="N119" s="132">
        <f t="shared" si="39"/>
        <v>629.47173366279196</v>
      </c>
      <c r="O119" s="130"/>
      <c r="P119" s="130"/>
      <c r="Q119" s="130"/>
      <c r="R119" s="130"/>
      <c r="S119" s="130"/>
      <c r="T119" s="130"/>
      <c r="U119" s="130"/>
    </row>
    <row r="120" spans="1:21">
      <c r="D120" s="134">
        <f>(D119/D102)-1</f>
        <v>-6.597549592672447E-2</v>
      </c>
      <c r="E120" s="134">
        <f t="shared" ref="E120:N120" si="40">(E119/E102)-1</f>
        <v>-0.14204665159066643</v>
      </c>
      <c r="F120" s="134">
        <f t="shared" si="40"/>
        <v>-0.24616737770701225</v>
      </c>
      <c r="G120" s="134">
        <f t="shared" si="40"/>
        <v>0.16993339871001822</v>
      </c>
      <c r="H120" s="134">
        <f t="shared" si="40"/>
        <v>-0.34457525996406546</v>
      </c>
      <c r="I120" s="134"/>
      <c r="J120" s="134"/>
      <c r="K120" s="134" t="e">
        <f t="shared" si="40"/>
        <v>#DIV/0!</v>
      </c>
      <c r="L120" s="134">
        <f t="shared" si="40"/>
        <v>5.8621554861232106E-2</v>
      </c>
      <c r="M120" s="134">
        <f t="shared" si="40"/>
        <v>-0.11999719297422429</v>
      </c>
      <c r="N120" s="134">
        <f t="shared" si="40"/>
        <v>-0.10075466619601148</v>
      </c>
      <c r="O120" s="130"/>
      <c r="P120" s="130"/>
      <c r="Q120" s="130"/>
      <c r="R120" s="130"/>
      <c r="S120" s="130"/>
      <c r="T120" s="130"/>
      <c r="U120" s="130"/>
    </row>
    <row r="121" spans="1:21">
      <c r="D121" s="135">
        <f>COUNTIF(D184:D268,"&gt;840")</f>
        <v>3</v>
      </c>
      <c r="E121" s="135">
        <f>COUNTIF(E184:E268,"&gt;966")</f>
        <v>3</v>
      </c>
      <c r="F121" s="135">
        <f>COUNTIF(F184:F268,"&gt;761")</f>
        <v>0</v>
      </c>
      <c r="G121" s="135">
        <f>COUNTIF(G184:G268,"&gt;436")</f>
        <v>0</v>
      </c>
      <c r="H121" s="136">
        <f>COUNTIF(H184:H268,"&gt;650")</f>
        <v>16</v>
      </c>
      <c r="I121" s="135">
        <f>COUNTIF(I184:I268,"&gt;840")</f>
        <v>0</v>
      </c>
      <c r="J121" s="135">
        <f>COUNTIF(J184:J268,"&gt;840")</f>
        <v>1</v>
      </c>
      <c r="K121" s="135">
        <f>COUNTIF(K184:K268,"&gt;840")</f>
        <v>1</v>
      </c>
      <c r="L121" s="135">
        <f>COUNTIF(L184:L268,"&gt;339")</f>
        <v>2</v>
      </c>
      <c r="M121" s="135">
        <f>COUNTIF(M184:M268,"&gt;536")</f>
        <v>12</v>
      </c>
      <c r="N121" s="136">
        <f>COUNTIF(N184:N268,"&gt;600")</f>
        <v>1</v>
      </c>
      <c r="O121" s="130"/>
      <c r="P121" s="130"/>
      <c r="Q121" s="130"/>
      <c r="R121" s="130"/>
      <c r="S121" s="130"/>
      <c r="T121" s="130"/>
      <c r="U121" s="130"/>
    </row>
    <row r="122" spans="1:21">
      <c r="D122" s="137">
        <f>D119*1.05</f>
        <v>882.65315634924548</v>
      </c>
      <c r="E122" s="137">
        <f t="shared" ref="E122:N122" si="41">E119*1.05</f>
        <v>1081.0212189957604</v>
      </c>
      <c r="F122" s="137">
        <f t="shared" si="41"/>
        <v>767.77852580540809</v>
      </c>
      <c r="G122" s="137">
        <f t="shared" si="41"/>
        <v>479.08772677175244</v>
      </c>
      <c r="H122" s="138">
        <f>H118*1.15</f>
        <v>710.35195105576076</v>
      </c>
      <c r="I122" s="137">
        <f t="shared" si="41"/>
        <v>0</v>
      </c>
      <c r="J122" s="137">
        <f t="shared" si="41"/>
        <v>0</v>
      </c>
      <c r="K122" s="137">
        <f t="shared" si="41"/>
        <v>1015.412272989768</v>
      </c>
      <c r="L122" s="139">
        <f>L118*1.05</f>
        <v>355.98117627854856</v>
      </c>
      <c r="M122" s="139">
        <f>M118*1.08</f>
        <v>579.08099641470415</v>
      </c>
      <c r="N122" s="137">
        <f t="shared" si="41"/>
        <v>660.94532034593158</v>
      </c>
      <c r="O122" s="130"/>
      <c r="P122" s="130"/>
      <c r="Q122" s="130"/>
      <c r="R122" s="130"/>
      <c r="S122" s="130"/>
      <c r="T122" s="130"/>
      <c r="U122" s="130"/>
    </row>
    <row r="123" spans="1:21">
      <c r="D123" s="136">
        <f>COUNTIF(D184:D268,"&gt;780")</f>
        <v>5</v>
      </c>
      <c r="E123" s="136">
        <f>COUNTIF(E184:E268,"&gt;910")</f>
        <v>15</v>
      </c>
      <c r="F123" s="135">
        <f>COUNTIF(F184:F268,"&gt;767")</f>
        <v>0</v>
      </c>
      <c r="G123" s="135">
        <f>COUNTIF(G184:G268,"&gt;479")</f>
        <v>0</v>
      </c>
      <c r="H123" s="135">
        <f>COUNTIF(H184:H268,"&gt;710")</f>
        <v>6</v>
      </c>
      <c r="I123" s="135">
        <f>COUNTIF(I184:I268,"&gt;882")</f>
        <v>0</v>
      </c>
      <c r="J123" s="135">
        <f>COUNTIF(J184:J268,"&gt;882")</f>
        <v>1</v>
      </c>
      <c r="K123" s="135">
        <f>COUNTIF(K184:K268,"&gt;882")</f>
        <v>1</v>
      </c>
      <c r="L123" s="135">
        <f>COUNTIF(L184:L268,"&gt;355")</f>
        <v>0</v>
      </c>
      <c r="M123" s="135">
        <f>COUNTIF(M184:M268,"&gt;550")</f>
        <v>7</v>
      </c>
      <c r="N123" s="135">
        <f>COUNTIF(N184:N268,"&gt;660")</f>
        <v>0</v>
      </c>
      <c r="O123" s="130"/>
      <c r="P123" s="130"/>
      <c r="Q123" s="130"/>
      <c r="R123" s="130"/>
      <c r="S123" s="130"/>
      <c r="T123" s="130"/>
      <c r="U123" s="130"/>
    </row>
    <row r="124" spans="1:21">
      <c r="C124" s="78" t="s">
        <v>20</v>
      </c>
      <c r="D124" s="140">
        <f t="shared" ref="D124:N124" si="42">SUM(D104:D115)</f>
        <v>8689.0730326025277</v>
      </c>
      <c r="E124" s="140">
        <f t="shared" si="42"/>
        <v>11240.772338724088</v>
      </c>
      <c r="F124" s="140">
        <f t="shared" si="42"/>
        <v>7622.1726685037856</v>
      </c>
      <c r="G124" s="140">
        <f t="shared" si="42"/>
        <v>5233.6661054070792</v>
      </c>
      <c r="H124" s="140">
        <f t="shared" si="42"/>
        <v>6222.1933954366923</v>
      </c>
      <c r="I124" s="140">
        <f t="shared" si="42"/>
        <v>0</v>
      </c>
      <c r="J124" s="140">
        <f t="shared" si="42"/>
        <v>0</v>
      </c>
      <c r="K124" s="140">
        <f t="shared" si="42"/>
        <v>9782.6406207344298</v>
      </c>
      <c r="L124" s="140">
        <f t="shared" si="42"/>
        <v>3649.4938241535574</v>
      </c>
      <c r="M124" s="140">
        <f t="shared" si="42"/>
        <v>5737.6863788791488</v>
      </c>
      <c r="N124" s="140">
        <f t="shared" si="42"/>
        <v>6602.1413785071763</v>
      </c>
      <c r="O124" s="140"/>
      <c r="P124" s="140"/>
      <c r="Q124" s="140"/>
      <c r="R124" s="140"/>
      <c r="S124" s="140"/>
      <c r="T124" s="140"/>
      <c r="U124" s="140"/>
    </row>
    <row r="125" spans="1:21">
      <c r="C125" s="129" t="s">
        <v>154</v>
      </c>
      <c r="D125" s="140">
        <f>D124/12</f>
        <v>724.08941938354394</v>
      </c>
      <c r="E125" s="140">
        <f t="shared" ref="E125:N125" si="43">E124/12</f>
        <v>936.7310282270073</v>
      </c>
      <c r="F125" s="140">
        <f t="shared" si="43"/>
        <v>635.18105570864884</v>
      </c>
      <c r="G125" s="140">
        <f t="shared" si="43"/>
        <v>436.13884211725662</v>
      </c>
      <c r="H125" s="140">
        <f t="shared" si="43"/>
        <v>518.51611628639102</v>
      </c>
      <c r="I125" s="140">
        <f t="shared" si="43"/>
        <v>0</v>
      </c>
      <c r="J125" s="140">
        <f t="shared" si="43"/>
        <v>0</v>
      </c>
      <c r="K125" s="140">
        <f t="shared" si="43"/>
        <v>815.22005172786919</v>
      </c>
      <c r="L125" s="140">
        <f t="shared" si="43"/>
        <v>304.1244853461298</v>
      </c>
      <c r="M125" s="140">
        <f t="shared" si="43"/>
        <v>478.14053157326242</v>
      </c>
      <c r="N125" s="140">
        <f t="shared" si="43"/>
        <v>550.1784482089314</v>
      </c>
      <c r="O125" s="140"/>
      <c r="P125" s="140"/>
      <c r="Q125" s="140"/>
      <c r="R125" s="140"/>
      <c r="S125" s="140"/>
      <c r="T125" s="140"/>
      <c r="U125" s="140"/>
    </row>
    <row r="126" spans="1:21">
      <c r="C126" s="360" t="s">
        <v>155</v>
      </c>
      <c r="D126" s="130">
        <v>750</v>
      </c>
      <c r="E126" s="130">
        <v>910</v>
      </c>
      <c r="F126" s="130">
        <v>560</v>
      </c>
      <c r="G126" s="130">
        <v>330</v>
      </c>
      <c r="H126" s="130">
        <v>610</v>
      </c>
      <c r="I126" s="130"/>
      <c r="J126" s="130"/>
      <c r="K126" s="130"/>
      <c r="L126" s="130">
        <v>300</v>
      </c>
      <c r="M126" s="130">
        <v>510</v>
      </c>
      <c r="N126" s="130">
        <v>510</v>
      </c>
      <c r="O126" s="140"/>
      <c r="P126" s="140"/>
      <c r="Q126" s="140"/>
      <c r="R126" s="140"/>
      <c r="S126" s="140"/>
      <c r="T126" s="140"/>
      <c r="U126" s="140"/>
    </row>
    <row r="127" spans="1:21">
      <c r="C127" s="360"/>
      <c r="D127" s="130">
        <v>880</v>
      </c>
      <c r="E127" s="130">
        <v>990</v>
      </c>
      <c r="F127" s="130">
        <v>680</v>
      </c>
      <c r="G127" s="130">
        <v>360</v>
      </c>
      <c r="H127" s="130">
        <v>680</v>
      </c>
      <c r="I127" s="130"/>
      <c r="J127" s="130"/>
      <c r="K127" s="130"/>
      <c r="L127" s="130">
        <v>350</v>
      </c>
      <c r="M127" s="130">
        <v>550</v>
      </c>
      <c r="N127" s="130">
        <v>570</v>
      </c>
    </row>
    <row r="128" spans="1:21" ht="22.5">
      <c r="C128" s="78" t="s">
        <v>156</v>
      </c>
      <c r="D128" s="77">
        <f t="shared" ref="D128:N128" si="44">AVERAGE(D96:D97,D88:D89,D71:D72,D80:D81,D62:D63,D54:D55,D46:D47,D38:D40,D30:D32,D22:D24,D15:D16,D6:D8)</f>
        <v>538.96428571428567</v>
      </c>
      <c r="E128" s="77">
        <f t="shared" si="44"/>
        <v>728.2962962962963</v>
      </c>
      <c r="F128" s="77">
        <f t="shared" si="44"/>
        <v>430.17857142857144</v>
      </c>
      <c r="G128" s="77">
        <f t="shared" si="44"/>
        <v>305.94285714285712</v>
      </c>
      <c r="H128" s="77">
        <f t="shared" si="44"/>
        <v>470.66666666666669</v>
      </c>
      <c r="I128" s="77">
        <f t="shared" si="44"/>
        <v>315.39285714285717</v>
      </c>
      <c r="J128" s="77">
        <f t="shared" si="44"/>
        <v>426.32142857142856</v>
      </c>
      <c r="K128" s="77">
        <f t="shared" si="44"/>
        <v>460.07142857142856</v>
      </c>
      <c r="L128" s="77">
        <f t="shared" si="44"/>
        <v>282.96428571428572</v>
      </c>
      <c r="M128" s="77">
        <f t="shared" si="44"/>
        <v>446.71428571428572</v>
      </c>
      <c r="N128" s="77">
        <f t="shared" si="44"/>
        <v>352.21785714285716</v>
      </c>
    </row>
    <row r="129" spans="1:14">
      <c r="D129" s="77">
        <f>MAX((D96:D97,D88:D89,D71:D72,D80:D81,D62:D63,D54:D55,D46:D47,D38:D40,D30:D32,D22:D24,D15:D16,D6:D8))</f>
        <v>728</v>
      </c>
      <c r="E129" s="77">
        <f>MAX((E96:E97,E88:E89,E71:E72,E80:E81,E62:E63,E54:E55,E46:E47,E38:E40,E30:E32,E22:E24,E15:E16,E6:E8))</f>
        <v>860</v>
      </c>
      <c r="F129" s="77">
        <f>MAX((F96:F97,F88:F89,F71:F72,F80:F81,F62:F63,F54:F55,F46:F47,F38:F40,F30:F32,F22:F24,F15:F16,F6:F8))</f>
        <v>636</v>
      </c>
      <c r="G129" s="77">
        <f>MAX((G96:G97,G88:G89,G71:G72,G80:G81,G62:G63,G54:G55,G46:G47,G38:G40,G30:G32,G22:G24,G15:G16,G6:G8))</f>
        <v>368</v>
      </c>
      <c r="H129" s="77">
        <f>MAX((H96:H97,H88:H89,H71:H72,H80:H81,H62:H63,H54:H55,H46:H47,H38:H40,H30:H32,H22:H24,H15:H16,H6:H8))</f>
        <v>575</v>
      </c>
      <c r="I129" s="77">
        <f>MAX((I96:I97,I88:I89,I71:I72,I80:I81,I62:I63,I54:I55,I46:I47,I38:I40,I30:I32,I22:I24,I15:I16,I6:I8))</f>
        <v>556</v>
      </c>
      <c r="J129" s="77">
        <f>MAX((J96:J97,J88:J89,J71:J72,J80:J81,J62:J63,J54:J55,J46:J47,J38:J40,J30:J32,J22:J24,J15:J16,J6:J8))</f>
        <v>893</v>
      </c>
      <c r="K129" s="77">
        <f>MAX((K96:K97,K88:K89,K71:K72,K80:K81,K62:K63,K54:K55,K46:K47,K38:K40,K30:K32,K22:K24,K15:K16,K6:K8))</f>
        <v>893</v>
      </c>
      <c r="L129" s="77">
        <f>MAX((L96:L97,L88:L89,L71:L72,L80:L81,L62:L63,L54:L55,L46:L47,L38:L40,L30:L32,L22:L24,L15:L16,L6:L8))</f>
        <v>320</v>
      </c>
      <c r="M129" s="77">
        <f>MAX((M96:M97,M88:M89,M71:M72,M80:M81,M62:M63,M54:M55,M46:M47,M38:M40,M30:M32,M22:M24,M15:M16,M6:M8))</f>
        <v>514</v>
      </c>
      <c r="N129" s="77">
        <f>MAX((N96:N97,N88:N89,N71:N72,N80:N81,N62:N63,N54:N55,N46:N47,N38:N40,N30:N32,N22:N24,N15:N16,N6:N8))</f>
        <v>515</v>
      </c>
    </row>
    <row r="130" spans="1:14">
      <c r="C130" s="78" t="s">
        <v>157</v>
      </c>
      <c r="D130" s="141">
        <f>ROUNDUP(AVERAGE(D119,D129),-1)</f>
        <v>790</v>
      </c>
      <c r="E130" s="141">
        <f>ROUNDUP(AVERAGE(E119,E129),-1)</f>
        <v>950</v>
      </c>
      <c r="F130" s="141">
        <f>ROUNDUP(AVERAGE(F119,F129),-1)</f>
        <v>690</v>
      </c>
      <c r="G130" s="141">
        <f>ROUNDUP(AVERAGE(G119,G129),-1)</f>
        <v>420</v>
      </c>
      <c r="H130" s="141">
        <f t="shared" ref="H130:N130" si="45">ROUNDUP(AVERAGE(H119,H129),-2)</f>
        <v>600</v>
      </c>
      <c r="I130" s="141">
        <f t="shared" si="45"/>
        <v>300</v>
      </c>
      <c r="J130" s="141">
        <f t="shared" si="45"/>
        <v>500</v>
      </c>
      <c r="K130" s="141">
        <f>ROUNDUP(AVERAGE(K119,K129),-1)</f>
        <v>940</v>
      </c>
      <c r="L130" s="141">
        <f t="shared" si="45"/>
        <v>400</v>
      </c>
      <c r="M130" s="141">
        <f t="shared" si="45"/>
        <v>500</v>
      </c>
      <c r="N130" s="141">
        <f t="shared" si="45"/>
        <v>600</v>
      </c>
    </row>
    <row r="131" spans="1:14" s="142" customFormat="1">
      <c r="C131" s="143"/>
      <c r="D131" s="144">
        <f>(D130/D102)-1</f>
        <v>-0.12222222222222223</v>
      </c>
      <c r="E131" s="144">
        <f t="shared" ref="E131:N131" si="46">(E130/E102)-1</f>
        <v>-0.20833333333333337</v>
      </c>
      <c r="F131" s="144">
        <f t="shared" si="46"/>
        <v>-0.28865979381443296</v>
      </c>
      <c r="G131" s="144">
        <f t="shared" si="46"/>
        <v>7.6923076923076872E-2</v>
      </c>
      <c r="H131" s="144">
        <f t="shared" si="46"/>
        <v>-0.2857142857142857</v>
      </c>
      <c r="I131" s="144"/>
      <c r="J131" s="144"/>
      <c r="K131" s="144" t="e">
        <f t="shared" si="46"/>
        <v>#DIV/0!</v>
      </c>
      <c r="L131" s="144">
        <f t="shared" si="46"/>
        <v>0.35593220338983045</v>
      </c>
      <c r="M131" s="144">
        <f t="shared" si="46"/>
        <v>-9.0909090909090939E-2</v>
      </c>
      <c r="N131" s="144">
        <f t="shared" si="46"/>
        <v>-0.1428571428571429</v>
      </c>
    </row>
    <row r="132" spans="1:14" s="142" customFormat="1">
      <c r="C132" s="143"/>
      <c r="D132" s="145"/>
      <c r="E132" s="145"/>
      <c r="F132" s="145"/>
      <c r="G132" s="145"/>
      <c r="H132" s="145"/>
      <c r="I132" s="145"/>
      <c r="J132" s="145"/>
      <c r="K132" s="145"/>
      <c r="L132" s="145"/>
      <c r="M132" s="145"/>
      <c r="N132" s="145"/>
    </row>
    <row r="133" spans="1:14" s="142" customFormat="1">
      <c r="C133" s="143"/>
      <c r="D133" s="145"/>
      <c r="E133" s="145"/>
      <c r="F133" s="145"/>
      <c r="G133" s="145"/>
      <c r="H133" s="145"/>
      <c r="I133" s="145"/>
      <c r="J133" s="145"/>
      <c r="K133" s="145"/>
      <c r="L133" s="145"/>
      <c r="M133" s="145"/>
      <c r="N133" s="145"/>
    </row>
    <row r="134" spans="1:14" ht="45">
      <c r="C134" s="146" t="s">
        <v>158</v>
      </c>
      <c r="D134" s="78" t="s">
        <v>67</v>
      </c>
      <c r="E134" s="78" t="s">
        <v>23</v>
      </c>
      <c r="F134" s="78" t="s">
        <v>26</v>
      </c>
      <c r="G134" s="78" t="s">
        <v>27</v>
      </c>
      <c r="H134" s="78" t="s">
        <v>28</v>
      </c>
      <c r="I134" s="360" t="s">
        <v>29</v>
      </c>
      <c r="J134" s="360"/>
      <c r="K134" s="360"/>
      <c r="L134" s="78" t="s">
        <v>30</v>
      </c>
      <c r="M134" s="78" t="s">
        <v>31</v>
      </c>
      <c r="N134" s="78" t="s">
        <v>32</v>
      </c>
    </row>
    <row r="135" spans="1:14">
      <c r="A135" s="128">
        <v>45778</v>
      </c>
      <c r="D135" s="77">
        <f>D108</f>
        <v>665.8411371473569</v>
      </c>
      <c r="E135" s="77">
        <f t="shared" ref="E135:N135" si="47">E108</f>
        <v>840.75085729878629</v>
      </c>
      <c r="F135" s="77">
        <f t="shared" si="47"/>
        <v>454.15371793281923</v>
      </c>
      <c r="G135" s="77">
        <f t="shared" si="47"/>
        <v>448.74739521713661</v>
      </c>
      <c r="H135" s="77">
        <f t="shared" si="47"/>
        <v>480.36145131461683</v>
      </c>
      <c r="I135" s="77">
        <f t="shared" si="47"/>
        <v>0</v>
      </c>
      <c r="J135" s="77">
        <f t="shared" si="47"/>
        <v>0</v>
      </c>
      <c r="K135" s="77">
        <f t="shared" si="47"/>
        <v>719.56969828029764</v>
      </c>
      <c r="L135" s="77">
        <f t="shared" si="47"/>
        <v>296.72134865542341</v>
      </c>
      <c r="M135" s="77">
        <f t="shared" si="47"/>
        <v>452.66970596593671</v>
      </c>
      <c r="N135" s="77">
        <f t="shared" si="47"/>
        <v>619.19744966456005</v>
      </c>
    </row>
    <row r="136" spans="1:14">
      <c r="A136" s="128">
        <v>45809</v>
      </c>
      <c r="D136" s="77">
        <f t="shared" ref="D136:N138" si="48">D109</f>
        <v>534.42413486204464</v>
      </c>
      <c r="E136" s="77">
        <f t="shared" si="48"/>
        <v>1061.421729204962</v>
      </c>
      <c r="F136" s="77">
        <f t="shared" si="48"/>
        <v>459.25657353333952</v>
      </c>
      <c r="G136" s="77">
        <f t="shared" si="48"/>
        <v>402.93993612649183</v>
      </c>
      <c r="H136" s="77">
        <f t="shared" si="48"/>
        <v>414.67690232889493</v>
      </c>
      <c r="I136" s="77">
        <f t="shared" si="48"/>
        <v>0</v>
      </c>
      <c r="J136" s="77">
        <f t="shared" si="48"/>
        <v>0</v>
      </c>
      <c r="K136" s="77">
        <f t="shared" si="48"/>
        <v>537.29300775432955</v>
      </c>
      <c r="L136" s="77">
        <f t="shared" si="48"/>
        <v>280.62294611938921</v>
      </c>
      <c r="M136" s="77">
        <f t="shared" si="48"/>
        <v>479.22408328868505</v>
      </c>
      <c r="N136" s="77">
        <f t="shared" si="48"/>
        <v>461.84611698557126</v>
      </c>
    </row>
    <row r="137" spans="1:14">
      <c r="A137" s="128">
        <v>45839</v>
      </c>
      <c r="D137" s="77">
        <f t="shared" si="48"/>
        <v>550.76312554159222</v>
      </c>
      <c r="E137" s="77">
        <f t="shared" si="48"/>
        <v>721.85658017344554</v>
      </c>
      <c r="F137" s="77">
        <f t="shared" si="48"/>
        <v>564.67602027090027</v>
      </c>
      <c r="G137" s="77">
        <f t="shared" si="48"/>
        <v>386.50871038453022</v>
      </c>
      <c r="H137" s="77">
        <f t="shared" si="48"/>
        <v>561.4890979200502</v>
      </c>
      <c r="I137" s="77">
        <f t="shared" si="48"/>
        <v>0</v>
      </c>
      <c r="J137" s="77">
        <f t="shared" si="48"/>
        <v>0</v>
      </c>
      <c r="K137" s="77">
        <f t="shared" si="48"/>
        <v>644.57608720033522</v>
      </c>
      <c r="L137" s="77">
        <f t="shared" si="48"/>
        <v>317.5803865634112</v>
      </c>
      <c r="M137" s="77">
        <f t="shared" si="48"/>
        <v>478.75997765947176</v>
      </c>
      <c r="N137" s="77">
        <f t="shared" si="48"/>
        <v>409.97700771317659</v>
      </c>
    </row>
    <row r="138" spans="1:14">
      <c r="A138" s="128">
        <v>45870</v>
      </c>
      <c r="D138" s="77">
        <f t="shared" si="48"/>
        <v>536.32013116910093</v>
      </c>
      <c r="E138" s="77">
        <f t="shared" si="48"/>
        <v>746.8930088552695</v>
      </c>
      <c r="F138" s="77">
        <f t="shared" si="48"/>
        <v>499.11261945648437</v>
      </c>
      <c r="G138" s="77">
        <f t="shared" si="48"/>
        <v>318.7437383258557</v>
      </c>
      <c r="H138" s="77">
        <f t="shared" si="48"/>
        <v>446.49685960273996</v>
      </c>
      <c r="I138" s="77">
        <f t="shared" si="48"/>
        <v>0</v>
      </c>
      <c r="J138" s="77">
        <f t="shared" si="48"/>
        <v>0</v>
      </c>
      <c r="K138" s="77">
        <f t="shared" si="48"/>
        <v>629.22840726019649</v>
      </c>
      <c r="L138" s="77">
        <f t="shared" si="48"/>
        <v>290.3051392585204</v>
      </c>
      <c r="M138" s="77">
        <f t="shared" si="48"/>
        <v>460.12067100555078</v>
      </c>
      <c r="N138" s="77">
        <f t="shared" si="48"/>
        <v>560.29959613538927</v>
      </c>
    </row>
    <row r="140" spans="1:14">
      <c r="C140" s="129" t="s">
        <v>58</v>
      </c>
      <c r="D140" s="130">
        <f>AVERAGE(D135:D139)</f>
        <v>571.83713218002367</v>
      </c>
      <c r="E140" s="130">
        <f t="shared" ref="E140:N140" si="49">AVERAGE(E135:E139)</f>
        <v>842.73054388311584</v>
      </c>
      <c r="F140" s="130">
        <f t="shared" si="49"/>
        <v>494.29973279838589</v>
      </c>
      <c r="G140" s="130">
        <f t="shared" si="49"/>
        <v>389.23494501350359</v>
      </c>
      <c r="H140" s="130">
        <f t="shared" si="49"/>
        <v>475.75607779157548</v>
      </c>
      <c r="I140" s="130">
        <f t="shared" si="49"/>
        <v>0</v>
      </c>
      <c r="J140" s="130">
        <f t="shared" si="49"/>
        <v>0</v>
      </c>
      <c r="K140" s="130">
        <f t="shared" si="49"/>
        <v>632.6668001237897</v>
      </c>
      <c r="L140" s="130">
        <f t="shared" si="49"/>
        <v>296.30745514918601</v>
      </c>
      <c r="M140" s="130">
        <f t="shared" si="49"/>
        <v>467.69360947991106</v>
      </c>
      <c r="N140" s="130">
        <f t="shared" si="49"/>
        <v>512.83004262467421</v>
      </c>
    </row>
    <row r="141" spans="1:14">
      <c r="C141" s="129" t="s">
        <v>59</v>
      </c>
      <c r="D141" s="130">
        <f>MEDIAN(D135:D139)</f>
        <v>543.54162835534657</v>
      </c>
      <c r="E141" s="130">
        <f t="shared" ref="E141:N141" si="50">MEDIAN(E135:E139)</f>
        <v>793.82193307702789</v>
      </c>
      <c r="F141" s="130">
        <f t="shared" si="50"/>
        <v>479.18459649491194</v>
      </c>
      <c r="G141" s="130">
        <f t="shared" si="50"/>
        <v>394.72432325551102</v>
      </c>
      <c r="H141" s="130">
        <f t="shared" si="50"/>
        <v>463.42915545867839</v>
      </c>
      <c r="I141" s="130">
        <f t="shared" si="50"/>
        <v>0</v>
      </c>
      <c r="J141" s="130">
        <f t="shared" si="50"/>
        <v>0</v>
      </c>
      <c r="K141" s="130">
        <f t="shared" si="50"/>
        <v>636.90224723026586</v>
      </c>
      <c r="L141" s="130">
        <f t="shared" si="50"/>
        <v>293.51324395697191</v>
      </c>
      <c r="M141" s="130">
        <f t="shared" si="50"/>
        <v>469.4403243325113</v>
      </c>
      <c r="N141" s="130">
        <f t="shared" si="50"/>
        <v>511.07285656048026</v>
      </c>
    </row>
    <row r="142" spans="1:14">
      <c r="C142" s="129" t="s">
        <v>60</v>
      </c>
      <c r="D142" s="130">
        <f>MAX(D135:D139)</f>
        <v>665.8411371473569</v>
      </c>
      <c r="E142" s="130">
        <f t="shared" ref="E142:N142" si="51">MAX(E135:E139)</f>
        <v>1061.421729204962</v>
      </c>
      <c r="F142" s="130">
        <f t="shared" si="51"/>
        <v>564.67602027090027</v>
      </c>
      <c r="G142" s="130">
        <f t="shared" si="51"/>
        <v>448.74739521713661</v>
      </c>
      <c r="H142" s="130">
        <f t="shared" si="51"/>
        <v>561.4890979200502</v>
      </c>
      <c r="I142" s="130">
        <f t="shared" si="51"/>
        <v>0</v>
      </c>
      <c r="J142" s="130">
        <f t="shared" si="51"/>
        <v>0</v>
      </c>
      <c r="K142" s="130">
        <f t="shared" si="51"/>
        <v>719.56969828029764</v>
      </c>
      <c r="L142" s="130">
        <f t="shared" si="51"/>
        <v>317.5803865634112</v>
      </c>
      <c r="M142" s="130">
        <f t="shared" si="51"/>
        <v>479.22408328868505</v>
      </c>
      <c r="N142" s="130">
        <f t="shared" si="51"/>
        <v>619.19744966456005</v>
      </c>
    </row>
    <row r="143" spans="1:14">
      <c r="C143" s="78" t="s">
        <v>61</v>
      </c>
      <c r="D143" s="133">
        <f>QUARTILE(D135:D139,3)</f>
        <v>579.53262844303345</v>
      </c>
      <c r="E143" s="133">
        <f t="shared" ref="E143:N143" si="52">QUARTILE(E135:E139,3)</f>
        <v>895.91857527533023</v>
      </c>
      <c r="F143" s="133">
        <f t="shared" si="52"/>
        <v>515.50346966008829</v>
      </c>
      <c r="G143" s="133">
        <f t="shared" si="52"/>
        <v>414.39180089915305</v>
      </c>
      <c r="H143" s="133">
        <f t="shared" si="52"/>
        <v>500.64336296597514</v>
      </c>
      <c r="I143" s="133">
        <f t="shared" si="52"/>
        <v>0</v>
      </c>
      <c r="J143" s="133">
        <f t="shared" si="52"/>
        <v>0</v>
      </c>
      <c r="K143" s="133">
        <f t="shared" si="52"/>
        <v>663.32448997032589</v>
      </c>
      <c r="L143" s="133">
        <f t="shared" si="52"/>
        <v>301.93610813242037</v>
      </c>
      <c r="M143" s="133">
        <f t="shared" si="52"/>
        <v>478.87600406677507</v>
      </c>
      <c r="N143" s="133">
        <f t="shared" si="52"/>
        <v>575.02405951768196</v>
      </c>
    </row>
    <row r="144" spans="1:14">
      <c r="C144" s="78" t="s">
        <v>20</v>
      </c>
      <c r="D144" s="140">
        <f>SUM(D135:D138)</f>
        <v>2287.3485287200947</v>
      </c>
      <c r="E144" s="140">
        <f t="shared" ref="E144:N144" si="53">SUM(E135:E138)</f>
        <v>3370.9221755324634</v>
      </c>
      <c r="F144" s="140">
        <f t="shared" si="53"/>
        <v>1977.1989311935436</v>
      </c>
      <c r="G144" s="140">
        <f t="shared" si="53"/>
        <v>1556.9397800540144</v>
      </c>
      <c r="H144" s="140">
        <f t="shared" si="53"/>
        <v>1903.0243111663019</v>
      </c>
      <c r="I144" s="140">
        <f t="shared" si="53"/>
        <v>0</v>
      </c>
      <c r="J144" s="140">
        <f t="shared" si="53"/>
        <v>0</v>
      </c>
      <c r="K144" s="140">
        <f t="shared" si="53"/>
        <v>2530.6672004951588</v>
      </c>
      <c r="L144" s="140">
        <f t="shared" si="53"/>
        <v>1185.229820596744</v>
      </c>
      <c r="M144" s="140">
        <f t="shared" si="53"/>
        <v>1870.7744379196442</v>
      </c>
      <c r="N144" s="140">
        <f t="shared" si="53"/>
        <v>2051.3201704986968</v>
      </c>
    </row>
    <row r="145" spans="1:14">
      <c r="C145" s="129" t="s">
        <v>154</v>
      </c>
      <c r="D145" s="140">
        <f>D144/4</f>
        <v>571.83713218002367</v>
      </c>
      <c r="E145" s="140">
        <f t="shared" ref="E145:N145" si="54">E144/4</f>
        <v>842.73054388311584</v>
      </c>
      <c r="F145" s="140">
        <f t="shared" si="54"/>
        <v>494.29973279838589</v>
      </c>
      <c r="G145" s="140">
        <f t="shared" si="54"/>
        <v>389.23494501350359</v>
      </c>
      <c r="H145" s="140">
        <f t="shared" si="54"/>
        <v>475.75607779157548</v>
      </c>
      <c r="I145" s="140">
        <f t="shared" si="54"/>
        <v>0</v>
      </c>
      <c r="J145" s="140">
        <f t="shared" si="54"/>
        <v>0</v>
      </c>
      <c r="K145" s="140">
        <f t="shared" si="54"/>
        <v>632.6668001237897</v>
      </c>
      <c r="L145" s="140">
        <f t="shared" si="54"/>
        <v>296.30745514918601</v>
      </c>
      <c r="M145" s="140">
        <f t="shared" si="54"/>
        <v>467.69360947991106</v>
      </c>
      <c r="N145" s="140">
        <f t="shared" si="54"/>
        <v>512.83004262467421</v>
      </c>
    </row>
    <row r="147" spans="1:14" ht="45">
      <c r="C147" s="129" t="s">
        <v>159</v>
      </c>
      <c r="D147" s="78" t="s">
        <v>67</v>
      </c>
      <c r="E147" s="78" t="s">
        <v>23</v>
      </c>
      <c r="F147" s="78" t="s">
        <v>26</v>
      </c>
      <c r="G147" s="78" t="s">
        <v>27</v>
      </c>
      <c r="H147" s="78" t="s">
        <v>28</v>
      </c>
      <c r="I147" s="360" t="s">
        <v>29</v>
      </c>
      <c r="J147" s="360"/>
      <c r="K147" s="360"/>
      <c r="L147" s="78" t="s">
        <v>30</v>
      </c>
      <c r="M147" s="78" t="s">
        <v>31</v>
      </c>
      <c r="N147" s="78" t="s">
        <v>32</v>
      </c>
    </row>
    <row r="148" spans="1:14">
      <c r="A148" s="128">
        <v>45658</v>
      </c>
      <c r="D148" s="77">
        <f>D104</f>
        <v>631.04540852567879</v>
      </c>
      <c r="E148" s="77">
        <f t="shared" ref="E148:N148" si="55">E104</f>
        <v>1327.2596228264065</v>
      </c>
      <c r="F148" s="77">
        <f t="shared" si="55"/>
        <v>508.13693245778188</v>
      </c>
      <c r="G148" s="77">
        <f t="shared" si="55"/>
        <v>517.51508341330509</v>
      </c>
      <c r="H148" s="77">
        <f t="shared" si="55"/>
        <v>591.1504532989652</v>
      </c>
      <c r="I148" s="77">
        <f t="shared" si="55"/>
        <v>0</v>
      </c>
      <c r="J148" s="77">
        <f t="shared" si="55"/>
        <v>0</v>
      </c>
      <c r="K148" s="77">
        <f t="shared" si="55"/>
        <v>934.11189297286001</v>
      </c>
      <c r="L148" s="77">
        <f t="shared" si="55"/>
        <v>310.53101605761424</v>
      </c>
      <c r="M148" s="77">
        <f t="shared" si="55"/>
        <v>474.71150933880637</v>
      </c>
      <c r="N148" s="77">
        <f t="shared" si="55"/>
        <v>681.52783597997461</v>
      </c>
    </row>
    <row r="149" spans="1:14">
      <c r="A149" s="128">
        <v>45689</v>
      </c>
      <c r="D149" s="77">
        <f>D105</f>
        <v>629.8597186663618</v>
      </c>
      <c r="E149" s="77">
        <f t="shared" ref="E149:N149" si="56">E105</f>
        <v>1310.1668518593838</v>
      </c>
      <c r="F149" s="77">
        <f t="shared" si="56"/>
        <v>663.95978585540479</v>
      </c>
      <c r="G149" s="77">
        <f t="shared" si="56"/>
        <v>412.17253232649381</v>
      </c>
      <c r="H149" s="77">
        <f t="shared" si="56"/>
        <v>529.39419038940002</v>
      </c>
      <c r="I149" s="77">
        <f t="shared" si="56"/>
        <v>0</v>
      </c>
      <c r="J149" s="77">
        <f t="shared" si="56"/>
        <v>0</v>
      </c>
      <c r="K149" s="77">
        <f t="shared" si="56"/>
        <v>1009.3913284034672</v>
      </c>
      <c r="L149" s="77">
        <f t="shared" si="56"/>
        <v>292.19190800467595</v>
      </c>
      <c r="M149" s="77">
        <f t="shared" si="56"/>
        <v>464.22872542044433</v>
      </c>
      <c r="N149" s="77">
        <f t="shared" si="56"/>
        <v>372.21485040528955</v>
      </c>
    </row>
    <row r="150" spans="1:14">
      <c r="A150" s="128">
        <v>45717</v>
      </c>
      <c r="D150" s="77">
        <f>D106</f>
        <v>853.12111075660778</v>
      </c>
      <c r="E150" s="77">
        <f t="shared" ref="E150:N150" si="57">E106</f>
        <v>948.44265359904466</v>
      </c>
      <c r="F150" s="77">
        <f t="shared" si="57"/>
        <v>667.60521120079829</v>
      </c>
      <c r="G150" s="77">
        <f t="shared" si="57"/>
        <v>436.88128311753593</v>
      </c>
      <c r="H150" s="77">
        <f t="shared" si="57"/>
        <v>546.91267620022995</v>
      </c>
      <c r="I150" s="77">
        <f t="shared" si="57"/>
        <v>0</v>
      </c>
      <c r="J150" s="77">
        <f t="shared" si="57"/>
        <v>0</v>
      </c>
      <c r="K150" s="77">
        <f t="shared" si="57"/>
        <v>1068.3313897084122</v>
      </c>
      <c r="L150" s="77">
        <f t="shared" si="57"/>
        <v>302.0050319664478</v>
      </c>
      <c r="M150" s="77">
        <f t="shared" si="57"/>
        <v>498.33392559065146</v>
      </c>
      <c r="N150" s="77">
        <f t="shared" si="57"/>
        <v>732.65506109645605</v>
      </c>
    </row>
    <row r="151" spans="1:14">
      <c r="A151" s="128">
        <v>45748</v>
      </c>
      <c r="D151" s="77">
        <f>D107</f>
        <v>851.66866748101745</v>
      </c>
      <c r="E151" s="77">
        <f t="shared" ref="E151:N151" si="58">E107</f>
        <v>810.83527034736301</v>
      </c>
      <c r="F151" s="77">
        <f t="shared" si="58"/>
        <v>460.22737896761612</v>
      </c>
      <c r="G151" s="77">
        <f t="shared" si="58"/>
        <v>463.63439916482582</v>
      </c>
      <c r="H151" s="77">
        <f t="shared" si="58"/>
        <v>524.020107781305</v>
      </c>
      <c r="I151" s="77">
        <f t="shared" si="58"/>
        <v>0</v>
      </c>
      <c r="J151" s="77">
        <f t="shared" si="58"/>
        <v>0</v>
      </c>
      <c r="K151" s="77">
        <f t="shared" si="58"/>
        <v>753.62096985318271</v>
      </c>
      <c r="L151" s="77">
        <f t="shared" si="58"/>
        <v>303.45338790380913</v>
      </c>
      <c r="M151" s="77">
        <f t="shared" si="58"/>
        <v>443.66797619681176</v>
      </c>
      <c r="N151" s="77">
        <f t="shared" si="58"/>
        <v>660.29458565748769</v>
      </c>
    </row>
    <row r="152" spans="1:14">
      <c r="A152" s="128">
        <v>45901</v>
      </c>
      <c r="D152" s="77">
        <f t="shared" ref="D152:N152" si="59">D112</f>
        <v>945.85504295468468</v>
      </c>
      <c r="E152" s="77">
        <f t="shared" si="59"/>
        <v>788.1194122964921</v>
      </c>
      <c r="F152" s="77">
        <f t="shared" si="59"/>
        <v>979.51640560602368</v>
      </c>
      <c r="G152" s="77">
        <f t="shared" si="59"/>
        <v>345.2749199010413</v>
      </c>
      <c r="H152" s="77">
        <f t="shared" si="59"/>
        <v>617.69734874413984</v>
      </c>
      <c r="I152" s="77">
        <f t="shared" si="59"/>
        <v>0</v>
      </c>
      <c r="J152" s="77">
        <f t="shared" si="59"/>
        <v>0</v>
      </c>
      <c r="K152" s="77">
        <f t="shared" si="59"/>
        <v>952.94863401124792</v>
      </c>
      <c r="L152" s="77">
        <f t="shared" si="59"/>
        <v>339.02969169385574</v>
      </c>
      <c r="M152" s="77">
        <f t="shared" si="59"/>
        <v>536.18610779139271</v>
      </c>
      <c r="N152" s="77">
        <f t="shared" si="59"/>
        <v>587.95049336559919</v>
      </c>
    </row>
    <row r="153" spans="1:14">
      <c r="A153" s="128">
        <v>45931</v>
      </c>
      <c r="D153" s="77">
        <f t="shared" ref="D153:N153" si="60">D113</f>
        <v>836.93984906092487</v>
      </c>
      <c r="E153" s="77">
        <f t="shared" si="60"/>
        <v>854.7528237842688</v>
      </c>
      <c r="F153" s="77">
        <f t="shared" si="60"/>
        <v>795.2439065362737</v>
      </c>
      <c r="G153" s="77">
        <f t="shared" si="60"/>
        <v>453.82056760760082</v>
      </c>
      <c r="H153" s="77">
        <f t="shared" si="60"/>
        <v>498.89118744292216</v>
      </c>
      <c r="I153" s="77">
        <f t="shared" si="60"/>
        <v>0</v>
      </c>
      <c r="J153" s="77">
        <f t="shared" si="60"/>
        <v>0</v>
      </c>
      <c r="K153" s="77">
        <f t="shared" si="60"/>
        <v>815.98524597260302</v>
      </c>
      <c r="L153" s="77">
        <f t="shared" si="60"/>
        <v>282.06083938867573</v>
      </c>
      <c r="M153" s="77">
        <f t="shared" si="60"/>
        <v>476.80266099178709</v>
      </c>
      <c r="N153" s="77">
        <f t="shared" si="60"/>
        <v>591.73246241917957</v>
      </c>
    </row>
    <row r="154" spans="1:14">
      <c r="A154" s="128">
        <v>45962</v>
      </c>
      <c r="D154" s="77">
        <f t="shared" ref="D154:N154" si="61">D114</f>
        <v>819.34837285235267</v>
      </c>
      <c r="E154" s="77">
        <f t="shared" si="61"/>
        <v>1018.918114386613</v>
      </c>
      <c r="F154" s="77">
        <f t="shared" si="61"/>
        <v>860.40856069950485</v>
      </c>
      <c r="G154" s="77">
        <f t="shared" si="61"/>
        <v>430.50822801432253</v>
      </c>
      <c r="H154" s="77">
        <f t="shared" si="61"/>
        <v>471.46161796489912</v>
      </c>
      <c r="I154" s="77">
        <f t="shared" si="61"/>
        <v>0</v>
      </c>
      <c r="J154" s="77">
        <f t="shared" si="61"/>
        <v>0</v>
      </c>
      <c r="K154" s="77">
        <f t="shared" si="61"/>
        <v>669.15887856301492</v>
      </c>
      <c r="L154" s="77">
        <f t="shared" si="61"/>
        <v>327.69871850765821</v>
      </c>
      <c r="M154" s="77">
        <f t="shared" si="61"/>
        <v>471.59080308813867</v>
      </c>
      <c r="N154" s="77">
        <f t="shared" si="61"/>
        <v>387.80883052601803</v>
      </c>
    </row>
    <row r="155" spans="1:14">
      <c r="A155" s="128">
        <v>45992</v>
      </c>
      <c r="D155" s="77">
        <f t="shared" ref="D155:N155" si="62">D115</f>
        <v>833.88633358480593</v>
      </c>
      <c r="E155" s="77">
        <f t="shared" si="62"/>
        <v>811.35541409205155</v>
      </c>
      <c r="F155" s="77">
        <f t="shared" si="62"/>
        <v>709.87555598683957</v>
      </c>
      <c r="G155" s="77">
        <f t="shared" si="62"/>
        <v>616.91931180793961</v>
      </c>
      <c r="H155" s="77">
        <f t="shared" si="62"/>
        <v>539.64150244852885</v>
      </c>
      <c r="I155" s="77">
        <f t="shared" si="62"/>
        <v>0</v>
      </c>
      <c r="J155" s="77">
        <f t="shared" si="62"/>
        <v>0</v>
      </c>
      <c r="K155" s="77">
        <f t="shared" si="62"/>
        <v>1048.4250807544809</v>
      </c>
      <c r="L155" s="77">
        <f t="shared" si="62"/>
        <v>307.29341003407671</v>
      </c>
      <c r="M155" s="77">
        <f t="shared" si="62"/>
        <v>501.39023254147264</v>
      </c>
      <c r="N155" s="77">
        <f t="shared" si="62"/>
        <v>536.63708855847426</v>
      </c>
    </row>
    <row r="156" spans="1:14">
      <c r="C156" s="129" t="s">
        <v>58</v>
      </c>
      <c r="D156" s="130">
        <f t="shared" ref="D156:N156" si="63">AVERAGE(D148:D155)</f>
        <v>800.21556298530413</v>
      </c>
      <c r="E156" s="130">
        <f t="shared" si="63"/>
        <v>983.73127039895292</v>
      </c>
      <c r="F156" s="130">
        <f t="shared" si="63"/>
        <v>705.62171716378032</v>
      </c>
      <c r="G156" s="130">
        <f t="shared" si="63"/>
        <v>459.59079066913313</v>
      </c>
      <c r="H156" s="130">
        <f t="shared" si="63"/>
        <v>539.89613553379877</v>
      </c>
      <c r="I156" s="130">
        <f t="shared" si="63"/>
        <v>0</v>
      </c>
      <c r="J156" s="130">
        <f t="shared" si="63"/>
        <v>0</v>
      </c>
      <c r="K156" s="130">
        <f t="shared" si="63"/>
        <v>906.49667752990854</v>
      </c>
      <c r="L156" s="130">
        <f t="shared" si="63"/>
        <v>308.03300044460167</v>
      </c>
      <c r="M156" s="130">
        <f t="shared" si="63"/>
        <v>483.36399261993813</v>
      </c>
      <c r="N156" s="130">
        <f t="shared" si="63"/>
        <v>568.85265100105994</v>
      </c>
    </row>
    <row r="157" spans="1:14">
      <c r="C157" s="129" t="s">
        <v>59</v>
      </c>
      <c r="D157" s="130">
        <f t="shared" ref="D157:N157" si="64">MEDIAN(D148:D155)</f>
        <v>835.4130913228654</v>
      </c>
      <c r="E157" s="130">
        <f t="shared" si="64"/>
        <v>901.59773869165679</v>
      </c>
      <c r="F157" s="130">
        <f t="shared" si="64"/>
        <v>688.74038359381893</v>
      </c>
      <c r="G157" s="130">
        <f t="shared" si="64"/>
        <v>445.35092536256838</v>
      </c>
      <c r="H157" s="130">
        <f t="shared" si="64"/>
        <v>534.51784641896438</v>
      </c>
      <c r="I157" s="130">
        <f t="shared" si="64"/>
        <v>0</v>
      </c>
      <c r="J157" s="130">
        <f t="shared" si="64"/>
        <v>0</v>
      </c>
      <c r="K157" s="130">
        <f t="shared" si="64"/>
        <v>943.53026349205402</v>
      </c>
      <c r="L157" s="130">
        <f t="shared" si="64"/>
        <v>305.37339896894292</v>
      </c>
      <c r="M157" s="130">
        <f t="shared" si="64"/>
        <v>475.75708516529676</v>
      </c>
      <c r="N157" s="130">
        <f t="shared" si="64"/>
        <v>589.84147789238932</v>
      </c>
    </row>
    <row r="158" spans="1:14">
      <c r="C158" s="129" t="s">
        <v>60</v>
      </c>
      <c r="D158" s="130">
        <f t="shared" ref="D158:N158" si="65">MAX(D148:D155)</f>
        <v>945.85504295468468</v>
      </c>
      <c r="E158" s="130">
        <f t="shared" si="65"/>
        <v>1327.2596228264065</v>
      </c>
      <c r="F158" s="130">
        <f t="shared" si="65"/>
        <v>979.51640560602368</v>
      </c>
      <c r="G158" s="130">
        <f t="shared" si="65"/>
        <v>616.91931180793961</v>
      </c>
      <c r="H158" s="130">
        <f t="shared" si="65"/>
        <v>617.69734874413984</v>
      </c>
      <c r="I158" s="130">
        <f t="shared" si="65"/>
        <v>0</v>
      </c>
      <c r="J158" s="130">
        <f t="shared" si="65"/>
        <v>0</v>
      </c>
      <c r="K158" s="130">
        <f t="shared" si="65"/>
        <v>1068.3313897084122</v>
      </c>
      <c r="L158" s="130">
        <f t="shared" si="65"/>
        <v>339.02969169385574</v>
      </c>
      <c r="M158" s="130">
        <f t="shared" si="65"/>
        <v>536.18610779139271</v>
      </c>
      <c r="N158" s="130">
        <f t="shared" si="65"/>
        <v>732.65506109645605</v>
      </c>
    </row>
    <row r="159" spans="1:14">
      <c r="C159" s="78" t="s">
        <v>61</v>
      </c>
      <c r="D159" s="133">
        <f t="shared" ref="D159:N159" si="66">QUARTILE(D148:D155,3)</f>
        <v>852.031778299915</v>
      </c>
      <c r="E159" s="133">
        <f t="shared" si="66"/>
        <v>1091.7302987548057</v>
      </c>
      <c r="F159" s="133">
        <f t="shared" si="66"/>
        <v>811.53507007708151</v>
      </c>
      <c r="G159" s="133">
        <f t="shared" si="66"/>
        <v>477.10457022694561</v>
      </c>
      <c r="H159" s="133">
        <f t="shared" si="66"/>
        <v>557.97212047491371</v>
      </c>
      <c r="I159" s="133">
        <f t="shared" si="66"/>
        <v>0</v>
      </c>
      <c r="J159" s="133">
        <f t="shared" si="66"/>
        <v>0</v>
      </c>
      <c r="K159" s="133">
        <f t="shared" si="66"/>
        <v>1019.1497664912206</v>
      </c>
      <c r="L159" s="133">
        <f t="shared" si="66"/>
        <v>314.82294167012526</v>
      </c>
      <c r="M159" s="133">
        <f t="shared" si="66"/>
        <v>499.09800232835676</v>
      </c>
      <c r="N159" s="133">
        <f t="shared" si="66"/>
        <v>665.60289823810945</v>
      </c>
    </row>
    <row r="160" spans="1:14">
      <c r="C160" s="78" t="s">
        <v>20</v>
      </c>
      <c r="D160" s="140">
        <f>SUM(D148:D154)</f>
        <v>5567.8381702976276</v>
      </c>
      <c r="E160" s="140">
        <f t="shared" ref="E160:N160" si="67">SUM(E148:E154)</f>
        <v>7058.4947490995719</v>
      </c>
      <c r="F160" s="140">
        <f t="shared" si="67"/>
        <v>4935.098181323403</v>
      </c>
      <c r="G160" s="140">
        <f t="shared" si="67"/>
        <v>3059.8070135451253</v>
      </c>
      <c r="H160" s="140">
        <f t="shared" si="67"/>
        <v>3779.5275818218615</v>
      </c>
      <c r="I160" s="140">
        <f t="shared" si="67"/>
        <v>0</v>
      </c>
      <c r="J160" s="140">
        <f t="shared" si="67"/>
        <v>0</v>
      </c>
      <c r="K160" s="140">
        <f t="shared" si="67"/>
        <v>6203.5483394847879</v>
      </c>
      <c r="L160" s="140">
        <f t="shared" si="67"/>
        <v>2156.9705935227366</v>
      </c>
      <c r="M160" s="140">
        <f t="shared" si="67"/>
        <v>3365.5217084180322</v>
      </c>
      <c r="N160" s="140">
        <f t="shared" si="67"/>
        <v>4014.1841194500048</v>
      </c>
    </row>
    <row r="161" spans="1:14">
      <c r="C161" s="129" t="s">
        <v>154</v>
      </c>
      <c r="D161" s="140">
        <f>D160/8</f>
        <v>695.97977128720345</v>
      </c>
      <c r="E161" s="140">
        <f t="shared" ref="E161:N161" si="68">E160/8</f>
        <v>882.31184363744649</v>
      </c>
      <c r="F161" s="140">
        <f t="shared" si="68"/>
        <v>616.88727266542537</v>
      </c>
      <c r="G161" s="140">
        <f t="shared" si="68"/>
        <v>382.47587669314066</v>
      </c>
      <c r="H161" s="140">
        <f t="shared" si="68"/>
        <v>472.44094772773269</v>
      </c>
      <c r="I161" s="140">
        <f t="shared" si="68"/>
        <v>0</v>
      </c>
      <c r="J161" s="140">
        <f t="shared" si="68"/>
        <v>0</v>
      </c>
      <c r="K161" s="140">
        <f t="shared" si="68"/>
        <v>775.44354243559849</v>
      </c>
      <c r="L161" s="140">
        <f t="shared" si="68"/>
        <v>269.62132419034208</v>
      </c>
      <c r="M161" s="140">
        <f t="shared" si="68"/>
        <v>420.69021355225402</v>
      </c>
      <c r="N161" s="140">
        <f t="shared" si="68"/>
        <v>501.7730149312506</v>
      </c>
    </row>
    <row r="164" spans="1:14" ht="45">
      <c r="D164" s="78" t="s">
        <v>67</v>
      </c>
      <c r="E164" s="78" t="s">
        <v>23</v>
      </c>
      <c r="F164" s="78" t="s">
        <v>26</v>
      </c>
      <c r="G164" s="78" t="s">
        <v>27</v>
      </c>
      <c r="H164" s="78" t="s">
        <v>28</v>
      </c>
      <c r="I164" s="360" t="s">
        <v>29</v>
      </c>
      <c r="J164" s="360"/>
      <c r="K164" s="360"/>
      <c r="L164" s="78" t="s">
        <v>30</v>
      </c>
      <c r="M164" s="78" t="s">
        <v>31</v>
      </c>
      <c r="N164" s="78" t="s">
        <v>32</v>
      </c>
    </row>
    <row r="165" spans="1:14">
      <c r="A165" s="359" t="s">
        <v>160</v>
      </c>
      <c r="B165" s="359"/>
      <c r="C165" s="359"/>
      <c r="D165" s="140" t="e">
        <f>(D119*#REF!)*12</f>
        <v>#REF!</v>
      </c>
      <c r="E165" s="140" t="e">
        <f>(E119*#REF!)*12</f>
        <v>#REF!</v>
      </c>
      <c r="F165" s="140" t="e">
        <f>(F119*#REF!)*12</f>
        <v>#REF!</v>
      </c>
      <c r="G165" s="140" t="e">
        <f>(G119*#REF!)*12</f>
        <v>#REF!</v>
      </c>
      <c r="H165" s="140" t="e">
        <f>(H119*#REF!)*12</f>
        <v>#REF!</v>
      </c>
      <c r="I165" s="140" t="e">
        <f>(I119*#REF!)*12</f>
        <v>#REF!</v>
      </c>
      <c r="J165" s="140" t="e">
        <f>(J119*#REF!)*12</f>
        <v>#REF!</v>
      </c>
      <c r="K165" s="140" t="e">
        <f>(K119*#REF!)*12</f>
        <v>#REF!</v>
      </c>
      <c r="L165" s="140" t="e">
        <f>(L119*#REF!)*12</f>
        <v>#REF!</v>
      </c>
      <c r="M165" s="140" t="e">
        <f>(M119*#REF!)*12</f>
        <v>#REF!</v>
      </c>
      <c r="N165" s="140" t="e">
        <f>(N119*#REF!)*12</f>
        <v>#REF!</v>
      </c>
    </row>
    <row r="166" spans="1:14">
      <c r="A166" s="359" t="s">
        <v>161</v>
      </c>
      <c r="B166" s="359"/>
      <c r="C166" s="359"/>
      <c r="D166" s="140" t="e">
        <f>(D143*#REF!)*4</f>
        <v>#REF!</v>
      </c>
      <c r="E166" s="140" t="e">
        <f>(E143*#REF!)*4</f>
        <v>#REF!</v>
      </c>
      <c r="F166" s="140" t="e">
        <f>(F143*#REF!)*4</f>
        <v>#REF!</v>
      </c>
      <c r="G166" s="140" t="e">
        <f>(G143*#REF!)*4</f>
        <v>#REF!</v>
      </c>
      <c r="H166" s="140" t="e">
        <f>(H143*#REF!)*4</f>
        <v>#REF!</v>
      </c>
      <c r="I166" s="140" t="e">
        <f>(I143*#REF!)*4</f>
        <v>#REF!</v>
      </c>
      <c r="J166" s="140" t="e">
        <f>(J143*#REF!)*4</f>
        <v>#REF!</v>
      </c>
      <c r="K166" s="140" t="e">
        <f>(K143*#REF!)*4</f>
        <v>#REF!</v>
      </c>
      <c r="L166" s="140" t="e">
        <f>(L143*#REF!)*4</f>
        <v>#REF!</v>
      </c>
      <c r="M166" s="140" t="e">
        <f>(M143*#REF!)*4</f>
        <v>#REF!</v>
      </c>
      <c r="N166" s="140" t="e">
        <f>(N143*#REF!)*4</f>
        <v>#REF!</v>
      </c>
    </row>
    <row r="167" spans="1:14">
      <c r="A167" s="359" t="s">
        <v>162</v>
      </c>
      <c r="B167" s="359"/>
      <c r="C167" s="359"/>
      <c r="D167" s="140" t="e">
        <f>(D159*#REF!)*8</f>
        <v>#REF!</v>
      </c>
      <c r="E167" s="140" t="e">
        <f>(E159*#REF!)*8</f>
        <v>#REF!</v>
      </c>
      <c r="F167" s="140" t="e">
        <f>(F159*#REF!)*8</f>
        <v>#REF!</v>
      </c>
      <c r="G167" s="140" t="e">
        <f>(G159*#REF!)*8</f>
        <v>#REF!</v>
      </c>
      <c r="H167" s="140" t="e">
        <f>(H159*#REF!)*8</f>
        <v>#REF!</v>
      </c>
      <c r="I167" s="140" t="e">
        <f>(I159*#REF!)*8</f>
        <v>#REF!</v>
      </c>
      <c r="J167" s="140" t="e">
        <f>(J159*#REF!)*8</f>
        <v>#REF!</v>
      </c>
      <c r="K167" s="140" t="e">
        <f>(K159*#REF!)*8</f>
        <v>#REF!</v>
      </c>
      <c r="L167" s="140" t="e">
        <f>(L159*#REF!)*8</f>
        <v>#REF!</v>
      </c>
      <c r="M167" s="140" t="e">
        <f>(M159*#REF!)*8</f>
        <v>#REF!</v>
      </c>
      <c r="N167" s="140" t="e">
        <f>(N159*#REF!)*8</f>
        <v>#REF!</v>
      </c>
    </row>
    <row r="168" spans="1:14">
      <c r="D168" s="140" t="e">
        <f>SUM(D166:D167)</f>
        <v>#REF!</v>
      </c>
      <c r="E168" s="140" t="e">
        <f t="shared" ref="E168:N168" si="69">SUM(E166:E167)</f>
        <v>#REF!</v>
      </c>
      <c r="F168" s="140" t="e">
        <f t="shared" si="69"/>
        <v>#REF!</v>
      </c>
      <c r="G168" s="140" t="e">
        <f t="shared" si="69"/>
        <v>#REF!</v>
      </c>
      <c r="H168" s="140" t="e">
        <f t="shared" si="69"/>
        <v>#REF!</v>
      </c>
      <c r="I168" s="140" t="e">
        <f t="shared" si="69"/>
        <v>#REF!</v>
      </c>
      <c r="J168" s="140" t="e">
        <f t="shared" si="69"/>
        <v>#REF!</v>
      </c>
      <c r="K168" s="140" t="e">
        <f t="shared" si="69"/>
        <v>#REF!</v>
      </c>
      <c r="L168" s="140" t="e">
        <f t="shared" si="69"/>
        <v>#REF!</v>
      </c>
      <c r="M168" s="140" t="e">
        <f t="shared" si="69"/>
        <v>#REF!</v>
      </c>
      <c r="N168" s="140" t="e">
        <f t="shared" si="69"/>
        <v>#REF!</v>
      </c>
    </row>
    <row r="169" spans="1:14">
      <c r="D169" s="140" t="e">
        <f>D165-D168</f>
        <v>#REF!</v>
      </c>
      <c r="E169" s="140" t="e">
        <f t="shared" ref="E169:N169" si="70">E165-E168</f>
        <v>#REF!</v>
      </c>
      <c r="F169" s="140" t="e">
        <f t="shared" si="70"/>
        <v>#REF!</v>
      </c>
      <c r="G169" s="140" t="e">
        <f t="shared" si="70"/>
        <v>#REF!</v>
      </c>
      <c r="H169" s="140" t="e">
        <f t="shared" si="70"/>
        <v>#REF!</v>
      </c>
      <c r="I169" s="140" t="e">
        <f t="shared" si="70"/>
        <v>#REF!</v>
      </c>
      <c r="J169" s="140" t="e">
        <f t="shared" si="70"/>
        <v>#REF!</v>
      </c>
      <c r="K169" s="140" t="e">
        <f t="shared" si="70"/>
        <v>#REF!</v>
      </c>
      <c r="L169" s="140" t="e">
        <f t="shared" si="70"/>
        <v>#REF!</v>
      </c>
      <c r="M169" s="140" t="e">
        <f t="shared" si="70"/>
        <v>#REF!</v>
      </c>
      <c r="N169" s="140" t="e">
        <f t="shared" si="70"/>
        <v>#REF!</v>
      </c>
    </row>
    <row r="184" spans="4:14">
      <c r="D184" s="77">
        <f t="shared" ref="D184:N184" si="71">D2</f>
        <v>698</v>
      </c>
      <c r="E184" s="77">
        <f t="shared" si="71"/>
        <v>901</v>
      </c>
      <c r="F184" s="77">
        <f t="shared" si="71"/>
        <v>610</v>
      </c>
      <c r="G184" s="77">
        <f t="shared" si="71"/>
        <v>344</v>
      </c>
      <c r="H184" s="77">
        <f t="shared" si="71"/>
        <v>603</v>
      </c>
      <c r="I184" s="77">
        <f t="shared" si="71"/>
        <v>0</v>
      </c>
      <c r="J184" s="77">
        <f t="shared" si="71"/>
        <v>0</v>
      </c>
      <c r="K184" s="77">
        <f t="shared" si="71"/>
        <v>0</v>
      </c>
      <c r="L184" s="77">
        <f t="shared" si="71"/>
        <v>330</v>
      </c>
      <c r="M184" s="77">
        <f t="shared" si="71"/>
        <v>574</v>
      </c>
      <c r="N184" s="77">
        <f t="shared" si="71"/>
        <v>565</v>
      </c>
    </row>
    <row r="185" spans="4:14">
      <c r="D185" s="77">
        <f t="shared" ref="D185:N185" si="72">D3</f>
        <v>771</v>
      </c>
      <c r="E185" s="77">
        <f t="shared" si="72"/>
        <v>0</v>
      </c>
      <c r="F185" s="77">
        <f t="shared" si="72"/>
        <v>689</v>
      </c>
      <c r="G185" s="77">
        <f t="shared" si="72"/>
        <v>339</v>
      </c>
      <c r="H185" s="77">
        <f t="shared" si="72"/>
        <v>657</v>
      </c>
      <c r="I185" s="77">
        <f t="shared" si="72"/>
        <v>371</v>
      </c>
      <c r="J185" s="77">
        <f t="shared" si="72"/>
        <v>0</v>
      </c>
      <c r="K185" s="77">
        <f t="shared" si="72"/>
        <v>371</v>
      </c>
      <c r="L185" s="77">
        <f t="shared" si="72"/>
        <v>270</v>
      </c>
      <c r="M185" s="77">
        <f t="shared" si="72"/>
        <v>562</v>
      </c>
      <c r="N185" s="77">
        <f t="shared" si="72"/>
        <v>0</v>
      </c>
    </row>
    <row r="186" spans="4:14">
      <c r="D186" s="77">
        <f t="shared" ref="D186:N186" si="73">D4</f>
        <v>753</v>
      </c>
      <c r="E186" s="77">
        <f t="shared" si="73"/>
        <v>1067</v>
      </c>
      <c r="F186" s="77">
        <f t="shared" si="73"/>
        <v>599</v>
      </c>
      <c r="G186" s="77">
        <f t="shared" si="73"/>
        <v>335</v>
      </c>
      <c r="H186" s="77">
        <f t="shared" si="73"/>
        <v>746</v>
      </c>
      <c r="I186" s="77">
        <f t="shared" si="73"/>
        <v>300</v>
      </c>
      <c r="J186" s="77">
        <f t="shared" si="73"/>
        <v>0</v>
      </c>
      <c r="K186" s="77">
        <f t="shared" si="73"/>
        <v>300</v>
      </c>
      <c r="L186" s="77">
        <f t="shared" si="73"/>
        <v>319</v>
      </c>
      <c r="M186" s="77">
        <f t="shared" si="73"/>
        <v>547</v>
      </c>
      <c r="N186" s="77">
        <f t="shared" si="73"/>
        <v>504</v>
      </c>
    </row>
    <row r="187" spans="4:14">
      <c r="D187" s="77">
        <f t="shared" ref="D187:N187" si="74">D5</f>
        <v>515</v>
      </c>
      <c r="E187" s="77">
        <f t="shared" si="74"/>
        <v>728</v>
      </c>
      <c r="F187" s="77">
        <f t="shared" si="74"/>
        <v>344</v>
      </c>
      <c r="G187" s="77">
        <f t="shared" si="74"/>
        <v>0</v>
      </c>
      <c r="H187" s="77">
        <f t="shared" si="74"/>
        <v>711</v>
      </c>
      <c r="I187" s="77">
        <f t="shared" si="74"/>
        <v>137</v>
      </c>
      <c r="J187" s="77">
        <f t="shared" si="74"/>
        <v>0</v>
      </c>
      <c r="K187" s="77">
        <f t="shared" si="74"/>
        <v>137</v>
      </c>
      <c r="L187" s="77">
        <f t="shared" si="74"/>
        <v>309</v>
      </c>
      <c r="M187" s="77">
        <f t="shared" si="74"/>
        <v>502</v>
      </c>
      <c r="N187" s="77">
        <f t="shared" si="74"/>
        <v>50</v>
      </c>
    </row>
    <row r="188" spans="4:14">
      <c r="D188" s="77">
        <f t="shared" ref="D188:N188" si="75">D6</f>
        <v>566</v>
      </c>
      <c r="E188" s="77">
        <f t="shared" si="75"/>
        <v>0</v>
      </c>
      <c r="F188" s="77">
        <f t="shared" si="75"/>
        <v>436</v>
      </c>
      <c r="G188" s="77">
        <f t="shared" si="75"/>
        <v>255</v>
      </c>
      <c r="H188" s="77">
        <f t="shared" si="75"/>
        <v>0</v>
      </c>
      <c r="I188" s="77">
        <f t="shared" si="75"/>
        <v>204</v>
      </c>
      <c r="J188" s="77">
        <f t="shared" si="75"/>
        <v>276</v>
      </c>
      <c r="K188" s="77">
        <f t="shared" si="75"/>
        <v>276</v>
      </c>
      <c r="L188" s="77">
        <f t="shared" si="75"/>
        <v>283</v>
      </c>
      <c r="M188" s="77">
        <f t="shared" si="75"/>
        <v>459</v>
      </c>
      <c r="N188" s="77">
        <f t="shared" si="75"/>
        <v>408</v>
      </c>
    </row>
    <row r="189" spans="4:14">
      <c r="D189" s="77">
        <f t="shared" ref="D189:N189" si="76">D7</f>
        <v>496</v>
      </c>
      <c r="E189" s="77">
        <f t="shared" si="76"/>
        <v>728</v>
      </c>
      <c r="F189" s="77">
        <f t="shared" si="76"/>
        <v>412</v>
      </c>
      <c r="G189" s="77">
        <f t="shared" si="76"/>
        <v>286</v>
      </c>
      <c r="H189" s="77">
        <f t="shared" si="76"/>
        <v>386</v>
      </c>
      <c r="I189" s="77">
        <f t="shared" si="76"/>
        <v>244</v>
      </c>
      <c r="J189" s="77">
        <f t="shared" si="76"/>
        <v>341</v>
      </c>
      <c r="K189" s="77">
        <f t="shared" si="76"/>
        <v>341</v>
      </c>
      <c r="L189" s="77">
        <f t="shared" si="76"/>
        <v>283</v>
      </c>
      <c r="M189" s="77">
        <f t="shared" si="76"/>
        <v>386</v>
      </c>
      <c r="N189" s="77">
        <f t="shared" si="76"/>
        <v>425</v>
      </c>
    </row>
    <row r="190" spans="4:14">
      <c r="D190" s="77">
        <f t="shared" ref="D190:N190" si="77">D8</f>
        <v>606</v>
      </c>
      <c r="E190" s="77">
        <f t="shared" si="77"/>
        <v>726</v>
      </c>
      <c r="F190" s="77">
        <f t="shared" si="77"/>
        <v>485</v>
      </c>
      <c r="G190" s="77">
        <f t="shared" si="77"/>
        <v>321</v>
      </c>
      <c r="H190" s="77">
        <f t="shared" si="77"/>
        <v>448</v>
      </c>
      <c r="I190" s="77">
        <f t="shared" si="77"/>
        <v>556</v>
      </c>
      <c r="J190" s="77">
        <f t="shared" si="77"/>
        <v>810</v>
      </c>
      <c r="K190" s="77">
        <f t="shared" si="77"/>
        <v>810</v>
      </c>
      <c r="L190" s="77">
        <f t="shared" si="77"/>
        <v>288</v>
      </c>
      <c r="M190" s="77">
        <f t="shared" si="77"/>
        <v>492</v>
      </c>
      <c r="N190" s="77">
        <f t="shared" si="77"/>
        <v>403</v>
      </c>
    </row>
    <row r="191" spans="4:14">
      <c r="D191" s="77">
        <f t="shared" ref="D191:N191" si="78">D10</f>
        <v>769</v>
      </c>
      <c r="E191" s="77">
        <f t="shared" si="78"/>
        <v>942</v>
      </c>
      <c r="F191" s="77">
        <f t="shared" si="78"/>
        <v>630</v>
      </c>
      <c r="G191" s="77">
        <f t="shared" si="78"/>
        <v>367</v>
      </c>
      <c r="H191" s="77">
        <f t="shared" si="78"/>
        <v>644</v>
      </c>
      <c r="I191" s="77">
        <f t="shared" si="78"/>
        <v>0</v>
      </c>
      <c r="J191" s="77">
        <f t="shared" si="78"/>
        <v>0</v>
      </c>
      <c r="K191" s="77">
        <f t="shared" si="78"/>
        <v>0</v>
      </c>
      <c r="L191" s="77">
        <f t="shared" si="78"/>
        <v>330</v>
      </c>
      <c r="M191" s="77">
        <f t="shared" si="78"/>
        <v>564</v>
      </c>
      <c r="N191" s="77">
        <f t="shared" si="78"/>
        <v>594</v>
      </c>
    </row>
    <row r="192" spans="4:14">
      <c r="D192" s="77">
        <f t="shared" ref="D192:N192" si="79">D11</f>
        <v>894</v>
      </c>
      <c r="E192" s="77">
        <f t="shared" si="79"/>
        <v>0</v>
      </c>
      <c r="F192" s="77">
        <f t="shared" si="79"/>
        <v>611</v>
      </c>
      <c r="G192" s="77">
        <f t="shared" si="79"/>
        <v>322</v>
      </c>
      <c r="H192" s="77">
        <f t="shared" si="79"/>
        <v>617</v>
      </c>
      <c r="I192" s="77">
        <f t="shared" si="79"/>
        <v>369</v>
      </c>
      <c r="J192" s="77">
        <f t="shared" si="79"/>
        <v>0</v>
      </c>
      <c r="K192" s="77">
        <f t="shared" si="79"/>
        <v>369</v>
      </c>
      <c r="L192" s="77">
        <f t="shared" si="79"/>
        <v>322</v>
      </c>
      <c r="M192" s="77">
        <f t="shared" si="79"/>
        <v>552</v>
      </c>
      <c r="N192" s="77">
        <f t="shared" si="79"/>
        <v>0</v>
      </c>
    </row>
    <row r="193" spans="4:14">
      <c r="D193" s="77">
        <f t="shared" ref="D193:N193" si="80">D12</f>
        <v>695</v>
      </c>
      <c r="E193" s="77">
        <f t="shared" si="80"/>
        <v>892</v>
      </c>
      <c r="F193" s="77">
        <f t="shared" si="80"/>
        <v>0</v>
      </c>
      <c r="G193" s="77">
        <f t="shared" si="80"/>
        <v>325</v>
      </c>
      <c r="H193" s="77">
        <f t="shared" si="80"/>
        <v>726</v>
      </c>
      <c r="I193" s="77">
        <f t="shared" si="80"/>
        <v>358</v>
      </c>
      <c r="J193" s="77">
        <f t="shared" si="80"/>
        <v>0</v>
      </c>
      <c r="K193" s="77">
        <f t="shared" si="80"/>
        <v>358</v>
      </c>
      <c r="L193" s="77">
        <f t="shared" si="80"/>
        <v>339</v>
      </c>
      <c r="M193" s="77">
        <f t="shared" si="80"/>
        <v>526</v>
      </c>
      <c r="N193" s="77">
        <f t="shared" si="80"/>
        <v>518</v>
      </c>
    </row>
    <row r="194" spans="4:14">
      <c r="D194" s="77">
        <f t="shared" ref="D194:N194" si="81">D13</f>
        <v>515</v>
      </c>
      <c r="E194" s="77">
        <f t="shared" si="81"/>
        <v>756</v>
      </c>
      <c r="F194" s="77">
        <f t="shared" si="81"/>
        <v>370</v>
      </c>
      <c r="G194" s="77">
        <f t="shared" si="81"/>
        <v>231</v>
      </c>
      <c r="H194" s="77">
        <f t="shared" si="81"/>
        <v>689</v>
      </c>
      <c r="I194" s="77">
        <f t="shared" si="81"/>
        <v>333</v>
      </c>
      <c r="J194" s="77">
        <f t="shared" si="81"/>
        <v>201</v>
      </c>
      <c r="K194" s="77">
        <f t="shared" si="81"/>
        <v>333</v>
      </c>
      <c r="L194" s="77">
        <f t="shared" si="81"/>
        <v>301</v>
      </c>
      <c r="M194" s="77">
        <f t="shared" si="81"/>
        <v>501</v>
      </c>
      <c r="N194" s="77">
        <f t="shared" si="81"/>
        <v>462</v>
      </c>
    </row>
    <row r="195" spans="4:14">
      <c r="D195" s="77">
        <f t="shared" ref="D195:N195" si="82">D14</f>
        <v>0</v>
      </c>
      <c r="E195" s="77">
        <f t="shared" si="82"/>
        <v>0</v>
      </c>
      <c r="F195" s="77">
        <f t="shared" si="82"/>
        <v>0</v>
      </c>
      <c r="G195" s="77">
        <f t="shared" si="82"/>
        <v>259</v>
      </c>
      <c r="H195" s="77">
        <f t="shared" si="82"/>
        <v>0</v>
      </c>
      <c r="I195" s="77">
        <f t="shared" si="82"/>
        <v>209</v>
      </c>
      <c r="J195" s="77">
        <f t="shared" si="82"/>
        <v>366</v>
      </c>
      <c r="K195" s="77">
        <f t="shared" si="82"/>
        <v>366</v>
      </c>
      <c r="L195" s="77">
        <f t="shared" si="82"/>
        <v>282</v>
      </c>
      <c r="M195" s="77">
        <f t="shared" si="82"/>
        <v>0</v>
      </c>
      <c r="N195" s="77">
        <f t="shared" si="82"/>
        <v>0</v>
      </c>
    </row>
    <row r="196" spans="4:14">
      <c r="D196" s="77">
        <f t="shared" ref="D196:N196" si="83">D15</f>
        <v>628</v>
      </c>
      <c r="E196" s="77">
        <f t="shared" si="83"/>
        <v>758</v>
      </c>
      <c r="F196" s="77">
        <f t="shared" si="83"/>
        <v>474</v>
      </c>
      <c r="G196" s="77">
        <f t="shared" si="83"/>
        <v>316</v>
      </c>
      <c r="H196" s="77">
        <f t="shared" si="83"/>
        <v>454</v>
      </c>
      <c r="I196" s="77">
        <f t="shared" si="83"/>
        <v>315</v>
      </c>
      <c r="J196" s="77">
        <f t="shared" si="83"/>
        <v>446</v>
      </c>
      <c r="K196" s="77">
        <f t="shared" si="83"/>
        <v>446</v>
      </c>
      <c r="L196" s="77">
        <f t="shared" si="83"/>
        <v>294</v>
      </c>
      <c r="M196" s="77">
        <f t="shared" si="83"/>
        <v>425</v>
      </c>
      <c r="N196" s="77">
        <f t="shared" si="83"/>
        <v>0</v>
      </c>
    </row>
    <row r="197" spans="4:14">
      <c r="D197" s="77">
        <f t="shared" ref="D197:N197" si="84">D16</f>
        <v>573</v>
      </c>
      <c r="E197" s="77">
        <f t="shared" si="84"/>
        <v>737</v>
      </c>
      <c r="F197" s="77">
        <f t="shared" si="84"/>
        <v>467</v>
      </c>
      <c r="G197" s="77">
        <f t="shared" si="84"/>
        <v>334</v>
      </c>
      <c r="H197" s="77">
        <f t="shared" si="84"/>
        <v>432</v>
      </c>
      <c r="I197" s="77">
        <f t="shared" si="84"/>
        <v>556</v>
      </c>
      <c r="J197" s="77">
        <f t="shared" si="84"/>
        <v>810</v>
      </c>
      <c r="K197" s="77">
        <f t="shared" si="84"/>
        <v>810</v>
      </c>
      <c r="L197" s="77">
        <f t="shared" si="84"/>
        <v>286</v>
      </c>
      <c r="M197" s="77">
        <f t="shared" si="84"/>
        <v>480</v>
      </c>
      <c r="N197" s="77">
        <f t="shared" si="84"/>
        <v>396</v>
      </c>
    </row>
    <row r="198" spans="4:14">
      <c r="D198" s="77">
        <f t="shared" ref="D198:N198" si="85">D18</f>
        <v>776</v>
      </c>
      <c r="E198" s="77">
        <f t="shared" si="85"/>
        <v>921</v>
      </c>
      <c r="F198" s="77">
        <f t="shared" si="85"/>
        <v>669</v>
      </c>
      <c r="G198" s="77">
        <f t="shared" si="85"/>
        <v>352</v>
      </c>
      <c r="H198" s="77">
        <f t="shared" si="85"/>
        <v>654</v>
      </c>
      <c r="I198" s="77">
        <f t="shared" si="85"/>
        <v>0</v>
      </c>
      <c r="J198" s="77">
        <f t="shared" si="85"/>
        <v>0</v>
      </c>
      <c r="K198" s="77">
        <f t="shared" si="85"/>
        <v>0</v>
      </c>
      <c r="L198" s="77">
        <f t="shared" si="85"/>
        <v>343</v>
      </c>
      <c r="M198" s="77">
        <f t="shared" si="85"/>
        <v>564</v>
      </c>
      <c r="N198" s="77">
        <f t="shared" si="85"/>
        <v>0</v>
      </c>
    </row>
    <row r="199" spans="4:14">
      <c r="D199" s="77">
        <f t="shared" ref="D199:N199" si="86">D19</f>
        <v>762</v>
      </c>
      <c r="E199" s="77">
        <f t="shared" si="86"/>
        <v>876</v>
      </c>
      <c r="F199" s="77">
        <f t="shared" si="86"/>
        <v>625</v>
      </c>
      <c r="G199" s="77">
        <f t="shared" si="86"/>
        <v>309</v>
      </c>
      <c r="H199" s="77">
        <f t="shared" si="86"/>
        <v>604</v>
      </c>
      <c r="I199" s="77">
        <f t="shared" si="86"/>
        <v>374</v>
      </c>
      <c r="J199" s="77">
        <f t="shared" si="86"/>
        <v>0</v>
      </c>
      <c r="K199" s="77">
        <f t="shared" si="86"/>
        <v>374</v>
      </c>
      <c r="L199" s="77">
        <f t="shared" si="86"/>
        <v>337</v>
      </c>
      <c r="M199" s="77">
        <f t="shared" si="86"/>
        <v>553</v>
      </c>
      <c r="N199" s="77">
        <f t="shared" si="86"/>
        <v>0</v>
      </c>
    </row>
    <row r="200" spans="4:14">
      <c r="D200" s="77">
        <f t="shared" ref="D200:N200" si="87">D20</f>
        <v>612</v>
      </c>
      <c r="E200" s="77">
        <f t="shared" si="87"/>
        <v>852</v>
      </c>
      <c r="F200" s="77">
        <f t="shared" si="87"/>
        <v>0</v>
      </c>
      <c r="G200" s="77">
        <f t="shared" si="87"/>
        <v>314</v>
      </c>
      <c r="H200" s="77">
        <f t="shared" si="87"/>
        <v>640</v>
      </c>
      <c r="I200" s="77">
        <f t="shared" si="87"/>
        <v>506</v>
      </c>
      <c r="J200" s="77">
        <f t="shared" si="87"/>
        <v>0</v>
      </c>
      <c r="K200" s="77">
        <f t="shared" si="87"/>
        <v>506</v>
      </c>
      <c r="L200" s="77">
        <f t="shared" si="87"/>
        <v>318</v>
      </c>
      <c r="M200" s="77">
        <f t="shared" si="87"/>
        <v>525</v>
      </c>
      <c r="N200" s="77">
        <f t="shared" si="87"/>
        <v>164</v>
      </c>
    </row>
    <row r="201" spans="4:14">
      <c r="D201" s="77">
        <f t="shared" ref="D201:N201" si="88">D21</f>
        <v>426</v>
      </c>
      <c r="E201" s="77">
        <f t="shared" si="88"/>
        <v>723</v>
      </c>
      <c r="F201" s="77">
        <f t="shared" si="88"/>
        <v>304</v>
      </c>
      <c r="G201" s="77">
        <f t="shared" si="88"/>
        <v>221</v>
      </c>
      <c r="H201" s="77">
        <f t="shared" si="88"/>
        <v>640</v>
      </c>
      <c r="I201" s="77">
        <f t="shared" si="88"/>
        <v>265</v>
      </c>
      <c r="J201" s="77">
        <f t="shared" si="88"/>
        <v>185</v>
      </c>
      <c r="K201" s="77">
        <f t="shared" si="88"/>
        <v>265</v>
      </c>
      <c r="L201" s="77">
        <f t="shared" si="88"/>
        <v>282</v>
      </c>
      <c r="M201" s="77">
        <f t="shared" si="88"/>
        <v>501</v>
      </c>
      <c r="N201" s="77">
        <f t="shared" si="88"/>
        <v>464</v>
      </c>
    </row>
    <row r="202" spans="4:14">
      <c r="D202" s="77">
        <f t="shared" ref="D202:N202" si="89">D22</f>
        <v>589</v>
      </c>
      <c r="E202" s="77">
        <f t="shared" si="89"/>
        <v>755</v>
      </c>
      <c r="F202" s="77">
        <f t="shared" si="89"/>
        <v>435</v>
      </c>
      <c r="G202" s="77">
        <f t="shared" si="89"/>
        <v>295</v>
      </c>
      <c r="H202" s="77">
        <f t="shared" si="89"/>
        <v>567</v>
      </c>
      <c r="I202" s="77">
        <f t="shared" si="89"/>
        <v>248</v>
      </c>
      <c r="J202" s="77">
        <f t="shared" si="89"/>
        <v>383</v>
      </c>
      <c r="K202" s="77">
        <f t="shared" si="89"/>
        <v>383</v>
      </c>
      <c r="L202" s="77">
        <f t="shared" si="89"/>
        <v>290</v>
      </c>
      <c r="M202" s="77">
        <f t="shared" si="89"/>
        <v>472</v>
      </c>
      <c r="N202" s="77">
        <f t="shared" si="89"/>
        <v>424</v>
      </c>
    </row>
    <row r="203" spans="4:14">
      <c r="D203" s="77">
        <f t="shared" ref="D203:N203" si="90">D23</f>
        <v>624</v>
      </c>
      <c r="E203" s="77">
        <f t="shared" si="90"/>
        <v>776</v>
      </c>
      <c r="F203" s="77">
        <f t="shared" si="90"/>
        <v>478</v>
      </c>
      <c r="G203" s="77">
        <f t="shared" si="90"/>
        <v>321</v>
      </c>
      <c r="H203" s="77">
        <f t="shared" si="90"/>
        <v>466</v>
      </c>
      <c r="I203" s="77">
        <f t="shared" si="90"/>
        <v>235</v>
      </c>
      <c r="J203" s="77">
        <f t="shared" si="90"/>
        <v>404</v>
      </c>
      <c r="K203" s="77">
        <f t="shared" si="90"/>
        <v>404</v>
      </c>
      <c r="L203" s="77">
        <f t="shared" si="90"/>
        <v>273</v>
      </c>
      <c r="M203" s="77">
        <f t="shared" si="90"/>
        <v>441</v>
      </c>
      <c r="N203" s="77">
        <f t="shared" si="90"/>
        <v>427</v>
      </c>
    </row>
    <row r="204" spans="4:14">
      <c r="D204" s="77">
        <f t="shared" ref="D204:N204" si="91">D24</f>
        <v>678</v>
      </c>
      <c r="E204" s="77">
        <f t="shared" si="91"/>
        <v>860</v>
      </c>
      <c r="F204" s="77">
        <f t="shared" si="91"/>
        <v>515</v>
      </c>
      <c r="G204" s="77">
        <f t="shared" si="91"/>
        <v>359</v>
      </c>
      <c r="H204" s="77">
        <f t="shared" si="91"/>
        <v>528</v>
      </c>
      <c r="I204" s="77">
        <f t="shared" si="91"/>
        <v>529</v>
      </c>
      <c r="J204" s="77">
        <f t="shared" si="91"/>
        <v>893</v>
      </c>
      <c r="K204" s="77">
        <f t="shared" si="91"/>
        <v>893</v>
      </c>
      <c r="L204" s="77">
        <f t="shared" si="91"/>
        <v>300</v>
      </c>
      <c r="M204" s="77">
        <f t="shared" si="91"/>
        <v>506</v>
      </c>
      <c r="N204" s="77">
        <f t="shared" si="91"/>
        <v>398</v>
      </c>
    </row>
    <row r="205" spans="4:14">
      <c r="D205" s="77">
        <f t="shared" ref="D205:N205" si="92">D26</f>
        <v>754</v>
      </c>
      <c r="E205" s="77">
        <f t="shared" si="92"/>
        <v>926</v>
      </c>
      <c r="F205" s="77">
        <f t="shared" si="92"/>
        <v>503</v>
      </c>
      <c r="G205" s="77">
        <f t="shared" si="92"/>
        <v>340</v>
      </c>
      <c r="H205" s="77">
        <f t="shared" si="92"/>
        <v>668</v>
      </c>
      <c r="I205" s="77">
        <f t="shared" si="92"/>
        <v>0</v>
      </c>
      <c r="J205" s="77">
        <f t="shared" si="92"/>
        <v>0</v>
      </c>
      <c r="K205" s="77">
        <f t="shared" si="92"/>
        <v>0</v>
      </c>
      <c r="L205" s="77">
        <f t="shared" si="92"/>
        <v>326</v>
      </c>
      <c r="M205" s="77">
        <f t="shared" si="92"/>
        <v>534</v>
      </c>
      <c r="N205" s="77">
        <f t="shared" si="92"/>
        <v>562</v>
      </c>
    </row>
    <row r="206" spans="4:14">
      <c r="D206" s="77">
        <f t="shared" ref="D206:N206" si="93">D27</f>
        <v>686</v>
      </c>
      <c r="E206" s="77">
        <f t="shared" si="93"/>
        <v>932</v>
      </c>
      <c r="F206" s="77">
        <f t="shared" si="93"/>
        <v>525</v>
      </c>
      <c r="G206" s="77">
        <f t="shared" si="93"/>
        <v>314</v>
      </c>
      <c r="H206" s="77">
        <f t="shared" si="93"/>
        <v>596</v>
      </c>
      <c r="I206" s="77">
        <f t="shared" si="93"/>
        <v>344</v>
      </c>
      <c r="J206" s="77">
        <f t="shared" si="93"/>
        <v>0</v>
      </c>
      <c r="K206" s="77">
        <f t="shared" si="93"/>
        <v>344</v>
      </c>
      <c r="L206" s="77">
        <f t="shared" si="93"/>
        <v>322</v>
      </c>
      <c r="M206" s="77">
        <f t="shared" si="93"/>
        <v>502</v>
      </c>
      <c r="N206" s="77">
        <f t="shared" si="93"/>
        <v>0</v>
      </c>
    </row>
    <row r="207" spans="4:14">
      <c r="D207" s="77">
        <f t="shared" ref="D207:N207" si="94">D28</f>
        <v>345</v>
      </c>
      <c r="E207" s="77">
        <f t="shared" si="94"/>
        <v>790</v>
      </c>
      <c r="F207" s="77">
        <f t="shared" si="94"/>
        <v>0</v>
      </c>
      <c r="G207" s="77">
        <f t="shared" si="94"/>
        <v>169</v>
      </c>
      <c r="H207" s="77">
        <f t="shared" si="94"/>
        <v>594</v>
      </c>
      <c r="I207" s="77">
        <f t="shared" si="94"/>
        <v>277</v>
      </c>
      <c r="J207" s="77">
        <f t="shared" si="94"/>
        <v>0</v>
      </c>
      <c r="K207" s="77">
        <f t="shared" si="94"/>
        <v>277</v>
      </c>
      <c r="L207" s="77">
        <f t="shared" si="94"/>
        <v>270</v>
      </c>
      <c r="M207" s="77">
        <f t="shared" si="94"/>
        <v>505</v>
      </c>
      <c r="N207" s="77">
        <f t="shared" si="94"/>
        <v>154</v>
      </c>
    </row>
    <row r="208" spans="4:14">
      <c r="D208" s="77">
        <f t="shared" ref="D208:N208" si="95">D29</f>
        <v>357</v>
      </c>
      <c r="E208" s="77">
        <f t="shared" si="95"/>
        <v>746</v>
      </c>
      <c r="F208" s="77">
        <f t="shared" si="95"/>
        <v>0</v>
      </c>
      <c r="G208" s="77">
        <f t="shared" si="95"/>
        <v>217</v>
      </c>
      <c r="H208" s="77">
        <f t="shared" si="95"/>
        <v>643</v>
      </c>
      <c r="I208" s="77">
        <f t="shared" si="95"/>
        <v>212</v>
      </c>
      <c r="J208" s="77">
        <f t="shared" si="95"/>
        <v>154</v>
      </c>
      <c r="K208" s="77">
        <f t="shared" si="95"/>
        <v>212</v>
      </c>
      <c r="L208" s="77">
        <f t="shared" si="95"/>
        <v>288</v>
      </c>
      <c r="M208" s="77">
        <f t="shared" si="95"/>
        <v>483</v>
      </c>
      <c r="N208" s="77">
        <f t="shared" si="95"/>
        <v>453</v>
      </c>
    </row>
    <row r="209" spans="4:14">
      <c r="D209" s="77">
        <f t="shared" ref="D209:N209" si="96">D30</f>
        <v>578</v>
      </c>
      <c r="E209" s="77">
        <f t="shared" si="96"/>
        <v>801</v>
      </c>
      <c r="F209" s="77">
        <f t="shared" si="96"/>
        <v>410</v>
      </c>
      <c r="G209" s="77">
        <f t="shared" si="96"/>
        <v>302</v>
      </c>
      <c r="H209" s="77">
        <f t="shared" si="96"/>
        <v>575</v>
      </c>
      <c r="I209" s="77">
        <f t="shared" si="96"/>
        <v>213</v>
      </c>
      <c r="J209" s="77">
        <f t="shared" si="96"/>
        <v>307</v>
      </c>
      <c r="K209" s="77">
        <f t="shared" si="96"/>
        <v>307</v>
      </c>
      <c r="L209" s="77">
        <f t="shared" si="96"/>
        <v>285</v>
      </c>
      <c r="M209" s="77">
        <f t="shared" si="96"/>
        <v>460</v>
      </c>
      <c r="N209" s="77">
        <f t="shared" si="96"/>
        <v>41</v>
      </c>
    </row>
    <row r="210" spans="4:14">
      <c r="D210" s="77">
        <f t="shared" ref="D210:N210" si="97">D31</f>
        <v>500</v>
      </c>
      <c r="E210" s="77">
        <f t="shared" si="97"/>
        <v>728</v>
      </c>
      <c r="F210" s="77">
        <f t="shared" si="97"/>
        <v>418</v>
      </c>
      <c r="G210" s="77">
        <f t="shared" si="97"/>
        <v>308</v>
      </c>
      <c r="H210" s="77">
        <f t="shared" si="97"/>
        <v>436</v>
      </c>
      <c r="I210" s="77">
        <f t="shared" si="97"/>
        <v>0</v>
      </c>
      <c r="J210" s="77">
        <f t="shared" si="97"/>
        <v>130</v>
      </c>
      <c r="K210" s="77">
        <f t="shared" si="97"/>
        <v>130</v>
      </c>
      <c r="L210" s="77">
        <f t="shared" si="97"/>
        <v>276</v>
      </c>
      <c r="M210" s="77">
        <f t="shared" si="97"/>
        <v>400</v>
      </c>
      <c r="N210" s="77">
        <f t="shared" si="97"/>
        <v>413</v>
      </c>
    </row>
    <row r="211" spans="4:14">
      <c r="D211" s="77">
        <f t="shared" ref="D211:N211" si="98">D32</f>
        <v>605</v>
      </c>
      <c r="E211" s="77">
        <f t="shared" si="98"/>
        <v>779</v>
      </c>
      <c r="F211" s="77">
        <f t="shared" si="98"/>
        <v>472</v>
      </c>
      <c r="G211" s="77">
        <f t="shared" si="98"/>
        <v>346</v>
      </c>
      <c r="H211" s="77">
        <f t="shared" si="98"/>
        <v>480</v>
      </c>
      <c r="I211" s="77">
        <f t="shared" si="98"/>
        <v>483</v>
      </c>
      <c r="J211" s="77">
        <f t="shared" si="98"/>
        <v>764</v>
      </c>
      <c r="K211" s="77">
        <f t="shared" si="98"/>
        <v>764</v>
      </c>
      <c r="L211" s="77">
        <f t="shared" si="98"/>
        <v>291</v>
      </c>
      <c r="M211" s="77">
        <f t="shared" si="98"/>
        <v>447</v>
      </c>
      <c r="N211" s="77">
        <f t="shared" si="98"/>
        <v>408</v>
      </c>
    </row>
    <row r="212" spans="4:14">
      <c r="D212" s="77">
        <f t="shared" ref="D212:N212" si="99">D34</f>
        <v>670</v>
      </c>
      <c r="E212" s="77">
        <f t="shared" si="99"/>
        <v>915</v>
      </c>
      <c r="F212" s="77">
        <f t="shared" si="99"/>
        <v>449</v>
      </c>
      <c r="G212" s="77">
        <f t="shared" si="99"/>
        <v>324</v>
      </c>
      <c r="H212" s="77">
        <f t="shared" si="99"/>
        <v>559</v>
      </c>
      <c r="I212" s="77">
        <f t="shared" si="99"/>
        <v>0</v>
      </c>
      <c r="J212" s="77">
        <f t="shared" si="99"/>
        <v>0</v>
      </c>
      <c r="K212" s="77">
        <f t="shared" si="99"/>
        <v>0</v>
      </c>
      <c r="L212" s="77">
        <f t="shared" si="99"/>
        <v>318</v>
      </c>
      <c r="M212" s="77">
        <f t="shared" si="99"/>
        <v>534</v>
      </c>
      <c r="N212" s="77">
        <f t="shared" si="99"/>
        <v>552</v>
      </c>
    </row>
    <row r="213" spans="4:14">
      <c r="D213" s="77">
        <f t="shared" ref="D213:N213" si="100">D35</f>
        <v>648</v>
      </c>
      <c r="E213" s="77">
        <f t="shared" si="100"/>
        <v>943</v>
      </c>
      <c r="F213" s="77">
        <f t="shared" si="100"/>
        <v>488</v>
      </c>
      <c r="G213" s="77">
        <f t="shared" si="100"/>
        <v>316</v>
      </c>
      <c r="H213" s="77">
        <f t="shared" si="100"/>
        <v>571</v>
      </c>
      <c r="I213" s="77">
        <f t="shared" si="100"/>
        <v>314</v>
      </c>
      <c r="J213" s="77">
        <f t="shared" si="100"/>
        <v>0</v>
      </c>
      <c r="K213" s="77">
        <f t="shared" si="100"/>
        <v>314</v>
      </c>
      <c r="L213" s="77">
        <f t="shared" si="100"/>
        <v>323</v>
      </c>
      <c r="M213" s="77">
        <f t="shared" si="100"/>
        <v>492</v>
      </c>
      <c r="N213" s="77">
        <f t="shared" si="100"/>
        <v>0</v>
      </c>
    </row>
    <row r="214" spans="4:14">
      <c r="D214" s="77">
        <f t="shared" ref="D214:N214" si="101">D36</f>
        <v>253</v>
      </c>
      <c r="E214" s="77">
        <f t="shared" si="101"/>
        <v>603</v>
      </c>
      <c r="F214" s="77">
        <f t="shared" si="101"/>
        <v>0</v>
      </c>
      <c r="G214" s="77">
        <f t="shared" si="101"/>
        <v>174</v>
      </c>
      <c r="H214" s="77">
        <f t="shared" si="101"/>
        <v>542</v>
      </c>
      <c r="I214" s="77">
        <f t="shared" si="101"/>
        <v>237</v>
      </c>
      <c r="J214" s="77">
        <f t="shared" si="101"/>
        <v>0</v>
      </c>
      <c r="K214" s="77">
        <f t="shared" si="101"/>
        <v>237</v>
      </c>
      <c r="L214" s="77">
        <f t="shared" si="101"/>
        <v>270</v>
      </c>
      <c r="M214" s="77">
        <f t="shared" si="101"/>
        <v>471</v>
      </c>
      <c r="N214" s="77">
        <f t="shared" si="101"/>
        <v>151</v>
      </c>
    </row>
    <row r="215" spans="4:14">
      <c r="D215" s="77">
        <f t="shared" ref="D215:N215" si="102">D37</f>
        <v>405</v>
      </c>
      <c r="E215" s="77">
        <f t="shared" si="102"/>
        <v>772</v>
      </c>
      <c r="F215" s="77">
        <f t="shared" si="102"/>
        <v>279</v>
      </c>
      <c r="G215" s="77">
        <f t="shared" si="102"/>
        <v>216</v>
      </c>
      <c r="H215" s="77">
        <f t="shared" si="102"/>
        <v>574</v>
      </c>
      <c r="I215" s="77">
        <f t="shared" si="102"/>
        <v>202</v>
      </c>
      <c r="J215" s="77">
        <f t="shared" si="102"/>
        <v>142</v>
      </c>
      <c r="K215" s="77">
        <f t="shared" si="102"/>
        <v>202</v>
      </c>
      <c r="L215" s="77">
        <f t="shared" si="102"/>
        <v>254</v>
      </c>
      <c r="M215" s="77">
        <f t="shared" si="102"/>
        <v>387</v>
      </c>
      <c r="N215" s="77">
        <f t="shared" si="102"/>
        <v>454</v>
      </c>
    </row>
    <row r="216" spans="4:14">
      <c r="D216" s="77">
        <f t="shared" ref="D216:N216" si="103">D38</f>
        <v>488</v>
      </c>
      <c r="E216" s="77">
        <f t="shared" si="103"/>
        <v>739</v>
      </c>
      <c r="F216" s="77">
        <f t="shared" si="103"/>
        <v>377</v>
      </c>
      <c r="G216" s="77">
        <f t="shared" si="103"/>
        <v>298</v>
      </c>
      <c r="H216" s="77">
        <f t="shared" si="103"/>
        <v>494</v>
      </c>
      <c r="I216" s="77">
        <f t="shared" si="103"/>
        <v>217</v>
      </c>
      <c r="J216" s="77">
        <f t="shared" si="103"/>
        <v>217</v>
      </c>
      <c r="K216" s="77">
        <f t="shared" si="103"/>
        <v>217</v>
      </c>
      <c r="L216" s="77">
        <f t="shared" si="103"/>
        <v>282</v>
      </c>
      <c r="M216" s="77">
        <f t="shared" si="103"/>
        <v>443</v>
      </c>
      <c r="N216" s="77">
        <f t="shared" si="103"/>
        <v>136</v>
      </c>
    </row>
    <row r="217" spans="4:14">
      <c r="D217" s="77">
        <f t="shared" ref="D217:N217" si="104">D39</f>
        <v>413</v>
      </c>
      <c r="E217" s="77">
        <f t="shared" si="104"/>
        <v>653</v>
      </c>
      <c r="F217" s="77">
        <f t="shared" si="104"/>
        <v>351</v>
      </c>
      <c r="G217" s="77">
        <f t="shared" si="104"/>
        <v>301</v>
      </c>
      <c r="H217" s="77">
        <f t="shared" si="104"/>
        <v>394</v>
      </c>
      <c r="I217" s="77">
        <f t="shared" si="104"/>
        <v>195</v>
      </c>
      <c r="J217" s="77">
        <f t="shared" si="104"/>
        <v>282</v>
      </c>
      <c r="K217" s="77">
        <f t="shared" si="104"/>
        <v>282</v>
      </c>
      <c r="L217" s="77">
        <f t="shared" si="104"/>
        <v>268</v>
      </c>
      <c r="M217" s="77">
        <f t="shared" si="104"/>
        <v>396</v>
      </c>
      <c r="N217" s="77">
        <f t="shared" si="104"/>
        <v>406</v>
      </c>
    </row>
    <row r="218" spans="4:14">
      <c r="D218" s="77">
        <f t="shared" ref="D218:N218" si="105">D40</f>
        <v>525</v>
      </c>
      <c r="E218" s="77">
        <f t="shared" si="105"/>
        <v>756</v>
      </c>
      <c r="F218" s="77">
        <f t="shared" si="105"/>
        <v>417</v>
      </c>
      <c r="G218" s="77">
        <f t="shared" si="105"/>
        <v>343</v>
      </c>
      <c r="H218" s="77">
        <f t="shared" si="105"/>
        <v>446</v>
      </c>
      <c r="I218" s="77">
        <f t="shared" si="105"/>
        <v>457</v>
      </c>
      <c r="J218" s="77">
        <f t="shared" si="105"/>
        <v>702</v>
      </c>
      <c r="K218" s="77">
        <f t="shared" si="105"/>
        <v>702</v>
      </c>
      <c r="L218" s="77">
        <f t="shared" si="105"/>
        <v>281</v>
      </c>
      <c r="M218" s="77">
        <f t="shared" si="105"/>
        <v>438</v>
      </c>
      <c r="N218" s="77">
        <f t="shared" si="105"/>
        <v>398</v>
      </c>
    </row>
    <row r="219" spans="4:14">
      <c r="D219" s="77">
        <f t="shared" ref="D219:N219" si="106">D42</f>
        <v>586</v>
      </c>
      <c r="E219" s="77">
        <f t="shared" si="106"/>
        <v>910</v>
      </c>
      <c r="F219" s="77">
        <f t="shared" si="106"/>
        <v>445</v>
      </c>
      <c r="G219" s="77">
        <f t="shared" si="106"/>
        <v>329</v>
      </c>
      <c r="H219" s="77">
        <f t="shared" si="106"/>
        <v>646</v>
      </c>
      <c r="I219" s="77">
        <f t="shared" si="106"/>
        <v>0</v>
      </c>
      <c r="J219" s="77">
        <f t="shared" si="106"/>
        <v>0</v>
      </c>
      <c r="K219" s="77">
        <f t="shared" si="106"/>
        <v>0</v>
      </c>
      <c r="L219" s="77">
        <f t="shared" si="106"/>
        <v>296</v>
      </c>
      <c r="M219" s="77">
        <f t="shared" si="106"/>
        <v>553</v>
      </c>
      <c r="N219" s="77">
        <f t="shared" si="106"/>
        <v>566</v>
      </c>
    </row>
    <row r="220" spans="4:14">
      <c r="D220" s="77">
        <f t="shared" ref="D220:N220" si="107">D43</f>
        <v>528</v>
      </c>
      <c r="E220" s="77">
        <f t="shared" si="107"/>
        <v>896</v>
      </c>
      <c r="F220" s="77">
        <f t="shared" si="107"/>
        <v>348</v>
      </c>
      <c r="G220" s="77">
        <f t="shared" si="107"/>
        <v>313</v>
      </c>
      <c r="H220" s="77">
        <f t="shared" si="107"/>
        <v>556</v>
      </c>
      <c r="I220" s="77">
        <f t="shared" si="107"/>
        <v>399</v>
      </c>
      <c r="J220" s="77">
        <f t="shared" si="107"/>
        <v>0</v>
      </c>
      <c r="K220" s="77">
        <f t="shared" si="107"/>
        <v>399</v>
      </c>
      <c r="L220" s="77">
        <f t="shared" si="107"/>
        <v>304</v>
      </c>
      <c r="M220" s="77">
        <f t="shared" si="107"/>
        <v>461</v>
      </c>
      <c r="N220" s="77">
        <f t="shared" si="107"/>
        <v>523</v>
      </c>
    </row>
    <row r="221" spans="4:14">
      <c r="D221" s="77">
        <f t="shared" ref="D221:N221" si="108">D44</f>
        <v>237</v>
      </c>
      <c r="E221" s="77">
        <f t="shared" si="108"/>
        <v>532</v>
      </c>
      <c r="F221" s="77">
        <f t="shared" si="108"/>
        <v>171</v>
      </c>
      <c r="G221" s="77">
        <f t="shared" si="108"/>
        <v>178</v>
      </c>
      <c r="H221" s="77">
        <f t="shared" si="108"/>
        <v>482</v>
      </c>
      <c r="I221" s="77">
        <f t="shared" si="108"/>
        <v>219</v>
      </c>
      <c r="J221" s="77">
        <f t="shared" si="108"/>
        <v>0</v>
      </c>
      <c r="K221" s="77">
        <f t="shared" si="108"/>
        <v>219</v>
      </c>
      <c r="L221" s="77">
        <f t="shared" si="108"/>
        <v>273</v>
      </c>
      <c r="M221" s="77">
        <f t="shared" si="108"/>
        <v>440</v>
      </c>
      <c r="N221" s="77">
        <f t="shared" si="108"/>
        <v>144</v>
      </c>
    </row>
    <row r="222" spans="4:14">
      <c r="D222" s="77">
        <f t="shared" ref="D222:N222" si="109">D45</f>
        <v>305</v>
      </c>
      <c r="E222" s="77">
        <f t="shared" si="109"/>
        <v>739</v>
      </c>
      <c r="F222" s="77">
        <f t="shared" si="109"/>
        <v>246</v>
      </c>
      <c r="G222" s="77">
        <f t="shared" si="109"/>
        <v>211</v>
      </c>
      <c r="H222" s="77">
        <f t="shared" si="109"/>
        <v>557</v>
      </c>
      <c r="I222" s="77">
        <f t="shared" si="109"/>
        <v>182</v>
      </c>
      <c r="J222" s="77">
        <f t="shared" si="109"/>
        <v>130</v>
      </c>
      <c r="K222" s="77">
        <f t="shared" si="109"/>
        <v>182</v>
      </c>
      <c r="L222" s="77">
        <f t="shared" si="109"/>
        <v>254</v>
      </c>
      <c r="M222" s="77">
        <f t="shared" si="109"/>
        <v>368</v>
      </c>
      <c r="N222" s="77">
        <f t="shared" si="109"/>
        <v>449</v>
      </c>
    </row>
    <row r="223" spans="4:14">
      <c r="D223" s="77">
        <f t="shared" ref="D223:N223" si="110">D46</f>
        <v>353</v>
      </c>
      <c r="E223" s="77">
        <f t="shared" si="110"/>
        <v>662</v>
      </c>
      <c r="F223" s="77">
        <f t="shared" si="110"/>
        <v>255</v>
      </c>
      <c r="G223" s="77">
        <f t="shared" si="110"/>
        <v>271</v>
      </c>
      <c r="H223" s="77">
        <f t="shared" si="110"/>
        <v>486</v>
      </c>
      <c r="I223" s="77">
        <f t="shared" si="110"/>
        <v>206</v>
      </c>
      <c r="J223" s="77">
        <f t="shared" si="110"/>
        <v>206</v>
      </c>
      <c r="K223" s="77">
        <f t="shared" si="110"/>
        <v>206</v>
      </c>
      <c r="L223" s="77">
        <f t="shared" si="110"/>
        <v>281</v>
      </c>
      <c r="M223" s="77">
        <f t="shared" si="110"/>
        <v>424</v>
      </c>
      <c r="N223" s="77">
        <f t="shared" si="110"/>
        <v>88</v>
      </c>
    </row>
    <row r="224" spans="4:14">
      <c r="D224" s="77">
        <f t="shared" ref="D224:N224" si="111">D47</f>
        <v>392</v>
      </c>
      <c r="E224" s="77">
        <f t="shared" si="111"/>
        <v>633</v>
      </c>
      <c r="F224" s="77">
        <f t="shared" si="111"/>
        <v>348</v>
      </c>
      <c r="G224" s="77">
        <f t="shared" si="111"/>
        <v>294</v>
      </c>
      <c r="H224" s="77">
        <f t="shared" si="111"/>
        <v>347</v>
      </c>
      <c r="I224" s="77">
        <f t="shared" si="111"/>
        <v>500</v>
      </c>
      <c r="J224" s="77">
        <f t="shared" si="111"/>
        <v>0</v>
      </c>
      <c r="K224" s="77">
        <f t="shared" si="111"/>
        <v>500</v>
      </c>
      <c r="L224" s="77">
        <f t="shared" si="111"/>
        <v>270</v>
      </c>
      <c r="M224" s="77">
        <f t="shared" si="111"/>
        <v>412</v>
      </c>
      <c r="N224" s="77">
        <f t="shared" si="111"/>
        <v>391</v>
      </c>
    </row>
    <row r="225" spans="4:14">
      <c r="D225" s="77">
        <f t="shared" ref="D225:N225" si="112">D48</f>
        <v>383</v>
      </c>
      <c r="E225" s="77">
        <f t="shared" si="112"/>
        <v>997</v>
      </c>
      <c r="F225" s="77">
        <f t="shared" si="112"/>
        <v>332</v>
      </c>
      <c r="G225" s="77">
        <f t="shared" si="112"/>
        <v>316</v>
      </c>
      <c r="H225" s="77">
        <f t="shared" si="112"/>
        <v>358</v>
      </c>
      <c r="I225" s="77">
        <f t="shared" si="112"/>
        <v>0</v>
      </c>
      <c r="J225" s="77">
        <f t="shared" si="112"/>
        <v>0</v>
      </c>
      <c r="K225" s="77">
        <f t="shared" si="112"/>
        <v>0</v>
      </c>
      <c r="L225" s="77">
        <f t="shared" si="112"/>
        <v>0</v>
      </c>
      <c r="M225" s="77">
        <f t="shared" si="112"/>
        <v>0</v>
      </c>
      <c r="N225" s="77">
        <f t="shared" si="112"/>
        <v>0</v>
      </c>
    </row>
    <row r="226" spans="4:14">
      <c r="D226" s="77">
        <f t="shared" ref="D226:N226" si="113">D50</f>
        <v>589</v>
      </c>
      <c r="E226" s="77">
        <f t="shared" si="113"/>
        <v>895</v>
      </c>
      <c r="F226" s="77">
        <f t="shared" si="113"/>
        <v>504</v>
      </c>
      <c r="G226" s="77">
        <f t="shared" si="113"/>
        <v>315</v>
      </c>
      <c r="H226" s="77">
        <f t="shared" si="113"/>
        <v>0</v>
      </c>
      <c r="I226" s="77">
        <f t="shared" si="113"/>
        <v>0</v>
      </c>
      <c r="J226" s="77">
        <f t="shared" si="113"/>
        <v>0</v>
      </c>
      <c r="K226" s="77">
        <f t="shared" si="113"/>
        <v>0</v>
      </c>
      <c r="L226" s="77">
        <f t="shared" si="113"/>
        <v>307</v>
      </c>
      <c r="M226" s="77">
        <f t="shared" si="113"/>
        <v>507</v>
      </c>
      <c r="N226" s="77">
        <f t="shared" si="113"/>
        <v>266</v>
      </c>
    </row>
    <row r="227" spans="4:14">
      <c r="D227" s="77">
        <f t="shared" ref="D227:N227" si="114">D51</f>
        <v>506</v>
      </c>
      <c r="E227" s="77">
        <f t="shared" si="114"/>
        <v>798</v>
      </c>
      <c r="F227" s="77">
        <f t="shared" si="114"/>
        <v>365</v>
      </c>
      <c r="G227" s="77">
        <f t="shared" si="114"/>
        <v>292</v>
      </c>
      <c r="H227" s="77">
        <f t="shared" si="114"/>
        <v>425</v>
      </c>
      <c r="I227" s="77">
        <f t="shared" si="114"/>
        <v>254</v>
      </c>
      <c r="J227" s="77">
        <f t="shared" si="114"/>
        <v>0</v>
      </c>
      <c r="K227" s="77">
        <f t="shared" si="114"/>
        <v>254</v>
      </c>
      <c r="L227" s="77">
        <f t="shared" si="114"/>
        <v>294</v>
      </c>
      <c r="M227" s="77">
        <f t="shared" si="114"/>
        <v>481</v>
      </c>
      <c r="N227" s="77">
        <f t="shared" si="114"/>
        <v>493</v>
      </c>
    </row>
    <row r="228" spans="4:14">
      <c r="D228" s="77">
        <f t="shared" ref="D228:N228" si="115">D52</f>
        <v>228</v>
      </c>
      <c r="E228" s="77">
        <f t="shared" si="115"/>
        <v>614</v>
      </c>
      <c r="F228" s="77">
        <f t="shared" si="115"/>
        <v>164</v>
      </c>
      <c r="G228" s="77">
        <f t="shared" si="115"/>
        <v>171</v>
      </c>
      <c r="H228" s="77">
        <f t="shared" si="115"/>
        <v>435</v>
      </c>
      <c r="I228" s="77">
        <f t="shared" si="115"/>
        <v>202</v>
      </c>
      <c r="J228" s="77">
        <f t="shared" si="115"/>
        <v>0</v>
      </c>
      <c r="K228" s="77">
        <f t="shared" si="115"/>
        <v>202</v>
      </c>
      <c r="L228" s="77">
        <f t="shared" si="115"/>
        <v>243</v>
      </c>
      <c r="M228" s="77">
        <f t="shared" si="115"/>
        <v>411</v>
      </c>
      <c r="N228" s="77">
        <f t="shared" si="115"/>
        <v>402</v>
      </c>
    </row>
    <row r="229" spans="4:14">
      <c r="D229" s="77">
        <f t="shared" ref="D229:N229" si="116">D53</f>
        <v>301</v>
      </c>
      <c r="E229" s="77">
        <f t="shared" si="116"/>
        <v>730</v>
      </c>
      <c r="F229" s="77">
        <f t="shared" si="116"/>
        <v>217</v>
      </c>
      <c r="G229" s="77">
        <f t="shared" si="116"/>
        <v>217</v>
      </c>
      <c r="H229" s="77">
        <f t="shared" si="116"/>
        <v>599</v>
      </c>
      <c r="I229" s="77">
        <f t="shared" si="116"/>
        <v>0</v>
      </c>
      <c r="J229" s="77">
        <f t="shared" si="116"/>
        <v>97</v>
      </c>
      <c r="K229" s="77">
        <f t="shared" si="116"/>
        <v>97</v>
      </c>
      <c r="L229" s="77">
        <f t="shared" si="116"/>
        <v>238</v>
      </c>
      <c r="M229" s="77">
        <f t="shared" si="116"/>
        <v>354</v>
      </c>
      <c r="N229" s="77">
        <f t="shared" si="116"/>
        <v>0</v>
      </c>
    </row>
    <row r="230" spans="4:14">
      <c r="D230" s="77">
        <f t="shared" ref="D230:N230" si="117">D54</f>
        <v>329</v>
      </c>
      <c r="E230" s="77">
        <f t="shared" si="117"/>
        <v>669</v>
      </c>
      <c r="F230" s="77">
        <f t="shared" si="117"/>
        <v>224</v>
      </c>
      <c r="G230" s="77">
        <f t="shared" si="117"/>
        <v>258</v>
      </c>
      <c r="H230" s="77">
        <f t="shared" si="117"/>
        <v>474</v>
      </c>
      <c r="I230" s="77">
        <f t="shared" si="117"/>
        <v>206</v>
      </c>
      <c r="J230" s="77">
        <f t="shared" si="117"/>
        <v>222</v>
      </c>
      <c r="K230" s="77">
        <f t="shared" si="117"/>
        <v>222</v>
      </c>
      <c r="L230" s="77">
        <f t="shared" si="117"/>
        <v>269</v>
      </c>
      <c r="M230" s="77">
        <f t="shared" si="117"/>
        <v>404</v>
      </c>
      <c r="N230" s="77">
        <f t="shared" si="117"/>
        <v>193</v>
      </c>
    </row>
    <row r="231" spans="4:14">
      <c r="D231" s="77">
        <f t="shared" ref="D231:N231" si="118">D55</f>
        <v>377</v>
      </c>
      <c r="E231" s="77">
        <f t="shared" si="118"/>
        <v>593</v>
      </c>
      <c r="F231" s="77">
        <f t="shared" si="118"/>
        <v>347</v>
      </c>
      <c r="G231" s="77">
        <f t="shared" si="118"/>
        <v>297</v>
      </c>
      <c r="H231" s="77">
        <f t="shared" si="118"/>
        <v>327</v>
      </c>
      <c r="I231" s="77">
        <f t="shared" si="118"/>
        <v>500</v>
      </c>
      <c r="J231" s="77">
        <f t="shared" si="118"/>
        <v>500</v>
      </c>
      <c r="K231" s="77">
        <f t="shared" si="118"/>
        <v>500</v>
      </c>
      <c r="L231" s="77">
        <f t="shared" si="118"/>
        <v>270</v>
      </c>
      <c r="M231" s="77">
        <f t="shared" si="118"/>
        <v>415</v>
      </c>
      <c r="N231" s="77">
        <f t="shared" si="118"/>
        <v>394</v>
      </c>
    </row>
    <row r="232" spans="4:14">
      <c r="D232" s="77">
        <f t="shared" ref="D232:N232" si="119">D56</f>
        <v>412</v>
      </c>
      <c r="E232" s="77">
        <f t="shared" si="119"/>
        <v>682</v>
      </c>
      <c r="F232" s="77">
        <f t="shared" si="119"/>
        <v>0</v>
      </c>
      <c r="G232" s="77">
        <f t="shared" si="119"/>
        <v>310</v>
      </c>
      <c r="H232" s="77">
        <f t="shared" si="119"/>
        <v>0</v>
      </c>
      <c r="I232" s="77">
        <f t="shared" si="119"/>
        <v>540</v>
      </c>
      <c r="J232" s="77">
        <f t="shared" si="119"/>
        <v>373</v>
      </c>
      <c r="K232" s="77">
        <f t="shared" si="119"/>
        <v>540</v>
      </c>
      <c r="L232" s="77">
        <f t="shared" si="119"/>
        <v>0</v>
      </c>
      <c r="M232" s="77">
        <f t="shared" si="119"/>
        <v>0</v>
      </c>
      <c r="N232" s="77">
        <f t="shared" si="119"/>
        <v>0</v>
      </c>
    </row>
    <row r="233" spans="4:14">
      <c r="D233" s="77">
        <f t="shared" ref="D233:N233" si="120">D58</f>
        <v>669</v>
      </c>
      <c r="E233" s="77">
        <f t="shared" si="120"/>
        <v>924</v>
      </c>
      <c r="F233" s="77">
        <f t="shared" si="120"/>
        <v>562</v>
      </c>
      <c r="G233" s="77">
        <f t="shared" si="120"/>
        <v>315</v>
      </c>
      <c r="H233" s="77">
        <f t="shared" si="120"/>
        <v>626</v>
      </c>
      <c r="I233" s="77">
        <f t="shared" si="120"/>
        <v>0</v>
      </c>
      <c r="J233" s="77">
        <f t="shared" si="120"/>
        <v>0</v>
      </c>
      <c r="K233" s="77">
        <f t="shared" si="120"/>
        <v>0</v>
      </c>
      <c r="L233" s="77">
        <f t="shared" si="120"/>
        <v>318</v>
      </c>
      <c r="M233" s="77">
        <f t="shared" si="120"/>
        <v>507</v>
      </c>
      <c r="N233" s="77">
        <f t="shared" si="120"/>
        <v>587</v>
      </c>
    </row>
    <row r="234" spans="4:14">
      <c r="D234" s="77">
        <f t="shared" ref="D234:N234" si="121">D59</f>
        <v>720</v>
      </c>
      <c r="E234" s="77">
        <f t="shared" si="121"/>
        <v>899</v>
      </c>
      <c r="F234" s="77">
        <f t="shared" si="121"/>
        <v>543</v>
      </c>
      <c r="G234" s="77">
        <f t="shared" si="121"/>
        <v>342</v>
      </c>
      <c r="H234" s="77">
        <f t="shared" si="121"/>
        <v>662</v>
      </c>
      <c r="I234" s="77">
        <f t="shared" si="121"/>
        <v>301</v>
      </c>
      <c r="J234" s="77">
        <f t="shared" si="121"/>
        <v>0</v>
      </c>
      <c r="K234" s="77">
        <f t="shared" si="121"/>
        <v>301</v>
      </c>
      <c r="L234" s="77">
        <f t="shared" si="121"/>
        <v>282</v>
      </c>
      <c r="M234" s="77">
        <f t="shared" si="121"/>
        <v>497</v>
      </c>
      <c r="N234" s="77">
        <f t="shared" si="121"/>
        <v>555</v>
      </c>
    </row>
    <row r="235" spans="4:14">
      <c r="D235" s="77">
        <f t="shared" ref="D235:N235" si="122">D60</f>
        <v>371</v>
      </c>
      <c r="E235" s="77">
        <f t="shared" si="122"/>
        <v>685</v>
      </c>
      <c r="F235" s="77">
        <f t="shared" si="122"/>
        <v>280</v>
      </c>
      <c r="G235" s="77">
        <f t="shared" si="122"/>
        <v>223</v>
      </c>
      <c r="H235" s="77">
        <f t="shared" si="122"/>
        <v>594</v>
      </c>
      <c r="I235" s="77">
        <f t="shared" si="122"/>
        <v>312</v>
      </c>
      <c r="J235" s="77">
        <f t="shared" si="122"/>
        <v>0</v>
      </c>
      <c r="K235" s="77">
        <f t="shared" si="122"/>
        <v>312</v>
      </c>
      <c r="L235" s="77">
        <f t="shared" si="122"/>
        <v>275</v>
      </c>
      <c r="M235" s="77">
        <f t="shared" si="122"/>
        <v>460</v>
      </c>
      <c r="N235" s="77">
        <f t="shared" si="122"/>
        <v>451</v>
      </c>
    </row>
    <row r="236" spans="4:14">
      <c r="D236" s="77">
        <f t="shared" ref="D236:N236" si="123">D61</f>
        <v>543</v>
      </c>
      <c r="E236" s="77">
        <f t="shared" si="123"/>
        <v>724</v>
      </c>
      <c r="F236" s="77">
        <f t="shared" si="123"/>
        <v>321</v>
      </c>
      <c r="G236" s="77">
        <f t="shared" si="123"/>
        <v>231</v>
      </c>
      <c r="H236" s="77">
        <f t="shared" si="123"/>
        <v>603</v>
      </c>
      <c r="I236" s="77">
        <f t="shared" si="123"/>
        <v>163</v>
      </c>
      <c r="J236" s="77">
        <f t="shared" si="123"/>
        <v>264</v>
      </c>
      <c r="K236" s="77">
        <f t="shared" si="123"/>
        <v>264</v>
      </c>
      <c r="L236" s="77">
        <f t="shared" si="123"/>
        <v>262</v>
      </c>
      <c r="M236" s="77">
        <f t="shared" si="123"/>
        <v>362</v>
      </c>
      <c r="N236" s="77">
        <f t="shared" si="123"/>
        <v>406</v>
      </c>
    </row>
    <row r="237" spans="4:14">
      <c r="D237" s="77">
        <f t="shared" ref="D237:N237" si="124">D62</f>
        <v>474</v>
      </c>
      <c r="E237" s="77">
        <f t="shared" si="124"/>
        <v>710</v>
      </c>
      <c r="F237" s="77">
        <f t="shared" si="124"/>
        <v>329</v>
      </c>
      <c r="G237" s="77">
        <f t="shared" si="124"/>
        <v>283</v>
      </c>
      <c r="H237" s="77">
        <f t="shared" si="124"/>
        <v>497</v>
      </c>
      <c r="I237" s="77">
        <f t="shared" si="124"/>
        <v>234</v>
      </c>
      <c r="J237" s="77">
        <f t="shared" si="124"/>
        <v>395</v>
      </c>
      <c r="K237" s="77">
        <f t="shared" si="124"/>
        <v>395</v>
      </c>
      <c r="L237" s="77">
        <f t="shared" si="124"/>
        <v>264</v>
      </c>
      <c r="M237" s="77">
        <f t="shared" si="124"/>
        <v>416</v>
      </c>
      <c r="N237" s="77">
        <f t="shared" si="124"/>
        <v>414</v>
      </c>
    </row>
    <row r="238" spans="4:14">
      <c r="D238" s="77">
        <f t="shared" ref="D238:N238" si="125">D63</f>
        <v>476</v>
      </c>
      <c r="E238" s="77">
        <f t="shared" si="125"/>
        <v>695</v>
      </c>
      <c r="F238" s="77">
        <f t="shared" si="125"/>
        <v>408</v>
      </c>
      <c r="G238" s="77">
        <f t="shared" si="125"/>
        <v>264</v>
      </c>
      <c r="H238" s="77">
        <f t="shared" si="125"/>
        <v>396</v>
      </c>
      <c r="I238" s="77">
        <f t="shared" si="125"/>
        <v>397</v>
      </c>
      <c r="J238" s="77">
        <f t="shared" si="125"/>
        <v>626</v>
      </c>
      <c r="K238" s="77">
        <f t="shared" si="125"/>
        <v>626</v>
      </c>
      <c r="L238" s="77">
        <f t="shared" si="125"/>
        <v>270</v>
      </c>
      <c r="M238" s="77">
        <f t="shared" si="125"/>
        <v>435</v>
      </c>
      <c r="N238" s="77">
        <f t="shared" si="125"/>
        <v>482.6</v>
      </c>
    </row>
    <row r="239" spans="4:14">
      <c r="D239" s="77">
        <f t="shared" ref="D239:N239" si="126">D64</f>
        <v>0</v>
      </c>
      <c r="E239" s="77">
        <f t="shared" si="126"/>
        <v>0</v>
      </c>
      <c r="F239" s="77">
        <f t="shared" si="126"/>
        <v>0</v>
      </c>
      <c r="G239" s="77">
        <f t="shared" si="126"/>
        <v>0</v>
      </c>
      <c r="H239" s="77">
        <f t="shared" si="126"/>
        <v>0</v>
      </c>
      <c r="I239" s="77">
        <f t="shared" si="126"/>
        <v>0</v>
      </c>
      <c r="J239" s="77">
        <f t="shared" si="126"/>
        <v>0</v>
      </c>
      <c r="K239" s="77">
        <f t="shared" si="126"/>
        <v>0</v>
      </c>
      <c r="L239" s="77">
        <f t="shared" si="126"/>
        <v>0</v>
      </c>
      <c r="M239" s="77">
        <f t="shared" si="126"/>
        <v>0</v>
      </c>
      <c r="N239" s="77">
        <f t="shared" si="126"/>
        <v>0</v>
      </c>
    </row>
    <row r="240" spans="4:14">
      <c r="D240" s="77">
        <f t="shared" ref="D240:N240" si="127">D66</f>
        <v>0</v>
      </c>
      <c r="E240" s="77">
        <f t="shared" si="127"/>
        <v>0</v>
      </c>
      <c r="F240" s="77">
        <f t="shared" si="127"/>
        <v>0</v>
      </c>
      <c r="G240" s="77">
        <f t="shared" si="127"/>
        <v>0</v>
      </c>
      <c r="H240" s="77">
        <f t="shared" si="127"/>
        <v>0</v>
      </c>
      <c r="I240" s="77">
        <f t="shared" si="127"/>
        <v>0</v>
      </c>
      <c r="J240" s="77">
        <f t="shared" si="127"/>
        <v>0</v>
      </c>
      <c r="K240" s="77">
        <f t="shared" si="127"/>
        <v>0</v>
      </c>
      <c r="L240" s="77">
        <f t="shared" si="127"/>
        <v>0</v>
      </c>
      <c r="M240" s="77">
        <f t="shared" si="127"/>
        <v>0</v>
      </c>
      <c r="N240" s="77">
        <f t="shared" si="127"/>
        <v>0</v>
      </c>
    </row>
    <row r="241" spans="4:14">
      <c r="D241" s="77">
        <f t="shared" ref="D241:N241" si="128">D67</f>
        <v>846</v>
      </c>
      <c r="E241" s="77">
        <f t="shared" si="128"/>
        <v>964</v>
      </c>
      <c r="F241" s="77">
        <f t="shared" si="128"/>
        <v>682</v>
      </c>
      <c r="G241" s="77">
        <f t="shared" si="128"/>
        <v>341</v>
      </c>
      <c r="H241" s="77">
        <f t="shared" si="128"/>
        <v>665</v>
      </c>
      <c r="I241" s="77">
        <f t="shared" si="128"/>
        <v>0</v>
      </c>
      <c r="J241" s="77">
        <f t="shared" si="128"/>
        <v>0</v>
      </c>
      <c r="K241" s="77">
        <f t="shared" si="128"/>
        <v>0</v>
      </c>
      <c r="L241" s="77">
        <f t="shared" si="128"/>
        <v>320</v>
      </c>
      <c r="M241" s="77">
        <f t="shared" si="128"/>
        <v>507</v>
      </c>
      <c r="N241" s="77">
        <f t="shared" si="128"/>
        <v>615</v>
      </c>
    </row>
    <row r="242" spans="4:14">
      <c r="D242" s="77">
        <f t="shared" ref="D242:N242" si="129">D68</f>
        <v>749</v>
      </c>
      <c r="E242" s="77">
        <f t="shared" si="129"/>
        <v>928</v>
      </c>
      <c r="F242" s="77">
        <f t="shared" si="129"/>
        <v>594</v>
      </c>
      <c r="G242" s="77">
        <f t="shared" si="129"/>
        <v>343</v>
      </c>
      <c r="H242" s="77">
        <f t="shared" si="129"/>
        <v>732</v>
      </c>
      <c r="I242" s="77">
        <f t="shared" si="129"/>
        <v>592</v>
      </c>
      <c r="J242" s="77">
        <f t="shared" si="129"/>
        <v>0</v>
      </c>
      <c r="K242" s="77">
        <f t="shared" si="129"/>
        <v>592</v>
      </c>
      <c r="L242" s="77">
        <f t="shared" si="129"/>
        <v>324</v>
      </c>
      <c r="M242" s="77">
        <f t="shared" si="129"/>
        <v>493</v>
      </c>
      <c r="N242" s="77">
        <f t="shared" si="129"/>
        <v>535</v>
      </c>
    </row>
    <row r="243" spans="4:14">
      <c r="D243" s="77">
        <f t="shared" ref="D243:N243" si="130">D69</f>
        <v>534</v>
      </c>
      <c r="E243" s="77">
        <f t="shared" si="130"/>
        <v>747</v>
      </c>
      <c r="F243" s="77">
        <f t="shared" si="130"/>
        <v>120</v>
      </c>
      <c r="G243" s="77">
        <f t="shared" si="130"/>
        <v>251</v>
      </c>
      <c r="H243" s="77">
        <f t="shared" si="130"/>
        <v>684</v>
      </c>
      <c r="I243" s="77">
        <f t="shared" si="130"/>
        <v>448</v>
      </c>
      <c r="J243" s="77">
        <f t="shared" si="130"/>
        <v>0</v>
      </c>
      <c r="K243" s="77">
        <f t="shared" si="130"/>
        <v>448</v>
      </c>
      <c r="L243" s="77">
        <f t="shared" si="130"/>
        <v>280</v>
      </c>
      <c r="M243" s="77">
        <f t="shared" si="130"/>
        <v>485</v>
      </c>
      <c r="N243" s="77">
        <f t="shared" si="130"/>
        <v>479</v>
      </c>
    </row>
    <row r="244" spans="4:14">
      <c r="D244" s="77">
        <f t="shared" ref="D244:N244" si="131">D70</f>
        <v>584</v>
      </c>
      <c r="E244" s="77">
        <f t="shared" si="131"/>
        <v>748</v>
      </c>
      <c r="F244" s="77">
        <f t="shared" si="131"/>
        <v>430</v>
      </c>
      <c r="G244" s="77">
        <f t="shared" si="131"/>
        <v>251</v>
      </c>
      <c r="H244" s="77">
        <f t="shared" si="131"/>
        <v>699</v>
      </c>
      <c r="I244" s="77">
        <f t="shared" si="131"/>
        <v>224</v>
      </c>
      <c r="J244" s="77">
        <f t="shared" si="131"/>
        <v>431</v>
      </c>
      <c r="K244" s="77">
        <f t="shared" si="131"/>
        <v>431</v>
      </c>
      <c r="L244" s="77">
        <f t="shared" si="131"/>
        <v>283</v>
      </c>
      <c r="M244" s="77">
        <f t="shared" si="131"/>
        <v>463</v>
      </c>
      <c r="N244" s="77">
        <f t="shared" si="131"/>
        <v>431</v>
      </c>
    </row>
    <row r="245" spans="4:14">
      <c r="D245" s="77">
        <f t="shared" ref="D245:N245" si="132">D71</f>
        <v>554</v>
      </c>
      <c r="E245" s="77">
        <f t="shared" si="132"/>
        <v>694</v>
      </c>
      <c r="F245" s="77">
        <f t="shared" si="132"/>
        <v>445</v>
      </c>
      <c r="G245" s="77">
        <f t="shared" si="132"/>
        <v>296</v>
      </c>
      <c r="H245" s="77">
        <f t="shared" si="132"/>
        <v>542</v>
      </c>
      <c r="I245" s="77">
        <f t="shared" si="132"/>
        <v>363</v>
      </c>
      <c r="J245" s="77">
        <f t="shared" si="132"/>
        <v>0</v>
      </c>
      <c r="K245" s="77">
        <f t="shared" si="132"/>
        <v>363</v>
      </c>
      <c r="L245" s="77">
        <f t="shared" si="132"/>
        <v>273</v>
      </c>
      <c r="M245" s="77">
        <f t="shared" si="132"/>
        <v>439</v>
      </c>
      <c r="N245" s="77">
        <f t="shared" si="132"/>
        <v>50</v>
      </c>
    </row>
    <row r="246" spans="4:14">
      <c r="D246" s="77">
        <f t="shared" ref="D246:N246" si="133">D72</f>
        <v>728</v>
      </c>
      <c r="E246" s="77">
        <f t="shared" si="133"/>
        <v>770</v>
      </c>
      <c r="F246" s="77">
        <f t="shared" si="133"/>
        <v>598</v>
      </c>
      <c r="G246" s="77">
        <f t="shared" si="133"/>
        <v>296.39999999999998</v>
      </c>
      <c r="H246" s="77">
        <f t="shared" si="133"/>
        <v>534</v>
      </c>
      <c r="I246" s="77">
        <f t="shared" si="133"/>
        <v>263</v>
      </c>
      <c r="J246" s="77">
        <f t="shared" si="133"/>
        <v>431</v>
      </c>
      <c r="K246" s="77">
        <f t="shared" si="133"/>
        <v>431</v>
      </c>
      <c r="L246" s="77">
        <f t="shared" si="133"/>
        <v>320</v>
      </c>
      <c r="M246" s="77">
        <f t="shared" si="133"/>
        <v>514</v>
      </c>
      <c r="N246" s="77">
        <f t="shared" si="133"/>
        <v>515</v>
      </c>
    </row>
    <row r="247" spans="4:14">
      <c r="D247" s="77">
        <f t="shared" ref="D247:N247" si="134">D73</f>
        <v>0</v>
      </c>
      <c r="E247" s="77">
        <f t="shared" si="134"/>
        <v>0</v>
      </c>
      <c r="F247" s="77">
        <f t="shared" si="134"/>
        <v>0</v>
      </c>
      <c r="G247" s="77">
        <f t="shared" si="134"/>
        <v>0</v>
      </c>
      <c r="H247" s="77">
        <f t="shared" si="134"/>
        <v>0</v>
      </c>
      <c r="I247" s="77">
        <f t="shared" si="134"/>
        <v>0</v>
      </c>
      <c r="J247" s="77">
        <f t="shared" si="134"/>
        <v>0</v>
      </c>
      <c r="K247" s="77">
        <f t="shared" si="134"/>
        <v>0</v>
      </c>
      <c r="L247" s="77">
        <f t="shared" si="134"/>
        <v>0</v>
      </c>
      <c r="M247" s="77">
        <f t="shared" si="134"/>
        <v>0</v>
      </c>
      <c r="N247" s="77">
        <f t="shared" si="134"/>
        <v>0</v>
      </c>
    </row>
    <row r="248" spans="4:14">
      <c r="D248" s="77">
        <f t="shared" ref="D248:N248" si="135">D75</f>
        <v>0</v>
      </c>
      <c r="E248" s="77">
        <f t="shared" si="135"/>
        <v>0</v>
      </c>
      <c r="F248" s="77">
        <f t="shared" si="135"/>
        <v>0</v>
      </c>
      <c r="G248" s="77">
        <f t="shared" si="135"/>
        <v>0</v>
      </c>
      <c r="H248" s="77">
        <f t="shared" si="135"/>
        <v>0</v>
      </c>
      <c r="I248" s="77">
        <f t="shared" si="135"/>
        <v>0</v>
      </c>
      <c r="J248" s="77">
        <f t="shared" si="135"/>
        <v>0</v>
      </c>
      <c r="K248" s="77">
        <f t="shared" si="135"/>
        <v>0</v>
      </c>
      <c r="L248" s="77">
        <f t="shared" si="135"/>
        <v>0</v>
      </c>
      <c r="M248" s="77">
        <f t="shared" si="135"/>
        <v>0</v>
      </c>
      <c r="N248" s="77">
        <f t="shared" si="135"/>
        <v>0</v>
      </c>
    </row>
    <row r="249" spans="4:14">
      <c r="D249" s="77">
        <f t="shared" ref="D249:N249" si="136">D76</f>
        <v>846</v>
      </c>
      <c r="E249" s="77">
        <f t="shared" si="136"/>
        <v>957</v>
      </c>
      <c r="F249" s="77">
        <f t="shared" si="136"/>
        <v>621</v>
      </c>
      <c r="G249" s="77">
        <f t="shared" si="136"/>
        <v>342</v>
      </c>
      <c r="H249" s="77">
        <f t="shared" si="136"/>
        <v>646</v>
      </c>
      <c r="I249" s="77">
        <f t="shared" si="136"/>
        <v>0</v>
      </c>
      <c r="J249" s="77">
        <f t="shared" si="136"/>
        <v>0</v>
      </c>
      <c r="K249" s="77">
        <f t="shared" si="136"/>
        <v>0</v>
      </c>
      <c r="L249" s="77">
        <f t="shared" si="136"/>
        <v>294</v>
      </c>
      <c r="M249" s="77">
        <f t="shared" si="136"/>
        <v>507</v>
      </c>
      <c r="N249" s="77">
        <f t="shared" si="136"/>
        <v>568</v>
      </c>
    </row>
    <row r="250" spans="4:14">
      <c r="D250" s="77">
        <f t="shared" ref="D250:N250" si="137">D77</f>
        <v>763</v>
      </c>
      <c r="E250" s="77">
        <f t="shared" si="137"/>
        <v>891</v>
      </c>
      <c r="F250" s="77">
        <f t="shared" si="137"/>
        <v>0</v>
      </c>
      <c r="G250" s="77">
        <f t="shared" si="137"/>
        <v>339</v>
      </c>
      <c r="H250" s="77">
        <f t="shared" si="137"/>
        <v>719</v>
      </c>
      <c r="I250" s="77">
        <f t="shared" si="137"/>
        <v>616</v>
      </c>
      <c r="J250" s="77">
        <f t="shared" si="137"/>
        <v>0</v>
      </c>
      <c r="K250" s="77">
        <f t="shared" si="137"/>
        <v>616</v>
      </c>
      <c r="L250" s="77">
        <f t="shared" si="137"/>
        <v>329</v>
      </c>
      <c r="M250" s="77">
        <f t="shared" si="137"/>
        <v>540</v>
      </c>
      <c r="N250" s="77">
        <f t="shared" si="137"/>
        <v>548</v>
      </c>
    </row>
    <row r="251" spans="4:14">
      <c r="D251" s="77">
        <f t="shared" ref="D251:N251" si="138">D78</f>
        <v>447</v>
      </c>
      <c r="E251" s="77">
        <f t="shared" si="138"/>
        <v>721</v>
      </c>
      <c r="F251" s="77">
        <f t="shared" si="138"/>
        <v>346</v>
      </c>
      <c r="G251" s="77">
        <f t="shared" si="138"/>
        <v>259</v>
      </c>
      <c r="H251" s="77">
        <f t="shared" si="138"/>
        <v>658</v>
      </c>
      <c r="I251" s="77">
        <f t="shared" si="138"/>
        <v>390</v>
      </c>
      <c r="J251" s="77">
        <f t="shared" si="138"/>
        <v>0</v>
      </c>
      <c r="K251" s="77">
        <f t="shared" si="138"/>
        <v>390</v>
      </c>
      <c r="L251" s="77">
        <f t="shared" si="138"/>
        <v>280</v>
      </c>
      <c r="M251" s="77">
        <f t="shared" si="138"/>
        <v>505</v>
      </c>
      <c r="N251" s="77">
        <f t="shared" si="138"/>
        <v>453</v>
      </c>
    </row>
    <row r="252" spans="4:14">
      <c r="D252" s="77">
        <f t="shared" ref="D252:N252" si="139">D79</f>
        <v>571</v>
      </c>
      <c r="E252" s="77">
        <f t="shared" si="139"/>
        <v>738</v>
      </c>
      <c r="F252" s="77">
        <f t="shared" si="139"/>
        <v>419</v>
      </c>
      <c r="G252" s="77">
        <f t="shared" si="139"/>
        <v>259</v>
      </c>
      <c r="H252" s="77">
        <f t="shared" si="139"/>
        <v>659</v>
      </c>
      <c r="I252" s="77">
        <f t="shared" si="139"/>
        <v>198</v>
      </c>
      <c r="J252" s="77">
        <f t="shared" si="139"/>
        <v>347</v>
      </c>
      <c r="K252" s="77">
        <f t="shared" si="139"/>
        <v>347</v>
      </c>
      <c r="L252" s="77">
        <f t="shared" si="139"/>
        <v>286</v>
      </c>
      <c r="M252" s="77">
        <f t="shared" si="139"/>
        <v>481</v>
      </c>
      <c r="N252" s="77">
        <f t="shared" si="139"/>
        <v>416</v>
      </c>
    </row>
    <row r="253" spans="4:14">
      <c r="D253" s="77">
        <f t="shared" ref="D253:N253" si="140">D80</f>
        <v>489</v>
      </c>
      <c r="E253" s="77">
        <f t="shared" si="140"/>
        <v>693</v>
      </c>
      <c r="F253" s="77">
        <f t="shared" si="140"/>
        <v>442</v>
      </c>
      <c r="G253" s="77">
        <f t="shared" si="140"/>
        <v>296</v>
      </c>
      <c r="H253" s="77">
        <f t="shared" si="140"/>
        <v>404</v>
      </c>
      <c r="I253" s="77">
        <f t="shared" si="140"/>
        <v>194</v>
      </c>
      <c r="J253" s="77">
        <f t="shared" si="140"/>
        <v>376</v>
      </c>
      <c r="K253" s="77">
        <f t="shared" si="140"/>
        <v>376</v>
      </c>
      <c r="L253" s="77">
        <f t="shared" si="140"/>
        <v>276</v>
      </c>
      <c r="M253" s="77">
        <f t="shared" si="140"/>
        <v>449</v>
      </c>
      <c r="N253" s="77">
        <f t="shared" si="140"/>
        <v>496.25</v>
      </c>
    </row>
    <row r="254" spans="4:14">
      <c r="D254" s="77">
        <f t="shared" ref="D254:N254" si="141">D81</f>
        <v>672</v>
      </c>
      <c r="E254" s="77">
        <f t="shared" si="141"/>
        <v>772</v>
      </c>
      <c r="F254" s="77">
        <f t="shared" si="141"/>
        <v>577</v>
      </c>
      <c r="G254" s="77">
        <f t="shared" si="141"/>
        <v>360</v>
      </c>
      <c r="H254" s="77">
        <f t="shared" si="141"/>
        <v>529</v>
      </c>
      <c r="I254" s="77">
        <f t="shared" si="141"/>
        <v>468</v>
      </c>
      <c r="J254" s="77">
        <f t="shared" si="141"/>
        <v>750</v>
      </c>
      <c r="K254" s="77">
        <f t="shared" si="141"/>
        <v>750</v>
      </c>
      <c r="L254" s="77">
        <f t="shared" si="141"/>
        <v>292</v>
      </c>
      <c r="M254" s="77">
        <f t="shared" si="141"/>
        <v>503</v>
      </c>
      <c r="N254" s="77">
        <f t="shared" si="141"/>
        <v>496.25</v>
      </c>
    </row>
    <row r="255" spans="4:14">
      <c r="D255" s="77">
        <f t="shared" ref="D255:N255" si="142">D83</f>
        <v>0</v>
      </c>
      <c r="E255" s="77">
        <f t="shared" si="142"/>
        <v>0</v>
      </c>
      <c r="F255" s="77">
        <f t="shared" si="142"/>
        <v>0</v>
      </c>
      <c r="G255" s="77">
        <f t="shared" si="142"/>
        <v>0</v>
      </c>
      <c r="H255" s="77">
        <f t="shared" si="142"/>
        <v>0</v>
      </c>
      <c r="I255" s="77">
        <f t="shared" si="142"/>
        <v>0</v>
      </c>
      <c r="J255" s="77">
        <f t="shared" si="142"/>
        <v>0</v>
      </c>
      <c r="K255" s="77">
        <f t="shared" si="142"/>
        <v>0</v>
      </c>
      <c r="L255" s="77">
        <f t="shared" si="142"/>
        <v>0</v>
      </c>
      <c r="M255" s="77">
        <f t="shared" si="142"/>
        <v>0</v>
      </c>
      <c r="N255" s="77">
        <f t="shared" si="142"/>
        <v>0</v>
      </c>
    </row>
    <row r="256" spans="4:14">
      <c r="D256" s="77">
        <f t="shared" ref="D256:N256" si="143">D84</f>
        <v>805</v>
      </c>
      <c r="E256" s="77">
        <f t="shared" si="143"/>
        <v>932</v>
      </c>
      <c r="F256" s="77">
        <f t="shared" si="143"/>
        <v>566</v>
      </c>
      <c r="G256" s="77">
        <f t="shared" si="143"/>
        <v>319</v>
      </c>
      <c r="H256" s="77">
        <f t="shared" si="143"/>
        <v>620</v>
      </c>
      <c r="I256" s="77">
        <f t="shared" si="143"/>
        <v>0</v>
      </c>
      <c r="J256" s="77">
        <f t="shared" si="143"/>
        <v>0</v>
      </c>
      <c r="K256" s="77">
        <f t="shared" si="143"/>
        <v>0</v>
      </c>
      <c r="L256" s="77">
        <f t="shared" si="143"/>
        <v>291</v>
      </c>
      <c r="M256" s="77">
        <f t="shared" si="143"/>
        <v>541</v>
      </c>
      <c r="N256" s="77">
        <f t="shared" si="143"/>
        <v>572</v>
      </c>
    </row>
    <row r="257" spans="4:14">
      <c r="D257" s="77">
        <f t="shared" ref="D257:N257" si="144">D85</f>
        <v>799</v>
      </c>
      <c r="E257" s="77">
        <f t="shared" si="144"/>
        <v>1082</v>
      </c>
      <c r="F257" s="77">
        <f t="shared" si="144"/>
        <v>0</v>
      </c>
      <c r="G257" s="77">
        <f t="shared" si="144"/>
        <v>345</v>
      </c>
      <c r="H257" s="77">
        <f t="shared" si="144"/>
        <v>715</v>
      </c>
      <c r="I257" s="77">
        <f t="shared" si="144"/>
        <v>326</v>
      </c>
      <c r="J257" s="77">
        <f t="shared" si="144"/>
        <v>631</v>
      </c>
      <c r="K257" s="77">
        <f t="shared" si="144"/>
        <v>631</v>
      </c>
      <c r="L257" s="77">
        <f t="shared" si="144"/>
        <v>352</v>
      </c>
      <c r="M257" s="77">
        <f t="shared" si="144"/>
        <v>543</v>
      </c>
      <c r="N257" s="77">
        <f t="shared" si="144"/>
        <v>560</v>
      </c>
    </row>
    <row r="258" spans="4:14">
      <c r="D258" s="77">
        <f t="shared" ref="D258:N258" si="145">D86</f>
        <v>515</v>
      </c>
      <c r="E258" s="77">
        <f t="shared" si="145"/>
        <v>219</v>
      </c>
      <c r="F258" s="77">
        <f t="shared" si="145"/>
        <v>374</v>
      </c>
      <c r="G258" s="77">
        <f t="shared" si="145"/>
        <v>247</v>
      </c>
      <c r="H258" s="77">
        <f t="shared" si="145"/>
        <v>604</v>
      </c>
      <c r="I258" s="77">
        <f t="shared" si="145"/>
        <v>394</v>
      </c>
      <c r="J258" s="77">
        <f t="shared" si="145"/>
        <v>0</v>
      </c>
      <c r="K258" s="77">
        <f t="shared" si="145"/>
        <v>394</v>
      </c>
      <c r="L258" s="77">
        <f t="shared" si="145"/>
        <v>303</v>
      </c>
      <c r="M258" s="77">
        <f t="shared" si="145"/>
        <v>508</v>
      </c>
      <c r="N258" s="77">
        <f t="shared" si="145"/>
        <v>477</v>
      </c>
    </row>
    <row r="259" spans="4:14">
      <c r="D259" s="77">
        <f t="shared" ref="D259:N259" si="146">D87</f>
        <v>509</v>
      </c>
      <c r="E259" s="77">
        <f t="shared" si="146"/>
        <v>725</v>
      </c>
      <c r="F259" s="77">
        <f t="shared" si="146"/>
        <v>388</v>
      </c>
      <c r="G259" s="77">
        <f t="shared" si="146"/>
        <v>248</v>
      </c>
      <c r="H259" s="77">
        <f t="shared" si="146"/>
        <v>574</v>
      </c>
      <c r="I259" s="77">
        <f t="shared" si="146"/>
        <v>187</v>
      </c>
      <c r="J259" s="77">
        <f t="shared" si="146"/>
        <v>353</v>
      </c>
      <c r="K259" s="77">
        <f t="shared" si="146"/>
        <v>353</v>
      </c>
      <c r="L259" s="77">
        <f t="shared" si="146"/>
        <v>278</v>
      </c>
      <c r="M259" s="77">
        <f t="shared" si="146"/>
        <v>479</v>
      </c>
      <c r="N259" s="77">
        <f t="shared" si="146"/>
        <v>420</v>
      </c>
    </row>
    <row r="260" spans="4:14">
      <c r="D260" s="77">
        <f t="shared" ref="D260:N260" si="147">D88</f>
        <v>514</v>
      </c>
      <c r="E260" s="77">
        <f t="shared" si="147"/>
        <v>730</v>
      </c>
      <c r="F260" s="77">
        <f t="shared" si="147"/>
        <v>419</v>
      </c>
      <c r="G260" s="77">
        <f t="shared" si="147"/>
        <v>279</v>
      </c>
      <c r="H260" s="77">
        <f t="shared" si="147"/>
        <v>488</v>
      </c>
      <c r="I260" s="77">
        <f t="shared" si="147"/>
        <v>158</v>
      </c>
      <c r="J260" s="77">
        <f t="shared" si="147"/>
        <v>286</v>
      </c>
      <c r="K260" s="77">
        <f t="shared" si="147"/>
        <v>286</v>
      </c>
      <c r="L260" s="77">
        <f t="shared" si="147"/>
        <v>282</v>
      </c>
      <c r="M260" s="77">
        <f t="shared" si="147"/>
        <v>429</v>
      </c>
      <c r="N260" s="77">
        <f t="shared" si="147"/>
        <v>430</v>
      </c>
    </row>
    <row r="261" spans="4:14">
      <c r="D261" s="77">
        <f t="shared" ref="D261:N261" si="148">D89</f>
        <v>712</v>
      </c>
      <c r="E261" s="77">
        <f t="shared" si="148"/>
        <v>769</v>
      </c>
      <c r="F261" s="77">
        <f t="shared" si="148"/>
        <v>636</v>
      </c>
      <c r="G261" s="77">
        <f t="shared" si="148"/>
        <v>368</v>
      </c>
      <c r="H261" s="77">
        <f t="shared" si="148"/>
        <v>551</v>
      </c>
      <c r="I261" s="77">
        <f t="shared" si="148"/>
        <v>425</v>
      </c>
      <c r="J261" s="77">
        <f t="shared" si="148"/>
        <v>631</v>
      </c>
      <c r="K261" s="77">
        <f t="shared" si="148"/>
        <v>631</v>
      </c>
      <c r="L261" s="77">
        <f t="shared" si="148"/>
        <v>297</v>
      </c>
      <c r="M261" s="77">
        <f t="shared" si="148"/>
        <v>498</v>
      </c>
      <c r="N261" s="77">
        <f t="shared" si="148"/>
        <v>401</v>
      </c>
    </row>
    <row r="262" spans="4:14">
      <c r="D262" s="77">
        <f t="shared" ref="D262:N262" si="149">D91</f>
        <v>0</v>
      </c>
      <c r="E262" s="77">
        <f t="shared" si="149"/>
        <v>849</v>
      </c>
      <c r="F262" s="77">
        <f t="shared" si="149"/>
        <v>0</v>
      </c>
      <c r="G262" s="77">
        <f t="shared" si="149"/>
        <v>0</v>
      </c>
      <c r="H262" s="77">
        <f t="shared" si="149"/>
        <v>0</v>
      </c>
      <c r="I262" s="77">
        <f t="shared" si="149"/>
        <v>0</v>
      </c>
      <c r="J262" s="77">
        <f t="shared" si="149"/>
        <v>0</v>
      </c>
      <c r="K262" s="77">
        <f t="shared" si="149"/>
        <v>0</v>
      </c>
      <c r="L262" s="77">
        <f t="shared" si="149"/>
        <v>0</v>
      </c>
      <c r="M262" s="77">
        <f t="shared" si="149"/>
        <v>549</v>
      </c>
      <c r="N262" s="77">
        <f t="shared" si="149"/>
        <v>543</v>
      </c>
    </row>
    <row r="263" spans="4:14">
      <c r="D263" s="77">
        <f t="shared" ref="D263:N263" si="150">D92</f>
        <v>694</v>
      </c>
      <c r="E263" s="77">
        <f t="shared" si="150"/>
        <v>951</v>
      </c>
      <c r="F263" s="77">
        <f t="shared" si="150"/>
        <v>655</v>
      </c>
      <c r="G263" s="77">
        <f t="shared" si="150"/>
        <v>331</v>
      </c>
      <c r="H263" s="77">
        <f t="shared" si="150"/>
        <v>627</v>
      </c>
      <c r="I263" s="77">
        <f t="shared" si="150"/>
        <v>318</v>
      </c>
      <c r="J263" s="77">
        <f t="shared" si="150"/>
        <v>0</v>
      </c>
      <c r="K263" s="77">
        <f t="shared" si="150"/>
        <v>318</v>
      </c>
      <c r="L263" s="77">
        <f t="shared" si="150"/>
        <v>296</v>
      </c>
      <c r="M263" s="77">
        <f t="shared" si="150"/>
        <v>516</v>
      </c>
      <c r="N263" s="77">
        <f t="shared" si="150"/>
        <v>523</v>
      </c>
    </row>
    <row r="264" spans="4:14">
      <c r="D264" s="77">
        <f t="shared" ref="D264:N264" si="151">D93</f>
        <v>668</v>
      </c>
      <c r="E264" s="77">
        <f t="shared" si="151"/>
        <v>886</v>
      </c>
      <c r="F264" s="77">
        <f t="shared" si="151"/>
        <v>0</v>
      </c>
      <c r="G264" s="77">
        <f t="shared" si="151"/>
        <v>307</v>
      </c>
      <c r="H264" s="77">
        <f t="shared" si="151"/>
        <v>618</v>
      </c>
      <c r="I264" s="77">
        <f t="shared" si="151"/>
        <v>540</v>
      </c>
      <c r="J264" s="77">
        <f t="shared" si="151"/>
        <v>0</v>
      </c>
      <c r="K264" s="77">
        <f t="shared" si="151"/>
        <v>540</v>
      </c>
      <c r="L264" s="77">
        <f t="shared" si="151"/>
        <v>316</v>
      </c>
      <c r="M264" s="77">
        <f t="shared" si="151"/>
        <v>528</v>
      </c>
      <c r="N264" s="77">
        <f t="shared" si="151"/>
        <v>507</v>
      </c>
    </row>
    <row r="265" spans="4:14">
      <c r="D265" s="77">
        <f t="shared" ref="D265:N265" si="152">D94</f>
        <v>465</v>
      </c>
      <c r="E265" s="77">
        <f t="shared" si="152"/>
        <v>732</v>
      </c>
      <c r="F265" s="77">
        <f t="shared" si="152"/>
        <v>374</v>
      </c>
      <c r="G265" s="77">
        <f t="shared" si="152"/>
        <v>0</v>
      </c>
      <c r="H265" s="77">
        <f t="shared" si="152"/>
        <v>604</v>
      </c>
      <c r="I265" s="77">
        <f t="shared" si="152"/>
        <v>391</v>
      </c>
      <c r="J265" s="77">
        <f t="shared" si="152"/>
        <v>228</v>
      </c>
      <c r="K265" s="77">
        <f t="shared" si="152"/>
        <v>391</v>
      </c>
      <c r="L265" s="77">
        <f t="shared" si="152"/>
        <v>299</v>
      </c>
      <c r="M265" s="77">
        <f t="shared" si="152"/>
        <v>500</v>
      </c>
      <c r="N265" s="77">
        <f t="shared" si="152"/>
        <v>465</v>
      </c>
    </row>
    <row r="266" spans="4:14">
      <c r="D266" s="77">
        <f t="shared" ref="D266:N266" si="153">D95</f>
        <v>472</v>
      </c>
      <c r="E266" s="77">
        <f t="shared" si="153"/>
        <v>765</v>
      </c>
      <c r="F266" s="77">
        <f t="shared" si="153"/>
        <v>356</v>
      </c>
      <c r="G266" s="77">
        <f t="shared" si="153"/>
        <v>247</v>
      </c>
      <c r="H266" s="77">
        <f t="shared" si="153"/>
        <v>638</v>
      </c>
      <c r="I266" s="77">
        <f t="shared" si="153"/>
        <v>190</v>
      </c>
      <c r="J266" s="77">
        <f t="shared" si="153"/>
        <v>306</v>
      </c>
      <c r="K266" s="77">
        <f t="shared" si="153"/>
        <v>306</v>
      </c>
      <c r="L266" s="77">
        <f t="shared" si="153"/>
        <v>275</v>
      </c>
      <c r="M266" s="77">
        <f t="shared" si="153"/>
        <v>466</v>
      </c>
      <c r="N266" s="77">
        <f t="shared" si="153"/>
        <v>60</v>
      </c>
    </row>
    <row r="267" spans="4:14">
      <c r="D267" s="77">
        <f t="shared" ref="D267:N267" si="154">D96</f>
        <v>453</v>
      </c>
      <c r="E267" s="77">
        <f t="shared" si="154"/>
        <v>718</v>
      </c>
      <c r="F267" s="77">
        <f t="shared" si="154"/>
        <v>342</v>
      </c>
      <c r="G267" s="77">
        <f t="shared" si="154"/>
        <v>278</v>
      </c>
      <c r="H267" s="77">
        <f t="shared" si="154"/>
        <v>508</v>
      </c>
      <c r="I267" s="77">
        <f t="shared" si="154"/>
        <v>82</v>
      </c>
      <c r="J267" s="77">
        <f t="shared" si="154"/>
        <v>0</v>
      </c>
      <c r="K267" s="77">
        <f t="shared" si="154"/>
        <v>82</v>
      </c>
      <c r="L267" s="77">
        <f t="shared" si="154"/>
        <v>287</v>
      </c>
      <c r="M267" s="77">
        <f t="shared" si="154"/>
        <v>427</v>
      </c>
      <c r="N267" s="77">
        <f t="shared" si="154"/>
        <v>425</v>
      </c>
    </row>
    <row r="268" spans="4:14">
      <c r="D268" s="77">
        <f t="shared" ref="D268:N268" si="155">D97</f>
        <v>699</v>
      </c>
      <c r="E268" s="77">
        <f t="shared" si="155"/>
        <v>760</v>
      </c>
      <c r="F268" s="77">
        <f t="shared" si="155"/>
        <v>528</v>
      </c>
      <c r="G268" s="77">
        <f t="shared" si="155"/>
        <v>341</v>
      </c>
      <c r="H268" s="77">
        <f t="shared" si="155"/>
        <v>519</v>
      </c>
      <c r="I268" s="77">
        <f t="shared" si="155"/>
        <v>383</v>
      </c>
      <c r="J268" s="77">
        <f t="shared" si="155"/>
        <v>749</v>
      </c>
      <c r="K268" s="77">
        <f t="shared" si="155"/>
        <v>749</v>
      </c>
      <c r="L268" s="77">
        <f t="shared" si="155"/>
        <v>292</v>
      </c>
      <c r="M268" s="77">
        <f t="shared" si="155"/>
        <v>498</v>
      </c>
      <c r="N268" s="77">
        <f t="shared" si="155"/>
        <v>403</v>
      </c>
    </row>
    <row r="277" spans="3:15">
      <c r="L277" s="78" t="s">
        <v>124</v>
      </c>
      <c r="M277" s="78" t="s">
        <v>132</v>
      </c>
      <c r="N277" s="78" t="s">
        <v>139</v>
      </c>
      <c r="O277" s="78" t="s">
        <v>146</v>
      </c>
    </row>
    <row r="278" spans="3:15" ht="22.5">
      <c r="C278" s="78" t="s">
        <v>67</v>
      </c>
      <c r="L278" s="78">
        <f>D66</f>
        <v>0</v>
      </c>
      <c r="M278" s="78">
        <f>D75</f>
        <v>0</v>
      </c>
      <c r="N278" s="78">
        <f>D83</f>
        <v>0</v>
      </c>
      <c r="O278" s="78">
        <f>D91</f>
        <v>0</v>
      </c>
    </row>
    <row r="279" spans="3:15" ht="22.5">
      <c r="C279" s="78" t="s">
        <v>23</v>
      </c>
      <c r="L279" s="77">
        <f>E66</f>
        <v>0</v>
      </c>
      <c r="M279" s="77">
        <f>E75</f>
        <v>0</v>
      </c>
      <c r="N279" s="77">
        <f>E83</f>
        <v>0</v>
      </c>
      <c r="O279" s="77">
        <f>E91</f>
        <v>849</v>
      </c>
    </row>
    <row r="280" spans="3:15" ht="22.5">
      <c r="C280" s="78" t="s">
        <v>26</v>
      </c>
      <c r="L280" s="77">
        <f>F66</f>
        <v>0</v>
      </c>
      <c r="M280" s="77">
        <f>F75</f>
        <v>0</v>
      </c>
      <c r="N280" s="77">
        <f>F83</f>
        <v>0</v>
      </c>
      <c r="O280" s="77">
        <f>F91</f>
        <v>0</v>
      </c>
    </row>
    <row r="281" spans="3:15" ht="22.5">
      <c r="C281" s="78" t="s">
        <v>27</v>
      </c>
      <c r="L281" s="77">
        <f>G66</f>
        <v>0</v>
      </c>
      <c r="M281" s="77">
        <f>G75</f>
        <v>0</v>
      </c>
      <c r="N281" s="77">
        <f>G83</f>
        <v>0</v>
      </c>
      <c r="O281" s="77">
        <f>G91</f>
        <v>0</v>
      </c>
    </row>
    <row r="282" spans="3:15" ht="22.5">
      <c r="C282" s="78" t="s">
        <v>28</v>
      </c>
      <c r="L282" s="77">
        <f>H66</f>
        <v>0</v>
      </c>
      <c r="M282" s="77">
        <f>H75</f>
        <v>0</v>
      </c>
      <c r="N282" s="77">
        <f>H83</f>
        <v>0</v>
      </c>
      <c r="O282" s="77">
        <f>H91</f>
        <v>0</v>
      </c>
    </row>
    <row r="283" spans="3:15" ht="22.5">
      <c r="C283" s="266" t="s">
        <v>29</v>
      </c>
      <c r="L283" s="77">
        <f>I66</f>
        <v>0</v>
      </c>
      <c r="M283" s="77">
        <f>I75</f>
        <v>0</v>
      </c>
      <c r="N283" s="77">
        <f>I83</f>
        <v>0</v>
      </c>
      <c r="O283" s="77">
        <f>I91</f>
        <v>0</v>
      </c>
    </row>
    <row r="284" spans="3:15">
      <c r="C284" s="266"/>
      <c r="L284" s="77">
        <f>J66</f>
        <v>0</v>
      </c>
      <c r="M284" s="77">
        <f>J75</f>
        <v>0</v>
      </c>
      <c r="N284" s="77">
        <f>J83</f>
        <v>0</v>
      </c>
      <c r="O284" s="77">
        <f>J91</f>
        <v>0</v>
      </c>
    </row>
    <row r="285" spans="3:15">
      <c r="C285" s="266"/>
      <c r="L285" s="77">
        <f>K66</f>
        <v>0</v>
      </c>
      <c r="M285" s="77">
        <f>K75</f>
        <v>0</v>
      </c>
      <c r="N285" s="77">
        <f>K83</f>
        <v>0</v>
      </c>
      <c r="O285" s="77">
        <f>K91</f>
        <v>0</v>
      </c>
    </row>
    <row r="286" spans="3:15" ht="22.5">
      <c r="C286" s="78" t="s">
        <v>30</v>
      </c>
      <c r="L286" s="77">
        <f>L66</f>
        <v>0</v>
      </c>
      <c r="M286" s="77">
        <f>L75</f>
        <v>0</v>
      </c>
      <c r="N286" s="77">
        <f>L83</f>
        <v>0</v>
      </c>
      <c r="O286" s="77">
        <f>L91</f>
        <v>0</v>
      </c>
    </row>
    <row r="287" spans="3:15" ht="22.5">
      <c r="C287" s="78" t="s">
        <v>31</v>
      </c>
      <c r="L287" s="77">
        <f>M66</f>
        <v>0</v>
      </c>
      <c r="M287" s="77">
        <f>M75</f>
        <v>0</v>
      </c>
      <c r="N287" s="77">
        <f>M83</f>
        <v>0</v>
      </c>
      <c r="O287" s="77">
        <f>M91</f>
        <v>549</v>
      </c>
    </row>
    <row r="288" spans="3:15" ht="22.5">
      <c r="C288" s="78" t="s">
        <v>32</v>
      </c>
      <c r="L288" s="77">
        <f>N66</f>
        <v>0</v>
      </c>
      <c r="M288" s="77">
        <f>N75</f>
        <v>0</v>
      </c>
      <c r="N288" s="77">
        <f>N83</f>
        <v>0</v>
      </c>
      <c r="O288" s="77">
        <f>N91</f>
        <v>543</v>
      </c>
    </row>
    <row r="289" spans="3:15">
      <c r="D289" s="129" t="s">
        <v>68</v>
      </c>
      <c r="E289" s="129" t="s">
        <v>75</v>
      </c>
      <c r="F289" s="78" t="s">
        <v>82</v>
      </c>
      <c r="G289" s="78" t="s">
        <v>89</v>
      </c>
      <c r="H289" s="78" t="s">
        <v>96</v>
      </c>
      <c r="I289" s="78" t="s">
        <v>103</v>
      </c>
      <c r="J289" s="78" t="s">
        <v>110</v>
      </c>
      <c r="K289" s="78" t="s">
        <v>117</v>
      </c>
      <c r="L289" s="78" t="s">
        <v>125</v>
      </c>
      <c r="M289" s="78" t="s">
        <v>133</v>
      </c>
      <c r="N289" s="78" t="s">
        <v>140</v>
      </c>
      <c r="O289" s="78" t="s">
        <v>147</v>
      </c>
    </row>
    <row r="290" spans="3:15" ht="22.5">
      <c r="C290" s="78" t="s">
        <v>67</v>
      </c>
      <c r="D290" s="267">
        <f>D2</f>
        <v>698</v>
      </c>
      <c r="E290" s="267">
        <f>D10</f>
        <v>769</v>
      </c>
      <c r="F290" s="267">
        <f>D18</f>
        <v>776</v>
      </c>
      <c r="G290" s="267">
        <f>D26</f>
        <v>754</v>
      </c>
      <c r="H290" s="267">
        <f>D34</f>
        <v>670</v>
      </c>
      <c r="I290" s="267">
        <f>D42</f>
        <v>586</v>
      </c>
      <c r="J290" s="267">
        <f>D50</f>
        <v>589</v>
      </c>
      <c r="K290" s="267">
        <f>D58</f>
        <v>669</v>
      </c>
      <c r="L290" s="267">
        <f>D67</f>
        <v>846</v>
      </c>
      <c r="M290" s="267">
        <f>D76</f>
        <v>846</v>
      </c>
      <c r="N290" s="267">
        <f>D84</f>
        <v>805</v>
      </c>
      <c r="O290" s="267">
        <f>D92</f>
        <v>694</v>
      </c>
    </row>
    <row r="291" spans="3:15" ht="22.5">
      <c r="C291" s="78" t="s">
        <v>23</v>
      </c>
      <c r="D291" s="77">
        <f>E2</f>
        <v>901</v>
      </c>
      <c r="E291" s="77">
        <f>E10</f>
        <v>942</v>
      </c>
      <c r="F291" s="77">
        <f>E18</f>
        <v>921</v>
      </c>
      <c r="G291" s="77">
        <f>E26</f>
        <v>926</v>
      </c>
      <c r="H291" s="77">
        <f>E34</f>
        <v>915</v>
      </c>
      <c r="I291" s="77">
        <f>E42</f>
        <v>910</v>
      </c>
      <c r="J291" s="77">
        <f>E50</f>
        <v>895</v>
      </c>
      <c r="K291" s="77">
        <f>E58</f>
        <v>924</v>
      </c>
      <c r="L291" s="77">
        <f>E67</f>
        <v>964</v>
      </c>
      <c r="M291" s="77">
        <f>E76</f>
        <v>957</v>
      </c>
      <c r="N291" s="77">
        <f>E84</f>
        <v>932</v>
      </c>
      <c r="O291" s="77">
        <f>E92</f>
        <v>951</v>
      </c>
    </row>
    <row r="292" spans="3:15" ht="22.5">
      <c r="C292" s="78" t="s">
        <v>26</v>
      </c>
      <c r="D292" s="77">
        <f>F2</f>
        <v>610</v>
      </c>
      <c r="E292" s="77">
        <f>F10</f>
        <v>630</v>
      </c>
      <c r="F292" s="77">
        <f>F18</f>
        <v>669</v>
      </c>
      <c r="G292" s="77">
        <f>F26</f>
        <v>503</v>
      </c>
      <c r="H292" s="77">
        <f>F34</f>
        <v>449</v>
      </c>
      <c r="I292" s="77">
        <f>F42</f>
        <v>445</v>
      </c>
      <c r="J292" s="77">
        <f>F50</f>
        <v>504</v>
      </c>
      <c r="K292" s="77">
        <f>F58</f>
        <v>562</v>
      </c>
      <c r="L292" s="77">
        <f>F67</f>
        <v>682</v>
      </c>
      <c r="M292" s="77">
        <f>F76</f>
        <v>621</v>
      </c>
      <c r="N292" s="77">
        <f>F84</f>
        <v>566</v>
      </c>
      <c r="O292" s="77">
        <f>F92</f>
        <v>655</v>
      </c>
    </row>
    <row r="293" spans="3:15" ht="22.5">
      <c r="C293" s="78" t="s">
        <v>27</v>
      </c>
      <c r="D293" s="77">
        <f>G2</f>
        <v>344</v>
      </c>
      <c r="E293" s="77">
        <f>G10</f>
        <v>367</v>
      </c>
      <c r="F293" s="77">
        <f>G18</f>
        <v>352</v>
      </c>
      <c r="G293" s="77">
        <f>G26</f>
        <v>340</v>
      </c>
      <c r="H293" s="77">
        <f>G34</f>
        <v>324</v>
      </c>
      <c r="I293" s="77">
        <f>G42</f>
        <v>329</v>
      </c>
      <c r="J293" s="77">
        <f>G50</f>
        <v>315</v>
      </c>
      <c r="K293" s="77">
        <f>G58</f>
        <v>315</v>
      </c>
      <c r="L293" s="77">
        <f>G67</f>
        <v>341</v>
      </c>
      <c r="M293" s="77">
        <f>G76</f>
        <v>342</v>
      </c>
      <c r="N293" s="77">
        <f>G84</f>
        <v>319</v>
      </c>
      <c r="O293" s="77">
        <f>G92</f>
        <v>331</v>
      </c>
    </row>
    <row r="294" spans="3:15" ht="22.5">
      <c r="C294" s="78" t="s">
        <v>28</v>
      </c>
      <c r="D294" s="77">
        <f>H2</f>
        <v>603</v>
      </c>
      <c r="E294" s="77">
        <f>H10</f>
        <v>644</v>
      </c>
      <c r="F294" s="77">
        <f>H18</f>
        <v>654</v>
      </c>
      <c r="G294" s="77">
        <f>H26</f>
        <v>668</v>
      </c>
      <c r="H294" s="77">
        <f>H34</f>
        <v>559</v>
      </c>
      <c r="I294" s="77">
        <f>H42</f>
        <v>646</v>
      </c>
      <c r="J294" s="77">
        <f>H50</f>
        <v>0</v>
      </c>
      <c r="K294" s="77">
        <f>H58</f>
        <v>626</v>
      </c>
      <c r="L294" s="77">
        <f>H67</f>
        <v>665</v>
      </c>
      <c r="M294" s="77">
        <f>H76</f>
        <v>646</v>
      </c>
      <c r="N294" s="77">
        <f>H84</f>
        <v>620</v>
      </c>
      <c r="O294" s="77">
        <f>H92</f>
        <v>627</v>
      </c>
    </row>
    <row r="295" spans="3:15" ht="22.5">
      <c r="C295" s="266" t="s">
        <v>29</v>
      </c>
      <c r="D295" s="77">
        <f>I2</f>
        <v>0</v>
      </c>
      <c r="E295" s="77">
        <f>I10</f>
        <v>0</v>
      </c>
      <c r="F295" s="77">
        <f>I18</f>
        <v>0</v>
      </c>
      <c r="G295" s="77">
        <f>I26</f>
        <v>0</v>
      </c>
      <c r="H295" s="77">
        <f>I34</f>
        <v>0</v>
      </c>
      <c r="I295" s="77">
        <f>I42</f>
        <v>0</v>
      </c>
      <c r="J295" s="77">
        <f>I50</f>
        <v>0</v>
      </c>
      <c r="K295" s="77">
        <f>I58</f>
        <v>0</v>
      </c>
      <c r="L295" s="77">
        <f>I67</f>
        <v>0</v>
      </c>
      <c r="M295" s="77">
        <f>I76</f>
        <v>0</v>
      </c>
      <c r="N295" s="77">
        <f>I84</f>
        <v>0</v>
      </c>
      <c r="O295" s="77">
        <f>I92</f>
        <v>318</v>
      </c>
    </row>
    <row r="296" spans="3:15">
      <c r="C296" s="266"/>
      <c r="D296" s="77">
        <f>J2</f>
        <v>0</v>
      </c>
      <c r="E296" s="77">
        <f>J10</f>
        <v>0</v>
      </c>
      <c r="F296" s="77">
        <f>J18</f>
        <v>0</v>
      </c>
      <c r="G296" s="77">
        <f>J26</f>
        <v>0</v>
      </c>
      <c r="H296" s="77">
        <f>J34</f>
        <v>0</v>
      </c>
      <c r="I296" s="77">
        <f>J42</f>
        <v>0</v>
      </c>
      <c r="J296" s="77">
        <f>J50</f>
        <v>0</v>
      </c>
      <c r="K296" s="77">
        <f>J58</f>
        <v>0</v>
      </c>
      <c r="L296" s="77">
        <f>J67</f>
        <v>0</v>
      </c>
      <c r="M296" s="77">
        <f>J76</f>
        <v>0</v>
      </c>
      <c r="N296" s="77">
        <f>J84</f>
        <v>0</v>
      </c>
      <c r="O296" s="77">
        <f>J92</f>
        <v>0</v>
      </c>
    </row>
    <row r="297" spans="3:15">
      <c r="C297" s="266"/>
      <c r="D297" s="77">
        <f>K2</f>
        <v>0</v>
      </c>
      <c r="E297" s="77">
        <f>K10</f>
        <v>0</v>
      </c>
      <c r="F297" s="77">
        <f>K18</f>
        <v>0</v>
      </c>
      <c r="G297" s="77">
        <f>K26</f>
        <v>0</v>
      </c>
      <c r="H297" s="77">
        <f>K34</f>
        <v>0</v>
      </c>
      <c r="I297" s="77">
        <f>K42</f>
        <v>0</v>
      </c>
      <c r="J297" s="77">
        <f>K50</f>
        <v>0</v>
      </c>
      <c r="K297" s="77">
        <f>K58</f>
        <v>0</v>
      </c>
      <c r="L297" s="77">
        <f>K67</f>
        <v>0</v>
      </c>
      <c r="M297" s="77">
        <f>K76</f>
        <v>0</v>
      </c>
      <c r="N297" s="77">
        <f>K84</f>
        <v>0</v>
      </c>
      <c r="O297" s="77">
        <f>K92</f>
        <v>318</v>
      </c>
    </row>
    <row r="298" spans="3:15" ht="22.5">
      <c r="C298" s="78" t="s">
        <v>30</v>
      </c>
      <c r="D298" s="77">
        <f>L2</f>
        <v>330</v>
      </c>
      <c r="E298" s="77">
        <f>L10</f>
        <v>330</v>
      </c>
      <c r="F298" s="77">
        <f>L18</f>
        <v>343</v>
      </c>
      <c r="G298" s="77">
        <f>L26</f>
        <v>326</v>
      </c>
      <c r="H298" s="77">
        <f>L34</f>
        <v>318</v>
      </c>
      <c r="I298" s="77">
        <f>L42</f>
        <v>296</v>
      </c>
      <c r="J298" s="77">
        <f>L50</f>
        <v>307</v>
      </c>
      <c r="K298" s="77">
        <f>L58</f>
        <v>318</v>
      </c>
      <c r="L298" s="77">
        <f>L67</f>
        <v>320</v>
      </c>
      <c r="M298" s="77">
        <f>L76</f>
        <v>294</v>
      </c>
      <c r="N298" s="77">
        <f>L84</f>
        <v>291</v>
      </c>
      <c r="O298" s="77">
        <f>L92</f>
        <v>296</v>
      </c>
    </row>
    <row r="299" spans="3:15" ht="22.5">
      <c r="C299" s="78" t="s">
        <v>31</v>
      </c>
      <c r="D299" s="77">
        <f>M2</f>
        <v>574</v>
      </c>
      <c r="E299" s="77">
        <f>M10</f>
        <v>564</v>
      </c>
      <c r="F299" s="77">
        <f>M18</f>
        <v>564</v>
      </c>
      <c r="G299" s="77">
        <f>M26</f>
        <v>534</v>
      </c>
      <c r="H299" s="77">
        <f>M34</f>
        <v>534</v>
      </c>
      <c r="I299" s="77">
        <f>M42</f>
        <v>553</v>
      </c>
      <c r="J299" s="77">
        <f>M50</f>
        <v>507</v>
      </c>
      <c r="K299" s="77">
        <f>M58</f>
        <v>507</v>
      </c>
      <c r="L299" s="77">
        <f>M67</f>
        <v>507</v>
      </c>
      <c r="M299" s="77">
        <f>M76</f>
        <v>507</v>
      </c>
      <c r="N299" s="77">
        <f>M84</f>
        <v>541</v>
      </c>
      <c r="O299" s="77">
        <f>M92</f>
        <v>516</v>
      </c>
    </row>
    <row r="300" spans="3:15" ht="22.5">
      <c r="C300" s="78" t="s">
        <v>32</v>
      </c>
      <c r="D300" s="77">
        <f>N2</f>
        <v>565</v>
      </c>
      <c r="E300" s="77">
        <f>N10</f>
        <v>594</v>
      </c>
      <c r="F300" s="77">
        <f>N18</f>
        <v>0</v>
      </c>
      <c r="G300" s="77">
        <f>N26</f>
        <v>562</v>
      </c>
      <c r="H300" s="77">
        <f>N34</f>
        <v>552</v>
      </c>
      <c r="I300" s="77">
        <f>N42</f>
        <v>566</v>
      </c>
      <c r="J300" s="77">
        <f>N50</f>
        <v>266</v>
      </c>
      <c r="K300" s="77">
        <f>N58</f>
        <v>587</v>
      </c>
      <c r="L300" s="77">
        <f>N67</f>
        <v>615</v>
      </c>
      <c r="M300" s="77">
        <f>N76</f>
        <v>568</v>
      </c>
      <c r="N300" s="77">
        <f>N84</f>
        <v>572</v>
      </c>
      <c r="O300" s="77">
        <f>N92</f>
        <v>523</v>
      </c>
    </row>
    <row r="301" spans="3:15">
      <c r="D301" s="78" t="s">
        <v>69</v>
      </c>
      <c r="E301" s="78" t="s">
        <v>76</v>
      </c>
      <c r="F301" s="78" t="s">
        <v>83</v>
      </c>
      <c r="G301" s="78" t="s">
        <v>90</v>
      </c>
      <c r="H301" s="78" t="s">
        <v>97</v>
      </c>
      <c r="I301" s="78" t="s">
        <v>104</v>
      </c>
      <c r="J301" s="78" t="s">
        <v>111</v>
      </c>
      <c r="K301" s="78" t="s">
        <v>118</v>
      </c>
      <c r="L301" s="78" t="s">
        <v>126</v>
      </c>
      <c r="M301" s="78" t="s">
        <v>134</v>
      </c>
      <c r="N301" s="78" t="s">
        <v>141</v>
      </c>
      <c r="O301" s="78" t="s">
        <v>148</v>
      </c>
    </row>
    <row r="302" spans="3:15" ht="22.5">
      <c r="C302" s="78" t="s">
        <v>67</v>
      </c>
      <c r="D302" s="78">
        <f>D3</f>
        <v>771</v>
      </c>
      <c r="E302" s="78">
        <f>D11</f>
        <v>894</v>
      </c>
      <c r="F302" s="78">
        <f>D19</f>
        <v>762</v>
      </c>
      <c r="G302" s="78">
        <f>D27</f>
        <v>686</v>
      </c>
      <c r="H302" s="78">
        <f>D35</f>
        <v>648</v>
      </c>
      <c r="I302" s="78">
        <f>D43</f>
        <v>528</v>
      </c>
      <c r="J302" s="78">
        <f>D51</f>
        <v>506</v>
      </c>
      <c r="K302" s="78">
        <f>D59</f>
        <v>720</v>
      </c>
      <c r="L302" s="78">
        <f>D68</f>
        <v>749</v>
      </c>
      <c r="M302" s="78">
        <f>D77</f>
        <v>763</v>
      </c>
      <c r="N302" s="78">
        <f>D85</f>
        <v>799</v>
      </c>
      <c r="O302" s="78">
        <f>D93</f>
        <v>668</v>
      </c>
    </row>
    <row r="303" spans="3:15" ht="22.5">
      <c r="C303" s="78" t="s">
        <v>23</v>
      </c>
      <c r="D303" s="77">
        <f>E3</f>
        <v>0</v>
      </c>
      <c r="E303" s="77">
        <f>E11</f>
        <v>0</v>
      </c>
      <c r="F303" s="77">
        <f>E19</f>
        <v>876</v>
      </c>
      <c r="G303" s="77">
        <f>E27</f>
        <v>932</v>
      </c>
      <c r="H303" s="77">
        <f>E35</f>
        <v>943</v>
      </c>
      <c r="I303" s="77">
        <f>E43</f>
        <v>896</v>
      </c>
      <c r="J303" s="77">
        <f>E51</f>
        <v>798</v>
      </c>
      <c r="K303" s="77">
        <f>E59</f>
        <v>899</v>
      </c>
      <c r="L303" s="77">
        <f>E68</f>
        <v>928</v>
      </c>
      <c r="M303" s="77">
        <f>E77</f>
        <v>891</v>
      </c>
      <c r="N303" s="77">
        <f>E85</f>
        <v>1082</v>
      </c>
      <c r="O303" s="77">
        <f>E93</f>
        <v>886</v>
      </c>
    </row>
    <row r="304" spans="3:15" ht="22.5">
      <c r="C304" s="78" t="s">
        <v>26</v>
      </c>
      <c r="D304" s="77">
        <f>F3</f>
        <v>689</v>
      </c>
      <c r="E304" s="77">
        <f>F11</f>
        <v>611</v>
      </c>
      <c r="F304" s="77">
        <f>F19</f>
        <v>625</v>
      </c>
      <c r="G304" s="77">
        <f>F27</f>
        <v>525</v>
      </c>
      <c r="H304" s="77">
        <f>F35</f>
        <v>488</v>
      </c>
      <c r="I304" s="77">
        <f>F43</f>
        <v>348</v>
      </c>
      <c r="J304" s="77">
        <f>F51</f>
        <v>365</v>
      </c>
      <c r="K304" s="77">
        <f>F59</f>
        <v>543</v>
      </c>
      <c r="L304" s="77">
        <f>F68</f>
        <v>594</v>
      </c>
      <c r="M304" s="77">
        <f>F77</f>
        <v>0</v>
      </c>
      <c r="N304" s="77">
        <f>F85</f>
        <v>0</v>
      </c>
      <c r="O304" s="77">
        <f>F93</f>
        <v>0</v>
      </c>
    </row>
    <row r="305" spans="3:15" ht="22.5">
      <c r="C305" s="78" t="s">
        <v>27</v>
      </c>
      <c r="D305" s="77">
        <f>G3</f>
        <v>339</v>
      </c>
      <c r="E305" s="77">
        <f>G11</f>
        <v>322</v>
      </c>
      <c r="F305" s="77">
        <f>G19</f>
        <v>309</v>
      </c>
      <c r="G305" s="77">
        <f>G27</f>
        <v>314</v>
      </c>
      <c r="H305" s="77">
        <f>G35</f>
        <v>316</v>
      </c>
      <c r="I305" s="77">
        <f>G43</f>
        <v>313</v>
      </c>
      <c r="J305" s="77">
        <f>G51</f>
        <v>292</v>
      </c>
      <c r="K305" s="77">
        <f>G59</f>
        <v>342</v>
      </c>
      <c r="L305" s="77">
        <f>G68</f>
        <v>343</v>
      </c>
      <c r="M305" s="77">
        <f>G77</f>
        <v>339</v>
      </c>
      <c r="N305" s="77">
        <f>G85</f>
        <v>345</v>
      </c>
      <c r="O305" s="77">
        <f>G93</f>
        <v>307</v>
      </c>
    </row>
    <row r="306" spans="3:15" ht="22.5">
      <c r="C306" s="78" t="s">
        <v>28</v>
      </c>
      <c r="D306" s="77">
        <f>H3</f>
        <v>657</v>
      </c>
      <c r="E306" s="77">
        <f>H11</f>
        <v>617</v>
      </c>
      <c r="F306" s="77">
        <f>H19</f>
        <v>604</v>
      </c>
      <c r="G306" s="77">
        <f>H27</f>
        <v>596</v>
      </c>
      <c r="H306" s="77">
        <f>H35</f>
        <v>571</v>
      </c>
      <c r="I306" s="77">
        <f>H43</f>
        <v>556</v>
      </c>
      <c r="J306" s="77">
        <f>H51</f>
        <v>425</v>
      </c>
      <c r="K306" s="77">
        <f>H59</f>
        <v>662</v>
      </c>
      <c r="L306" s="77">
        <f>H68</f>
        <v>732</v>
      </c>
      <c r="M306" s="77">
        <f>H77</f>
        <v>719</v>
      </c>
      <c r="N306" s="77">
        <f>H85</f>
        <v>715</v>
      </c>
      <c r="O306" s="77">
        <f>H93</f>
        <v>618</v>
      </c>
    </row>
    <row r="307" spans="3:15">
      <c r="C307" s="360" t="s">
        <v>29</v>
      </c>
      <c r="D307" s="77">
        <f>I3</f>
        <v>371</v>
      </c>
      <c r="E307" s="77">
        <f>I11</f>
        <v>369</v>
      </c>
      <c r="F307" s="77">
        <f>I19</f>
        <v>374</v>
      </c>
      <c r="G307" s="77">
        <f>I27</f>
        <v>344</v>
      </c>
      <c r="H307" s="77">
        <f>I35</f>
        <v>314</v>
      </c>
      <c r="I307" s="77">
        <f>I43</f>
        <v>399</v>
      </c>
      <c r="J307" s="77">
        <f>I51</f>
        <v>254</v>
      </c>
      <c r="K307" s="77">
        <f>I59</f>
        <v>301</v>
      </c>
      <c r="L307" s="77">
        <f>I68</f>
        <v>592</v>
      </c>
      <c r="M307" s="77">
        <f>I77</f>
        <v>616</v>
      </c>
      <c r="N307" s="77">
        <f>I85</f>
        <v>326</v>
      </c>
      <c r="O307" s="77">
        <f>I93</f>
        <v>540</v>
      </c>
    </row>
    <row r="308" spans="3:15">
      <c r="C308" s="360"/>
      <c r="D308" s="77">
        <f>J3</f>
        <v>0</v>
      </c>
      <c r="E308" s="77">
        <f>J11</f>
        <v>0</v>
      </c>
      <c r="F308" s="77">
        <f>J19</f>
        <v>0</v>
      </c>
      <c r="G308" s="77">
        <f>J27</f>
        <v>0</v>
      </c>
      <c r="H308" s="77">
        <f>J35</f>
        <v>0</v>
      </c>
      <c r="I308" s="77">
        <f>J43</f>
        <v>0</v>
      </c>
      <c r="J308" s="77">
        <f>J51</f>
        <v>0</v>
      </c>
      <c r="K308" s="77">
        <f>J59</f>
        <v>0</v>
      </c>
      <c r="L308" s="77">
        <f>J68</f>
        <v>0</v>
      </c>
      <c r="M308" s="77">
        <f>J77</f>
        <v>0</v>
      </c>
      <c r="N308" s="77">
        <f>J85</f>
        <v>631</v>
      </c>
      <c r="O308" s="77">
        <f>J93</f>
        <v>0</v>
      </c>
    </row>
    <row r="309" spans="3:15">
      <c r="C309" s="360"/>
      <c r="D309" s="77">
        <f>K3</f>
        <v>371</v>
      </c>
      <c r="E309" s="77">
        <f>K11</f>
        <v>369</v>
      </c>
      <c r="F309" s="77">
        <f>K19</f>
        <v>374</v>
      </c>
      <c r="G309" s="77">
        <f>K27</f>
        <v>344</v>
      </c>
      <c r="H309" s="77">
        <f>K35</f>
        <v>314</v>
      </c>
      <c r="I309" s="77">
        <f>K43</f>
        <v>399</v>
      </c>
      <c r="J309" s="77">
        <f>K51</f>
        <v>254</v>
      </c>
      <c r="K309" s="77">
        <f>K59</f>
        <v>301</v>
      </c>
      <c r="L309" s="77">
        <f>K68</f>
        <v>592</v>
      </c>
      <c r="M309" s="77">
        <f>K77</f>
        <v>616</v>
      </c>
      <c r="N309" s="77">
        <f>K85</f>
        <v>631</v>
      </c>
      <c r="O309" s="77">
        <f>K93</f>
        <v>540</v>
      </c>
    </row>
    <row r="310" spans="3:15" ht="22.5">
      <c r="C310" s="78" t="s">
        <v>30</v>
      </c>
      <c r="D310" s="77">
        <f>L3</f>
        <v>270</v>
      </c>
      <c r="E310" s="77">
        <f>L11</f>
        <v>322</v>
      </c>
      <c r="F310" s="77">
        <f>L19</f>
        <v>337</v>
      </c>
      <c r="G310" s="77">
        <f>L27</f>
        <v>322</v>
      </c>
      <c r="H310" s="77">
        <f>L35</f>
        <v>323</v>
      </c>
      <c r="I310" s="77">
        <f>L43</f>
        <v>304</v>
      </c>
      <c r="J310" s="77">
        <f>L51</f>
        <v>294</v>
      </c>
      <c r="K310" s="77">
        <f>L59</f>
        <v>282</v>
      </c>
      <c r="L310" s="77">
        <f>L68</f>
        <v>324</v>
      </c>
      <c r="M310" s="77">
        <f>L77</f>
        <v>329</v>
      </c>
      <c r="N310" s="77">
        <f>L85</f>
        <v>352</v>
      </c>
      <c r="O310" s="77">
        <f>L93</f>
        <v>316</v>
      </c>
    </row>
    <row r="311" spans="3:15" ht="22.5">
      <c r="C311" s="78" t="s">
        <v>31</v>
      </c>
      <c r="D311" s="77">
        <f>M3</f>
        <v>562</v>
      </c>
      <c r="E311" s="77">
        <f>M11</f>
        <v>552</v>
      </c>
      <c r="F311" s="77">
        <f>M19</f>
        <v>553</v>
      </c>
      <c r="G311" s="77">
        <f>M27</f>
        <v>502</v>
      </c>
      <c r="H311" s="77">
        <f>M35</f>
        <v>492</v>
      </c>
      <c r="I311" s="77">
        <f>M43</f>
        <v>461</v>
      </c>
      <c r="J311" s="77">
        <f>M51</f>
        <v>481</v>
      </c>
      <c r="K311" s="77">
        <f>M59</f>
        <v>497</v>
      </c>
      <c r="L311" s="77">
        <f>M68</f>
        <v>493</v>
      </c>
      <c r="M311" s="77">
        <f>M77</f>
        <v>540</v>
      </c>
      <c r="N311" s="77">
        <f>M85</f>
        <v>543</v>
      </c>
      <c r="O311" s="77">
        <f>M93</f>
        <v>528</v>
      </c>
    </row>
    <row r="312" spans="3:15" ht="22.5">
      <c r="C312" s="78" t="s">
        <v>32</v>
      </c>
      <c r="D312" s="77">
        <f>N3</f>
        <v>0</v>
      </c>
      <c r="E312" s="77">
        <f>N11</f>
        <v>0</v>
      </c>
      <c r="F312" s="77">
        <f>N19</f>
        <v>0</v>
      </c>
      <c r="G312" s="77">
        <f>N27</f>
        <v>0</v>
      </c>
      <c r="H312" s="77">
        <f>N35</f>
        <v>0</v>
      </c>
      <c r="I312" s="77">
        <f>N43</f>
        <v>523</v>
      </c>
      <c r="J312" s="77">
        <f>N51</f>
        <v>493</v>
      </c>
      <c r="K312" s="77">
        <f>N59</f>
        <v>555</v>
      </c>
      <c r="L312" s="77">
        <f>N68</f>
        <v>535</v>
      </c>
      <c r="M312" s="77">
        <f>N77</f>
        <v>548</v>
      </c>
      <c r="N312" s="77">
        <f>N85</f>
        <v>560</v>
      </c>
      <c r="O312" s="77">
        <f>N93</f>
        <v>507</v>
      </c>
    </row>
    <row r="313" spans="3:15">
      <c r="D313" s="78" t="s">
        <v>70</v>
      </c>
      <c r="E313" s="78" t="s">
        <v>77</v>
      </c>
      <c r="F313" s="78" t="s">
        <v>84</v>
      </c>
      <c r="G313" s="78" t="s">
        <v>91</v>
      </c>
      <c r="H313" s="78" t="s">
        <v>98</v>
      </c>
      <c r="I313" s="78" t="s">
        <v>105</v>
      </c>
      <c r="J313" s="78" t="s">
        <v>112</v>
      </c>
      <c r="K313" s="78" t="s">
        <v>119</v>
      </c>
      <c r="L313" s="78" t="s">
        <v>127</v>
      </c>
      <c r="M313" s="78" t="s">
        <v>135</v>
      </c>
      <c r="N313" s="78" t="s">
        <v>142</v>
      </c>
      <c r="O313" s="78" t="s">
        <v>149</v>
      </c>
    </row>
    <row r="314" spans="3:15" ht="22.5">
      <c r="C314" s="78" t="s">
        <v>67</v>
      </c>
      <c r="D314" s="78">
        <f>D4</f>
        <v>753</v>
      </c>
      <c r="E314" s="78">
        <f>D12</f>
        <v>695</v>
      </c>
      <c r="F314" s="78">
        <f>D20</f>
        <v>612</v>
      </c>
      <c r="G314" s="78">
        <f>D28</f>
        <v>345</v>
      </c>
      <c r="H314" s="78">
        <f>D36</f>
        <v>253</v>
      </c>
      <c r="I314" s="78">
        <f>D44</f>
        <v>237</v>
      </c>
      <c r="J314" s="78">
        <f>D52</f>
        <v>228</v>
      </c>
      <c r="K314" s="78">
        <f>D60</f>
        <v>371</v>
      </c>
      <c r="L314" s="78">
        <f>D69</f>
        <v>534</v>
      </c>
      <c r="M314" s="78">
        <f>D78</f>
        <v>447</v>
      </c>
      <c r="N314" s="78">
        <f>D86</f>
        <v>515</v>
      </c>
      <c r="O314" s="78">
        <f>D94</f>
        <v>465</v>
      </c>
    </row>
    <row r="315" spans="3:15" ht="22.5">
      <c r="C315" s="78" t="s">
        <v>23</v>
      </c>
      <c r="D315" s="77">
        <f>E4</f>
        <v>1067</v>
      </c>
      <c r="E315" s="77">
        <f>E12</f>
        <v>892</v>
      </c>
      <c r="F315" s="77">
        <f>E20</f>
        <v>852</v>
      </c>
      <c r="G315" s="77">
        <f>E28</f>
        <v>790</v>
      </c>
      <c r="H315" s="77">
        <f>E36</f>
        <v>603</v>
      </c>
      <c r="I315" s="77">
        <f>E44</f>
        <v>532</v>
      </c>
      <c r="J315" s="77">
        <f>E52</f>
        <v>614</v>
      </c>
      <c r="K315" s="77">
        <f>E60</f>
        <v>685</v>
      </c>
      <c r="L315" s="77">
        <f>E69</f>
        <v>747</v>
      </c>
      <c r="M315" s="77">
        <f>E78</f>
        <v>721</v>
      </c>
      <c r="N315" s="77">
        <f>E86</f>
        <v>219</v>
      </c>
      <c r="O315" s="77">
        <f>E94</f>
        <v>732</v>
      </c>
    </row>
    <row r="316" spans="3:15" ht="22.5">
      <c r="C316" s="78" t="s">
        <v>26</v>
      </c>
      <c r="D316" s="77">
        <f>F4</f>
        <v>599</v>
      </c>
      <c r="E316" s="77">
        <f>F12</f>
        <v>0</v>
      </c>
      <c r="F316" s="77">
        <f>F20</f>
        <v>0</v>
      </c>
      <c r="G316" s="77">
        <f>F28</f>
        <v>0</v>
      </c>
      <c r="H316" s="77">
        <f>F36</f>
        <v>0</v>
      </c>
      <c r="I316" s="77">
        <f>F44</f>
        <v>171</v>
      </c>
      <c r="J316" s="77">
        <f>F52</f>
        <v>164</v>
      </c>
      <c r="K316" s="77">
        <f>F60</f>
        <v>280</v>
      </c>
      <c r="L316" s="77">
        <f>F69</f>
        <v>120</v>
      </c>
      <c r="M316" s="77">
        <f>F78</f>
        <v>346</v>
      </c>
      <c r="N316" s="77">
        <f>F86</f>
        <v>374</v>
      </c>
      <c r="O316" s="77">
        <f>F94</f>
        <v>374</v>
      </c>
    </row>
    <row r="317" spans="3:15" ht="22.5">
      <c r="C317" s="78" t="s">
        <v>27</v>
      </c>
      <c r="D317" s="77">
        <f>G4</f>
        <v>335</v>
      </c>
      <c r="E317" s="77">
        <f>G12</f>
        <v>325</v>
      </c>
      <c r="F317" s="77">
        <f>G20</f>
        <v>314</v>
      </c>
      <c r="G317" s="77">
        <f>G28</f>
        <v>169</v>
      </c>
      <c r="H317" s="77">
        <f>G36</f>
        <v>174</v>
      </c>
      <c r="I317" s="77">
        <f>G44</f>
        <v>178</v>
      </c>
      <c r="J317" s="77">
        <f>G52</f>
        <v>171</v>
      </c>
      <c r="K317" s="77">
        <f>G60</f>
        <v>223</v>
      </c>
      <c r="L317" s="77">
        <f>G69</f>
        <v>251</v>
      </c>
      <c r="M317" s="77">
        <f>G78</f>
        <v>259</v>
      </c>
      <c r="N317" s="77">
        <f>G86</f>
        <v>247</v>
      </c>
      <c r="O317" s="77">
        <f>G94</f>
        <v>0</v>
      </c>
    </row>
    <row r="318" spans="3:15" ht="22.5">
      <c r="C318" s="78" t="s">
        <v>28</v>
      </c>
      <c r="D318" s="77">
        <f>H4</f>
        <v>746</v>
      </c>
      <c r="E318" s="77">
        <f>H12</f>
        <v>726</v>
      </c>
      <c r="F318" s="77">
        <f>H20</f>
        <v>640</v>
      </c>
      <c r="G318" s="77">
        <f>H28</f>
        <v>594</v>
      </c>
      <c r="H318" s="77">
        <f>H36</f>
        <v>542</v>
      </c>
      <c r="I318" s="77">
        <f>H44</f>
        <v>482</v>
      </c>
      <c r="J318" s="77">
        <f>H52</f>
        <v>435</v>
      </c>
      <c r="K318" s="77">
        <f>H60</f>
        <v>594</v>
      </c>
      <c r="L318" s="77">
        <f>H69</f>
        <v>684</v>
      </c>
      <c r="M318" s="77">
        <f>H78</f>
        <v>658</v>
      </c>
      <c r="N318" s="77">
        <f>H86</f>
        <v>604</v>
      </c>
      <c r="O318" s="77">
        <f>H94</f>
        <v>604</v>
      </c>
    </row>
    <row r="319" spans="3:15">
      <c r="C319" s="360" t="s">
        <v>29</v>
      </c>
      <c r="D319" s="77">
        <f>I4</f>
        <v>300</v>
      </c>
      <c r="E319" s="77">
        <f>I12</f>
        <v>358</v>
      </c>
      <c r="F319" s="77">
        <f>I20</f>
        <v>506</v>
      </c>
      <c r="G319" s="77">
        <f>I28</f>
        <v>277</v>
      </c>
      <c r="H319" s="77">
        <f>I36</f>
        <v>237</v>
      </c>
      <c r="I319" s="77">
        <f>I44</f>
        <v>219</v>
      </c>
      <c r="J319" s="77">
        <f>I52</f>
        <v>202</v>
      </c>
      <c r="K319" s="77">
        <f>I60</f>
        <v>312</v>
      </c>
      <c r="L319" s="77">
        <f>I69</f>
        <v>448</v>
      </c>
      <c r="M319" s="77">
        <f>I78</f>
        <v>390</v>
      </c>
      <c r="N319" s="77">
        <f>I86</f>
        <v>394</v>
      </c>
      <c r="O319" s="77">
        <f>I94</f>
        <v>391</v>
      </c>
    </row>
    <row r="320" spans="3:15">
      <c r="C320" s="360"/>
      <c r="D320" s="77">
        <f>J4</f>
        <v>0</v>
      </c>
      <c r="E320" s="77">
        <f>J12</f>
        <v>0</v>
      </c>
      <c r="F320" s="77">
        <f>J20</f>
        <v>0</v>
      </c>
      <c r="G320" s="77">
        <f>J28</f>
        <v>0</v>
      </c>
      <c r="H320" s="77">
        <f>J36</f>
        <v>0</v>
      </c>
      <c r="I320" s="77">
        <f>J44</f>
        <v>0</v>
      </c>
      <c r="J320" s="77">
        <f>J52</f>
        <v>0</v>
      </c>
      <c r="K320" s="77">
        <f>J60</f>
        <v>0</v>
      </c>
      <c r="L320" s="77">
        <f>J69</f>
        <v>0</v>
      </c>
      <c r="M320" s="77">
        <f>J78</f>
        <v>0</v>
      </c>
      <c r="N320" s="77">
        <f>J86</f>
        <v>0</v>
      </c>
      <c r="O320" s="77">
        <f>J94</f>
        <v>228</v>
      </c>
    </row>
    <row r="321" spans="3:15">
      <c r="C321" s="360"/>
      <c r="D321" s="77">
        <f>K4</f>
        <v>300</v>
      </c>
      <c r="E321" s="77">
        <f>K12</f>
        <v>358</v>
      </c>
      <c r="F321" s="77">
        <f>K20</f>
        <v>506</v>
      </c>
      <c r="G321" s="77">
        <f>K28</f>
        <v>277</v>
      </c>
      <c r="H321" s="77">
        <f>K36</f>
        <v>237</v>
      </c>
      <c r="I321" s="77">
        <f>K44</f>
        <v>219</v>
      </c>
      <c r="J321" s="77">
        <f>K52</f>
        <v>202</v>
      </c>
      <c r="K321" s="77">
        <f>K60</f>
        <v>312</v>
      </c>
      <c r="L321" s="77">
        <f>K69</f>
        <v>448</v>
      </c>
      <c r="M321" s="77">
        <f>K78</f>
        <v>390</v>
      </c>
      <c r="N321" s="77">
        <f>K86</f>
        <v>394</v>
      </c>
      <c r="O321" s="77">
        <f>K94</f>
        <v>391</v>
      </c>
    </row>
    <row r="322" spans="3:15" ht="22.5">
      <c r="C322" s="78" t="s">
        <v>30</v>
      </c>
      <c r="D322" s="77">
        <f>L4</f>
        <v>319</v>
      </c>
      <c r="E322" s="77">
        <f>L12</f>
        <v>339</v>
      </c>
      <c r="F322" s="77">
        <f>L20</f>
        <v>318</v>
      </c>
      <c r="G322" s="77">
        <f>L28</f>
        <v>270</v>
      </c>
      <c r="H322" s="77">
        <f>L36</f>
        <v>270</v>
      </c>
      <c r="I322" s="77">
        <f>L44</f>
        <v>273</v>
      </c>
      <c r="J322" s="77">
        <f>L52</f>
        <v>243</v>
      </c>
      <c r="K322" s="77">
        <f>L60</f>
        <v>275</v>
      </c>
      <c r="L322" s="77">
        <f>L69</f>
        <v>280</v>
      </c>
      <c r="M322" s="77">
        <f>L78</f>
        <v>280</v>
      </c>
      <c r="N322" s="77">
        <f>L86</f>
        <v>303</v>
      </c>
      <c r="O322" s="77">
        <f>L94</f>
        <v>299</v>
      </c>
    </row>
    <row r="323" spans="3:15" ht="22.5">
      <c r="C323" s="78" t="s">
        <v>31</v>
      </c>
      <c r="D323" s="77">
        <f>M4</f>
        <v>547</v>
      </c>
      <c r="E323" s="77">
        <f>M12</f>
        <v>526</v>
      </c>
      <c r="F323" s="77">
        <f>M20</f>
        <v>525</v>
      </c>
      <c r="G323" s="77">
        <f>M28</f>
        <v>505</v>
      </c>
      <c r="H323" s="77">
        <f>M36</f>
        <v>471</v>
      </c>
      <c r="I323" s="77">
        <f>M44</f>
        <v>440</v>
      </c>
      <c r="J323" s="77">
        <f>M52</f>
        <v>411</v>
      </c>
      <c r="K323" s="77">
        <f>M60</f>
        <v>460</v>
      </c>
      <c r="L323" s="77">
        <f>M69</f>
        <v>485</v>
      </c>
      <c r="M323" s="77">
        <f>M78</f>
        <v>505</v>
      </c>
      <c r="N323" s="77">
        <f>M86</f>
        <v>508</v>
      </c>
      <c r="O323" s="77">
        <f>M94</f>
        <v>500</v>
      </c>
    </row>
    <row r="324" spans="3:15" ht="22.5">
      <c r="C324" s="78" t="s">
        <v>32</v>
      </c>
      <c r="D324" s="77">
        <f>N4</f>
        <v>504</v>
      </c>
      <c r="E324" s="77">
        <f>N12</f>
        <v>518</v>
      </c>
      <c r="F324" s="77">
        <f>N20</f>
        <v>164</v>
      </c>
      <c r="G324" s="77">
        <f>N28</f>
        <v>154</v>
      </c>
      <c r="H324" s="77">
        <f>N36</f>
        <v>151</v>
      </c>
      <c r="I324" s="77">
        <f>N44</f>
        <v>144</v>
      </c>
      <c r="J324" s="77">
        <f>N52</f>
        <v>402</v>
      </c>
      <c r="K324" s="77">
        <f>N60</f>
        <v>451</v>
      </c>
      <c r="L324" s="77">
        <f>N69</f>
        <v>479</v>
      </c>
      <c r="M324" s="77">
        <f>N78</f>
        <v>453</v>
      </c>
      <c r="N324" s="77">
        <f>N86</f>
        <v>477</v>
      </c>
      <c r="O324" s="77">
        <f>N94</f>
        <v>465</v>
      </c>
    </row>
    <row r="325" spans="3:15">
      <c r="D325" s="78" t="s">
        <v>71</v>
      </c>
      <c r="E325" s="78" t="s">
        <v>78</v>
      </c>
      <c r="F325" s="78" t="s">
        <v>85</v>
      </c>
      <c r="G325" s="78" t="s">
        <v>92</v>
      </c>
      <c r="H325" s="78" t="s">
        <v>99</v>
      </c>
      <c r="I325" s="78" t="s">
        <v>106</v>
      </c>
      <c r="J325" s="78" t="s">
        <v>113</v>
      </c>
      <c r="K325" s="78" t="s">
        <v>120</v>
      </c>
      <c r="L325" s="78" t="s">
        <v>128</v>
      </c>
      <c r="M325" s="78" t="s">
        <v>136</v>
      </c>
      <c r="N325" s="78" t="s">
        <v>143</v>
      </c>
      <c r="O325" s="78" t="s">
        <v>150</v>
      </c>
    </row>
    <row r="326" spans="3:15" ht="22.5">
      <c r="C326" s="78" t="s">
        <v>67</v>
      </c>
      <c r="D326" s="78">
        <f>D5</f>
        <v>515</v>
      </c>
      <c r="E326" s="78">
        <f>D13</f>
        <v>515</v>
      </c>
      <c r="F326" s="78">
        <f>D21</f>
        <v>426</v>
      </c>
      <c r="G326" s="78">
        <f>D29</f>
        <v>357</v>
      </c>
      <c r="H326" s="78">
        <f>D37</f>
        <v>405</v>
      </c>
      <c r="I326" s="78">
        <f>D45</f>
        <v>305</v>
      </c>
      <c r="J326" s="78">
        <f>D53</f>
        <v>301</v>
      </c>
      <c r="K326" s="78">
        <f>D61</f>
        <v>543</v>
      </c>
      <c r="L326" s="78">
        <f>D70</f>
        <v>584</v>
      </c>
      <c r="M326" s="78">
        <f>D79</f>
        <v>571</v>
      </c>
      <c r="N326" s="78">
        <f>D87</f>
        <v>509</v>
      </c>
      <c r="O326" s="78">
        <f>D95</f>
        <v>472</v>
      </c>
    </row>
    <row r="327" spans="3:15" ht="22.5">
      <c r="C327" s="78" t="s">
        <v>23</v>
      </c>
      <c r="D327" s="77">
        <f>E5</f>
        <v>728</v>
      </c>
      <c r="E327" s="77">
        <f>E13</f>
        <v>756</v>
      </c>
      <c r="F327" s="77">
        <f>E21</f>
        <v>723</v>
      </c>
      <c r="G327" s="77">
        <f>E29</f>
        <v>746</v>
      </c>
      <c r="H327" s="77">
        <f>E37</f>
        <v>772</v>
      </c>
      <c r="I327" s="77">
        <f>E45</f>
        <v>739</v>
      </c>
      <c r="J327" s="77">
        <f>E53</f>
        <v>730</v>
      </c>
      <c r="K327" s="77">
        <f>E61</f>
        <v>724</v>
      </c>
      <c r="L327" s="77">
        <f>E70</f>
        <v>748</v>
      </c>
      <c r="M327" s="77">
        <f>E79</f>
        <v>738</v>
      </c>
      <c r="N327" s="77">
        <f>E87</f>
        <v>725</v>
      </c>
      <c r="O327" s="77">
        <f>E95</f>
        <v>765</v>
      </c>
    </row>
    <row r="328" spans="3:15" ht="22.5">
      <c r="C328" s="78" t="s">
        <v>26</v>
      </c>
      <c r="D328" s="77">
        <f>F5</f>
        <v>344</v>
      </c>
      <c r="E328" s="77">
        <f>F13</f>
        <v>370</v>
      </c>
      <c r="F328" s="77">
        <f>F21</f>
        <v>304</v>
      </c>
      <c r="G328" s="77">
        <f>F29</f>
        <v>0</v>
      </c>
      <c r="H328" s="77">
        <f>F37</f>
        <v>279</v>
      </c>
      <c r="I328" s="77">
        <f>F45</f>
        <v>246</v>
      </c>
      <c r="J328" s="77">
        <f>F53</f>
        <v>217</v>
      </c>
      <c r="K328" s="77">
        <f>F61</f>
        <v>321</v>
      </c>
      <c r="L328" s="77">
        <f>F70</f>
        <v>430</v>
      </c>
      <c r="M328" s="77">
        <f>F79</f>
        <v>419</v>
      </c>
      <c r="N328" s="77">
        <f>F87</f>
        <v>388</v>
      </c>
      <c r="O328" s="77">
        <f>F95</f>
        <v>356</v>
      </c>
    </row>
    <row r="329" spans="3:15" ht="22.5">
      <c r="C329" s="78" t="s">
        <v>27</v>
      </c>
      <c r="D329" s="77">
        <f>G5</f>
        <v>0</v>
      </c>
      <c r="E329" s="77">
        <f>G13</f>
        <v>231</v>
      </c>
      <c r="F329" s="77">
        <f>G21</f>
        <v>221</v>
      </c>
      <c r="G329" s="77">
        <f>G29</f>
        <v>217</v>
      </c>
      <c r="H329" s="77">
        <f>G37</f>
        <v>216</v>
      </c>
      <c r="I329" s="77">
        <f>G45</f>
        <v>211</v>
      </c>
      <c r="J329" s="77">
        <f>G53</f>
        <v>217</v>
      </c>
      <c r="K329" s="77">
        <f>G61</f>
        <v>231</v>
      </c>
      <c r="L329" s="77">
        <f>G70</f>
        <v>251</v>
      </c>
      <c r="M329" s="77">
        <f>G79</f>
        <v>259</v>
      </c>
      <c r="N329" s="77">
        <f>G87</f>
        <v>248</v>
      </c>
      <c r="O329" s="77">
        <f>G95</f>
        <v>247</v>
      </c>
    </row>
    <row r="330" spans="3:15" ht="22.5">
      <c r="C330" s="78" t="s">
        <v>28</v>
      </c>
      <c r="D330" s="77">
        <f>H5</f>
        <v>711</v>
      </c>
      <c r="E330" s="77">
        <f>H13</f>
        <v>689</v>
      </c>
      <c r="F330" s="77">
        <f>H21</f>
        <v>640</v>
      </c>
      <c r="G330" s="77">
        <f>H29</f>
        <v>643</v>
      </c>
      <c r="H330" s="77">
        <f>H37</f>
        <v>574</v>
      </c>
      <c r="I330" s="77">
        <f>H45</f>
        <v>557</v>
      </c>
      <c r="J330" s="77">
        <f>H53</f>
        <v>599</v>
      </c>
      <c r="K330" s="77">
        <f>H61</f>
        <v>603</v>
      </c>
      <c r="L330" s="77">
        <f>H70</f>
        <v>699</v>
      </c>
      <c r="M330" s="77">
        <f>H79</f>
        <v>659</v>
      </c>
      <c r="N330" s="77">
        <f>H87</f>
        <v>574</v>
      </c>
      <c r="O330" s="77">
        <f>H95</f>
        <v>638</v>
      </c>
    </row>
    <row r="331" spans="3:15">
      <c r="C331" s="360" t="s">
        <v>29</v>
      </c>
      <c r="D331" s="77">
        <f>I5</f>
        <v>137</v>
      </c>
      <c r="E331" s="77">
        <f>I13</f>
        <v>333</v>
      </c>
      <c r="F331" s="77">
        <f>I21</f>
        <v>265</v>
      </c>
      <c r="G331" s="77">
        <f>I29</f>
        <v>212</v>
      </c>
      <c r="H331" s="77">
        <f>I37</f>
        <v>202</v>
      </c>
      <c r="I331" s="77">
        <f>I45</f>
        <v>182</v>
      </c>
      <c r="J331" s="77">
        <f>I53</f>
        <v>0</v>
      </c>
      <c r="K331" s="77">
        <f>I61</f>
        <v>163</v>
      </c>
      <c r="L331" s="77">
        <f>I70</f>
        <v>224</v>
      </c>
      <c r="M331" s="77">
        <f>I79</f>
        <v>198</v>
      </c>
      <c r="N331" s="77">
        <f>I87</f>
        <v>187</v>
      </c>
      <c r="O331" s="77">
        <f>I95</f>
        <v>190</v>
      </c>
    </row>
    <row r="332" spans="3:15">
      <c r="C332" s="360"/>
      <c r="D332" s="77">
        <f>J5</f>
        <v>0</v>
      </c>
      <c r="E332" s="77">
        <f>J13</f>
        <v>201</v>
      </c>
      <c r="F332" s="77">
        <f>J21</f>
        <v>185</v>
      </c>
      <c r="G332" s="77">
        <f>J29</f>
        <v>154</v>
      </c>
      <c r="H332" s="77">
        <f>J37</f>
        <v>142</v>
      </c>
      <c r="I332" s="77">
        <f>J45</f>
        <v>130</v>
      </c>
      <c r="J332" s="77">
        <f>J53</f>
        <v>97</v>
      </c>
      <c r="K332" s="77">
        <f>J61</f>
        <v>264</v>
      </c>
      <c r="L332" s="77">
        <f>J70</f>
        <v>431</v>
      </c>
      <c r="M332" s="77">
        <f>J79</f>
        <v>347</v>
      </c>
      <c r="N332" s="77">
        <f>J87</f>
        <v>353</v>
      </c>
      <c r="O332" s="77">
        <f>J95</f>
        <v>306</v>
      </c>
    </row>
    <row r="333" spans="3:15">
      <c r="C333" s="360"/>
      <c r="D333" s="77">
        <f>K5</f>
        <v>137</v>
      </c>
      <c r="E333" s="77">
        <f>K13</f>
        <v>333</v>
      </c>
      <c r="F333" s="77">
        <f>K21</f>
        <v>265</v>
      </c>
      <c r="G333" s="77">
        <f>K29</f>
        <v>212</v>
      </c>
      <c r="H333" s="77">
        <f>K37</f>
        <v>202</v>
      </c>
      <c r="I333" s="77">
        <f>K45</f>
        <v>182</v>
      </c>
      <c r="J333" s="77">
        <f>K53</f>
        <v>97</v>
      </c>
      <c r="K333" s="77">
        <f>K61</f>
        <v>264</v>
      </c>
      <c r="L333" s="77">
        <f>K70</f>
        <v>431</v>
      </c>
      <c r="M333" s="77">
        <f>K79</f>
        <v>347</v>
      </c>
      <c r="N333" s="77">
        <f>K87</f>
        <v>353</v>
      </c>
      <c r="O333" s="77">
        <f>K95</f>
        <v>306</v>
      </c>
    </row>
    <row r="334" spans="3:15" ht="22.5">
      <c r="C334" s="78" t="s">
        <v>30</v>
      </c>
      <c r="D334" s="77">
        <f>L5</f>
        <v>309</v>
      </c>
      <c r="E334" s="77">
        <f>L13</f>
        <v>301</v>
      </c>
      <c r="F334" s="77">
        <f>L21</f>
        <v>282</v>
      </c>
      <c r="G334" s="77">
        <f>L29</f>
        <v>288</v>
      </c>
      <c r="H334" s="77">
        <f>L37</f>
        <v>254</v>
      </c>
      <c r="I334" s="77">
        <f>L45</f>
        <v>254</v>
      </c>
      <c r="J334" s="77">
        <f>L53</f>
        <v>238</v>
      </c>
      <c r="K334" s="77">
        <f>L61</f>
        <v>262</v>
      </c>
      <c r="L334" s="77">
        <f>L70</f>
        <v>283</v>
      </c>
      <c r="M334" s="77">
        <f>L79</f>
        <v>286</v>
      </c>
      <c r="N334" s="77">
        <f>L87</f>
        <v>278</v>
      </c>
      <c r="O334" s="77">
        <f>L95</f>
        <v>275</v>
      </c>
    </row>
    <row r="335" spans="3:15" ht="22.5">
      <c r="C335" s="78" t="s">
        <v>31</v>
      </c>
      <c r="D335" s="77">
        <f>M5</f>
        <v>502</v>
      </c>
      <c r="E335" s="77">
        <f>M13</f>
        <v>501</v>
      </c>
      <c r="F335" s="77">
        <f>M21</f>
        <v>501</v>
      </c>
      <c r="G335" s="77">
        <f>M29</f>
        <v>483</v>
      </c>
      <c r="H335" s="77">
        <f>M37</f>
        <v>387</v>
      </c>
      <c r="I335" s="77">
        <f>M45</f>
        <v>368</v>
      </c>
      <c r="J335" s="77">
        <f>M53</f>
        <v>354</v>
      </c>
      <c r="K335" s="77">
        <f>M61</f>
        <v>362</v>
      </c>
      <c r="L335" s="77">
        <f>M70</f>
        <v>463</v>
      </c>
      <c r="M335" s="77">
        <f>M79</f>
        <v>481</v>
      </c>
      <c r="N335" s="77">
        <f>M87</f>
        <v>479</v>
      </c>
      <c r="O335" s="77">
        <f>M95</f>
        <v>466</v>
      </c>
    </row>
    <row r="336" spans="3:15" ht="22.5">
      <c r="C336" s="78" t="s">
        <v>32</v>
      </c>
      <c r="D336" s="77">
        <f>N5</f>
        <v>50</v>
      </c>
      <c r="E336" s="77">
        <f>N13</f>
        <v>462</v>
      </c>
      <c r="F336" s="77">
        <f>N21</f>
        <v>464</v>
      </c>
      <c r="G336" s="77">
        <f>N29</f>
        <v>453</v>
      </c>
      <c r="H336" s="77">
        <f>N37</f>
        <v>454</v>
      </c>
      <c r="I336" s="77">
        <f>N45</f>
        <v>449</v>
      </c>
      <c r="J336" s="77">
        <f>N53</f>
        <v>0</v>
      </c>
      <c r="K336" s="77">
        <f>N61</f>
        <v>406</v>
      </c>
      <c r="L336" s="77">
        <f>N70</f>
        <v>431</v>
      </c>
      <c r="M336" s="77">
        <f>N79</f>
        <v>416</v>
      </c>
      <c r="N336" s="77">
        <f>N87</f>
        <v>420</v>
      </c>
      <c r="O336" s="77">
        <f>N95</f>
        <v>60</v>
      </c>
    </row>
    <row r="337" spans="3:15">
      <c r="D337" s="78" t="s">
        <v>72</v>
      </c>
      <c r="E337" s="78" t="s">
        <v>79</v>
      </c>
      <c r="F337" s="78" t="s">
        <v>86</v>
      </c>
      <c r="G337" s="78" t="s">
        <v>93</v>
      </c>
      <c r="H337" s="78" t="s">
        <v>100</v>
      </c>
      <c r="I337" s="78" t="s">
        <v>107</v>
      </c>
      <c r="J337" s="78" t="s">
        <v>114</v>
      </c>
      <c r="K337" s="78" t="s">
        <v>121</v>
      </c>
      <c r="L337" s="78" t="s">
        <v>129</v>
      </c>
      <c r="M337" s="78" t="s">
        <v>137</v>
      </c>
      <c r="N337" s="78" t="s">
        <v>144</v>
      </c>
      <c r="O337" s="78" t="s">
        <v>151</v>
      </c>
    </row>
    <row r="338" spans="3:15" ht="22.5">
      <c r="C338" s="78" t="s">
        <v>67</v>
      </c>
      <c r="D338" s="78">
        <f>D6</f>
        <v>566</v>
      </c>
      <c r="E338" s="78">
        <f>D14</f>
        <v>0</v>
      </c>
      <c r="F338" s="78">
        <f>D22</f>
        <v>589</v>
      </c>
      <c r="G338" s="78">
        <f>D30</f>
        <v>578</v>
      </c>
      <c r="H338" s="78">
        <f>D38</f>
        <v>488</v>
      </c>
      <c r="I338" s="78">
        <f>D46</f>
        <v>353</v>
      </c>
      <c r="J338" s="78">
        <f>D54</f>
        <v>329</v>
      </c>
      <c r="K338" s="78">
        <f>D62</f>
        <v>474</v>
      </c>
      <c r="L338" s="78">
        <f>D71</f>
        <v>554</v>
      </c>
      <c r="M338" s="78">
        <f>D80</f>
        <v>489</v>
      </c>
      <c r="N338" s="78">
        <f>D88</f>
        <v>514</v>
      </c>
      <c r="O338" s="78">
        <f>D96</f>
        <v>453</v>
      </c>
    </row>
    <row r="339" spans="3:15" ht="22.5">
      <c r="C339" s="78" t="s">
        <v>23</v>
      </c>
      <c r="D339" s="77">
        <f>E6</f>
        <v>0</v>
      </c>
      <c r="E339" s="77">
        <f>E14</f>
        <v>0</v>
      </c>
      <c r="F339" s="77">
        <f>E22</f>
        <v>755</v>
      </c>
      <c r="G339" s="77">
        <f>E30</f>
        <v>801</v>
      </c>
      <c r="H339" s="77">
        <f>E38</f>
        <v>739</v>
      </c>
      <c r="I339" s="77">
        <f>E46</f>
        <v>662</v>
      </c>
      <c r="J339" s="77">
        <f>E54</f>
        <v>669</v>
      </c>
      <c r="K339" s="77">
        <f>E62</f>
        <v>710</v>
      </c>
      <c r="L339" s="77">
        <f>E71</f>
        <v>694</v>
      </c>
      <c r="M339" s="77">
        <f>E80</f>
        <v>693</v>
      </c>
      <c r="N339" s="77">
        <f>E88</f>
        <v>730</v>
      </c>
      <c r="O339" s="77">
        <f>E96</f>
        <v>718</v>
      </c>
    </row>
    <row r="340" spans="3:15" ht="22.5">
      <c r="C340" s="78" t="s">
        <v>26</v>
      </c>
      <c r="D340" s="77">
        <f>F6</f>
        <v>436</v>
      </c>
      <c r="E340" s="77">
        <f>F14</f>
        <v>0</v>
      </c>
      <c r="F340" s="77">
        <f>F22</f>
        <v>435</v>
      </c>
      <c r="G340" s="77">
        <f>F30</f>
        <v>410</v>
      </c>
      <c r="H340" s="77">
        <f>F38</f>
        <v>377</v>
      </c>
      <c r="I340" s="77">
        <f>F46</f>
        <v>255</v>
      </c>
      <c r="J340" s="77">
        <f>F54</f>
        <v>224</v>
      </c>
      <c r="K340" s="77">
        <f>F62</f>
        <v>329</v>
      </c>
      <c r="L340" s="77">
        <f>F71</f>
        <v>445</v>
      </c>
      <c r="M340" s="77">
        <f>F80</f>
        <v>442</v>
      </c>
      <c r="N340" s="77">
        <f>F88</f>
        <v>419</v>
      </c>
      <c r="O340" s="77">
        <f>F96</f>
        <v>342</v>
      </c>
    </row>
    <row r="341" spans="3:15" ht="22.5">
      <c r="C341" s="78" t="s">
        <v>27</v>
      </c>
      <c r="D341" s="77">
        <f>G6</f>
        <v>255</v>
      </c>
      <c r="E341" s="77">
        <f>G14</f>
        <v>259</v>
      </c>
      <c r="F341" s="77">
        <f>G22</f>
        <v>295</v>
      </c>
      <c r="G341" s="77">
        <f>G30</f>
        <v>302</v>
      </c>
      <c r="H341" s="77">
        <f>G38</f>
        <v>298</v>
      </c>
      <c r="I341" s="77">
        <f>G46</f>
        <v>271</v>
      </c>
      <c r="J341" s="77">
        <f>G54</f>
        <v>258</v>
      </c>
      <c r="K341" s="77">
        <f>G62</f>
        <v>283</v>
      </c>
      <c r="L341" s="77">
        <f>G71</f>
        <v>296</v>
      </c>
      <c r="M341" s="77">
        <f>G80</f>
        <v>296</v>
      </c>
      <c r="N341" s="77">
        <f>G88</f>
        <v>279</v>
      </c>
      <c r="O341" s="77">
        <f>G96</f>
        <v>278</v>
      </c>
    </row>
    <row r="342" spans="3:15" ht="22.5">
      <c r="C342" s="78" t="s">
        <v>28</v>
      </c>
      <c r="D342" s="77">
        <f>H6</f>
        <v>0</v>
      </c>
      <c r="E342" s="77">
        <f>H14</f>
        <v>0</v>
      </c>
      <c r="F342" s="77">
        <f>H22</f>
        <v>567</v>
      </c>
      <c r="G342" s="77">
        <f>H30</f>
        <v>575</v>
      </c>
      <c r="H342" s="77">
        <f>H38</f>
        <v>494</v>
      </c>
      <c r="I342" s="77">
        <f>H46</f>
        <v>486</v>
      </c>
      <c r="J342" s="77">
        <f>H54</f>
        <v>474</v>
      </c>
      <c r="K342" s="77">
        <f>H62</f>
        <v>497</v>
      </c>
      <c r="L342" s="77">
        <f>H71</f>
        <v>542</v>
      </c>
      <c r="M342" s="77">
        <f>H80</f>
        <v>404</v>
      </c>
      <c r="N342" s="77">
        <f>H88</f>
        <v>488</v>
      </c>
      <c r="O342" s="77">
        <f>H96</f>
        <v>508</v>
      </c>
    </row>
    <row r="343" spans="3:15">
      <c r="C343" s="360" t="s">
        <v>29</v>
      </c>
      <c r="D343" s="77">
        <f>I6</f>
        <v>204</v>
      </c>
      <c r="E343" s="77">
        <f>I14</f>
        <v>209</v>
      </c>
      <c r="F343" s="77">
        <f>I22</f>
        <v>248</v>
      </c>
      <c r="G343" s="77">
        <f>I30</f>
        <v>213</v>
      </c>
      <c r="H343" s="77">
        <f>I38</f>
        <v>217</v>
      </c>
      <c r="I343" s="77">
        <f>I46</f>
        <v>206</v>
      </c>
      <c r="J343" s="77">
        <f>I54</f>
        <v>206</v>
      </c>
      <c r="K343" s="77">
        <f>I62</f>
        <v>234</v>
      </c>
      <c r="L343" s="77">
        <f>I71</f>
        <v>363</v>
      </c>
      <c r="M343" s="77">
        <f>I80</f>
        <v>194</v>
      </c>
      <c r="N343" s="77">
        <f>I88</f>
        <v>158</v>
      </c>
      <c r="O343" s="77">
        <f>I96</f>
        <v>82</v>
      </c>
    </row>
    <row r="344" spans="3:15">
      <c r="C344" s="360"/>
      <c r="D344" s="77">
        <f>J6</f>
        <v>276</v>
      </c>
      <c r="E344" s="77">
        <f>J14</f>
        <v>366</v>
      </c>
      <c r="F344" s="77">
        <f>J22</f>
        <v>383</v>
      </c>
      <c r="G344" s="77">
        <f>J30</f>
        <v>307</v>
      </c>
      <c r="H344" s="77">
        <f>J38</f>
        <v>217</v>
      </c>
      <c r="I344" s="77">
        <f>J46</f>
        <v>206</v>
      </c>
      <c r="J344" s="77">
        <f>J54</f>
        <v>222</v>
      </c>
      <c r="K344" s="77">
        <f>J62</f>
        <v>395</v>
      </c>
      <c r="L344" s="77">
        <f>J71</f>
        <v>0</v>
      </c>
      <c r="M344" s="77">
        <f>J80</f>
        <v>376</v>
      </c>
      <c r="N344" s="77">
        <f>J88</f>
        <v>286</v>
      </c>
      <c r="O344" s="77">
        <f>J96</f>
        <v>0</v>
      </c>
    </row>
    <row r="345" spans="3:15">
      <c r="C345" s="360"/>
      <c r="D345" s="77">
        <f>K6</f>
        <v>276</v>
      </c>
      <c r="E345" s="77">
        <f>K14</f>
        <v>366</v>
      </c>
      <c r="F345" s="77">
        <f>K22</f>
        <v>383</v>
      </c>
      <c r="G345" s="77">
        <f>K30</f>
        <v>307</v>
      </c>
      <c r="H345" s="77">
        <f>K38</f>
        <v>217</v>
      </c>
      <c r="I345" s="77">
        <f>K46</f>
        <v>206</v>
      </c>
      <c r="J345" s="77">
        <f>K54</f>
        <v>222</v>
      </c>
      <c r="K345" s="77">
        <f>K62</f>
        <v>395</v>
      </c>
      <c r="L345" s="77">
        <f>K71</f>
        <v>363</v>
      </c>
      <c r="M345" s="77">
        <f>K80</f>
        <v>376</v>
      </c>
      <c r="N345" s="77">
        <f>K88</f>
        <v>286</v>
      </c>
      <c r="O345" s="77">
        <f>K96</f>
        <v>82</v>
      </c>
    </row>
    <row r="346" spans="3:15" ht="22.5">
      <c r="C346" s="78" t="s">
        <v>30</v>
      </c>
      <c r="D346" s="77">
        <f>L6</f>
        <v>283</v>
      </c>
      <c r="E346" s="77">
        <f>L14</f>
        <v>282</v>
      </c>
      <c r="F346" s="77">
        <f>L22</f>
        <v>290</v>
      </c>
      <c r="G346" s="77">
        <f>L30</f>
        <v>285</v>
      </c>
      <c r="H346" s="77">
        <f>L38</f>
        <v>282</v>
      </c>
      <c r="I346" s="77">
        <f>L46</f>
        <v>281</v>
      </c>
      <c r="J346" s="77">
        <f>L54</f>
        <v>269</v>
      </c>
      <c r="K346" s="77">
        <f>L62</f>
        <v>264</v>
      </c>
      <c r="L346" s="77">
        <f>L71</f>
        <v>273</v>
      </c>
      <c r="M346" s="77">
        <f>L80</f>
        <v>276</v>
      </c>
      <c r="N346" s="77">
        <f>L88</f>
        <v>282</v>
      </c>
      <c r="O346" s="77">
        <f>L96</f>
        <v>287</v>
      </c>
    </row>
    <row r="347" spans="3:15" ht="22.5">
      <c r="C347" s="78" t="s">
        <v>31</v>
      </c>
      <c r="D347" s="77">
        <f>M6</f>
        <v>459</v>
      </c>
      <c r="E347" s="77">
        <f>M14</f>
        <v>0</v>
      </c>
      <c r="F347" s="77">
        <f>M22</f>
        <v>472</v>
      </c>
      <c r="G347" s="77">
        <f>M30</f>
        <v>460</v>
      </c>
      <c r="H347" s="77">
        <f>M38</f>
        <v>443</v>
      </c>
      <c r="I347" s="77">
        <f>M46</f>
        <v>424</v>
      </c>
      <c r="J347" s="77">
        <f>M54</f>
        <v>404</v>
      </c>
      <c r="K347" s="77">
        <f>M62</f>
        <v>416</v>
      </c>
      <c r="L347" s="77">
        <f>M71</f>
        <v>439</v>
      </c>
      <c r="M347" s="77">
        <f>M80</f>
        <v>449</v>
      </c>
      <c r="N347" s="77">
        <f>M88</f>
        <v>429</v>
      </c>
      <c r="O347" s="77">
        <f>M96</f>
        <v>427</v>
      </c>
    </row>
    <row r="348" spans="3:15" ht="22.5">
      <c r="C348" s="78" t="s">
        <v>32</v>
      </c>
      <c r="D348" s="77">
        <f>N6</f>
        <v>408</v>
      </c>
      <c r="E348" s="77">
        <f>N14</f>
        <v>0</v>
      </c>
      <c r="F348" s="77">
        <f>N22</f>
        <v>424</v>
      </c>
      <c r="G348" s="77">
        <f>N30</f>
        <v>41</v>
      </c>
      <c r="H348" s="77">
        <f>N38</f>
        <v>136</v>
      </c>
      <c r="I348" s="77">
        <f>N46</f>
        <v>88</v>
      </c>
      <c r="J348" s="77">
        <f>N54</f>
        <v>193</v>
      </c>
      <c r="K348" s="77">
        <f>N62</f>
        <v>414</v>
      </c>
      <c r="L348" s="77">
        <f>N71</f>
        <v>50</v>
      </c>
      <c r="M348" s="77">
        <f>N80</f>
        <v>496.25</v>
      </c>
      <c r="N348" s="77">
        <f>N88</f>
        <v>430</v>
      </c>
      <c r="O348" s="77">
        <f>N96</f>
        <v>425</v>
      </c>
    </row>
    <row r="349" spans="3:15">
      <c r="D349" s="78" t="s">
        <v>73</v>
      </c>
      <c r="E349" s="78" t="s">
        <v>80</v>
      </c>
      <c r="F349" s="78" t="s">
        <v>87</v>
      </c>
      <c r="G349" s="78" t="s">
        <v>94</v>
      </c>
      <c r="H349" s="78" t="s">
        <v>101</v>
      </c>
      <c r="I349" s="78" t="s">
        <v>108</v>
      </c>
      <c r="J349" s="78" t="s">
        <v>115</v>
      </c>
      <c r="K349" s="78" t="s">
        <v>122</v>
      </c>
      <c r="L349" s="78" t="s">
        <v>130</v>
      </c>
      <c r="M349" s="78" t="s">
        <v>138</v>
      </c>
      <c r="N349" s="78" t="s">
        <v>145</v>
      </c>
      <c r="O349" s="78" t="s">
        <v>152</v>
      </c>
    </row>
    <row r="350" spans="3:15" ht="22.5">
      <c r="C350" s="78" t="s">
        <v>67</v>
      </c>
      <c r="D350" s="78">
        <f>D7</f>
        <v>496</v>
      </c>
      <c r="E350" s="78">
        <f>D15</f>
        <v>628</v>
      </c>
      <c r="F350" s="78">
        <f>D23</f>
        <v>624</v>
      </c>
      <c r="G350" s="78">
        <f>D31</f>
        <v>500</v>
      </c>
      <c r="H350" s="78">
        <f>D39</f>
        <v>413</v>
      </c>
      <c r="I350" s="78">
        <f>D47</f>
        <v>392</v>
      </c>
      <c r="J350" s="78">
        <f>D55</f>
        <v>377</v>
      </c>
      <c r="K350" s="78">
        <f>D63</f>
        <v>476</v>
      </c>
      <c r="L350" s="78">
        <f>D72</f>
        <v>728</v>
      </c>
      <c r="M350" s="78">
        <f>D81</f>
        <v>672</v>
      </c>
      <c r="N350" s="78">
        <f>D89</f>
        <v>712</v>
      </c>
      <c r="O350" s="78">
        <f>D97</f>
        <v>699</v>
      </c>
    </row>
    <row r="351" spans="3:15" ht="22.5">
      <c r="C351" s="78" t="s">
        <v>23</v>
      </c>
      <c r="D351" s="77">
        <f>E7</f>
        <v>728</v>
      </c>
      <c r="E351" s="77">
        <f>E15</f>
        <v>758</v>
      </c>
      <c r="F351" s="77">
        <f>E23</f>
        <v>776</v>
      </c>
      <c r="G351" s="77">
        <f>E31</f>
        <v>728</v>
      </c>
      <c r="H351" s="77">
        <f>E39</f>
        <v>653</v>
      </c>
      <c r="I351" s="77">
        <f>E47</f>
        <v>633</v>
      </c>
      <c r="J351" s="77">
        <f>E55</f>
        <v>593</v>
      </c>
      <c r="K351" s="77">
        <f>E63</f>
        <v>695</v>
      </c>
      <c r="L351" s="77">
        <f>E72</f>
        <v>770</v>
      </c>
      <c r="M351" s="77">
        <f>E81</f>
        <v>772</v>
      </c>
      <c r="N351" s="77">
        <f>E89</f>
        <v>769</v>
      </c>
      <c r="O351" s="77">
        <f>E97</f>
        <v>760</v>
      </c>
    </row>
    <row r="352" spans="3:15" ht="11.25" customHeight="1">
      <c r="C352" s="78" t="s">
        <v>26</v>
      </c>
      <c r="D352" s="77">
        <f>F7</f>
        <v>412</v>
      </c>
      <c r="E352" s="77">
        <f>F15</f>
        <v>474</v>
      </c>
      <c r="F352" s="77">
        <f>F23</f>
        <v>478</v>
      </c>
      <c r="G352" s="77">
        <f>F31</f>
        <v>418</v>
      </c>
      <c r="H352" s="77">
        <f>F39</f>
        <v>351</v>
      </c>
      <c r="I352" s="77">
        <f>F47</f>
        <v>348</v>
      </c>
      <c r="J352" s="77">
        <f>F55</f>
        <v>347</v>
      </c>
      <c r="K352" s="77">
        <f>F63</f>
        <v>408</v>
      </c>
      <c r="L352" s="77">
        <f>F72</f>
        <v>598</v>
      </c>
      <c r="M352" s="77">
        <f>F81</f>
        <v>577</v>
      </c>
      <c r="N352" s="77">
        <f>F89</f>
        <v>636</v>
      </c>
      <c r="O352" s="77">
        <f>F97</f>
        <v>528</v>
      </c>
    </row>
    <row r="353" spans="3:15" ht="22.5">
      <c r="C353" s="78" t="s">
        <v>27</v>
      </c>
      <c r="D353" s="77">
        <f>G7</f>
        <v>286</v>
      </c>
      <c r="E353" s="77">
        <f>G15</f>
        <v>316</v>
      </c>
      <c r="F353" s="77">
        <f>G23</f>
        <v>321</v>
      </c>
      <c r="G353" s="77">
        <f>G31</f>
        <v>308</v>
      </c>
      <c r="H353" s="77">
        <f>G39</f>
        <v>301</v>
      </c>
      <c r="I353" s="77">
        <f>G47</f>
        <v>294</v>
      </c>
      <c r="J353" s="77">
        <f>G55</f>
        <v>297</v>
      </c>
      <c r="K353" s="77">
        <f>G63</f>
        <v>264</v>
      </c>
      <c r="L353" s="77">
        <f>G72</f>
        <v>296.39999999999998</v>
      </c>
      <c r="M353" s="77">
        <f>G81</f>
        <v>360</v>
      </c>
      <c r="N353" s="77">
        <f>G89</f>
        <v>368</v>
      </c>
      <c r="O353" s="77">
        <f>G97</f>
        <v>341</v>
      </c>
    </row>
    <row r="354" spans="3:15" ht="22.5">
      <c r="C354" s="78" t="s">
        <v>28</v>
      </c>
      <c r="D354" s="77">
        <f>H7</f>
        <v>386</v>
      </c>
      <c r="E354" s="77">
        <f>H15</f>
        <v>454</v>
      </c>
      <c r="F354" s="77">
        <f>H23</f>
        <v>466</v>
      </c>
      <c r="G354" s="77">
        <f>H31</f>
        <v>436</v>
      </c>
      <c r="H354" s="77">
        <f>H39</f>
        <v>394</v>
      </c>
      <c r="I354" s="77">
        <f>H47</f>
        <v>347</v>
      </c>
      <c r="J354" s="77">
        <f>H55</f>
        <v>327</v>
      </c>
      <c r="K354" s="77">
        <f>H63</f>
        <v>396</v>
      </c>
      <c r="L354" s="77">
        <f>H72</f>
        <v>534</v>
      </c>
      <c r="M354" s="77">
        <f>H81</f>
        <v>529</v>
      </c>
      <c r="N354" s="77">
        <f>H89</f>
        <v>551</v>
      </c>
      <c r="O354" s="77">
        <f>H97</f>
        <v>519</v>
      </c>
    </row>
    <row r="355" spans="3:15">
      <c r="C355" s="360" t="s">
        <v>29</v>
      </c>
      <c r="D355" s="77">
        <f>I7</f>
        <v>244</v>
      </c>
      <c r="E355" s="77">
        <f>I15</f>
        <v>315</v>
      </c>
      <c r="F355" s="77">
        <f>I23</f>
        <v>235</v>
      </c>
      <c r="G355" s="77">
        <f>I31</f>
        <v>0</v>
      </c>
      <c r="H355" s="77">
        <f>I39</f>
        <v>195</v>
      </c>
      <c r="I355" s="77">
        <f>I47</f>
        <v>500</v>
      </c>
      <c r="J355" s="77">
        <f>I55</f>
        <v>500</v>
      </c>
      <c r="K355" s="77">
        <f>I63</f>
        <v>397</v>
      </c>
      <c r="L355" s="77">
        <f>I72</f>
        <v>263</v>
      </c>
      <c r="M355" s="77">
        <f>I81</f>
        <v>468</v>
      </c>
      <c r="N355" s="77">
        <f>I89</f>
        <v>425</v>
      </c>
      <c r="O355" s="77">
        <f>I97</f>
        <v>383</v>
      </c>
    </row>
    <row r="356" spans="3:15">
      <c r="C356" s="360"/>
      <c r="D356" s="77">
        <f>J7</f>
        <v>341</v>
      </c>
      <c r="E356" s="77">
        <f>J15</f>
        <v>446</v>
      </c>
      <c r="F356" s="77">
        <f>J23</f>
        <v>404</v>
      </c>
      <c r="G356" s="77">
        <f>J31</f>
        <v>130</v>
      </c>
      <c r="H356" s="77">
        <f>J39</f>
        <v>282</v>
      </c>
      <c r="I356" s="77">
        <f>J47</f>
        <v>0</v>
      </c>
      <c r="J356" s="77">
        <f>J55</f>
        <v>500</v>
      </c>
      <c r="K356" s="77">
        <f>J63</f>
        <v>626</v>
      </c>
      <c r="L356" s="77">
        <f>J72</f>
        <v>431</v>
      </c>
      <c r="M356" s="77">
        <f>J81</f>
        <v>750</v>
      </c>
      <c r="N356" s="77">
        <f>J89</f>
        <v>631</v>
      </c>
      <c r="O356" s="77">
        <f>J97</f>
        <v>749</v>
      </c>
    </row>
    <row r="357" spans="3:15">
      <c r="C357" s="360"/>
      <c r="D357" s="77">
        <f>K7</f>
        <v>341</v>
      </c>
      <c r="E357" s="77">
        <f>K15</f>
        <v>446</v>
      </c>
      <c r="F357" s="77">
        <f>K23</f>
        <v>404</v>
      </c>
      <c r="G357" s="77">
        <f>K31</f>
        <v>130</v>
      </c>
      <c r="H357" s="77">
        <f>K39</f>
        <v>282</v>
      </c>
      <c r="I357" s="77">
        <f>K47</f>
        <v>500</v>
      </c>
      <c r="J357" s="77">
        <f>K55</f>
        <v>500</v>
      </c>
      <c r="K357" s="77">
        <f>K63</f>
        <v>626</v>
      </c>
      <c r="L357" s="77">
        <f>K72</f>
        <v>431</v>
      </c>
      <c r="M357" s="77">
        <f>K81</f>
        <v>750</v>
      </c>
      <c r="N357" s="77">
        <f>K89</f>
        <v>631</v>
      </c>
      <c r="O357" s="77">
        <f>K97</f>
        <v>749</v>
      </c>
    </row>
    <row r="358" spans="3:15" ht="22.5">
      <c r="C358" s="78" t="s">
        <v>30</v>
      </c>
      <c r="D358" s="77">
        <f>L7</f>
        <v>283</v>
      </c>
      <c r="E358" s="77">
        <f>L15</f>
        <v>294</v>
      </c>
      <c r="F358" s="77">
        <f>L23</f>
        <v>273</v>
      </c>
      <c r="G358" s="77">
        <f>L31</f>
        <v>276</v>
      </c>
      <c r="H358" s="77">
        <f>L39</f>
        <v>268</v>
      </c>
      <c r="I358" s="77">
        <f>L47</f>
        <v>270</v>
      </c>
      <c r="J358" s="77">
        <f>L55</f>
        <v>270</v>
      </c>
      <c r="K358" s="77">
        <f>L63</f>
        <v>270</v>
      </c>
      <c r="L358" s="77">
        <f>L72</f>
        <v>320</v>
      </c>
      <c r="M358" s="77">
        <f>L81</f>
        <v>292</v>
      </c>
      <c r="N358" s="77">
        <f>L89</f>
        <v>297</v>
      </c>
      <c r="O358" s="77">
        <f>L97</f>
        <v>292</v>
      </c>
    </row>
    <row r="359" spans="3:15" ht="22.5">
      <c r="C359" s="78" t="s">
        <v>31</v>
      </c>
      <c r="D359" s="77">
        <f>M7</f>
        <v>386</v>
      </c>
      <c r="E359" s="77">
        <f>M15</f>
        <v>425</v>
      </c>
      <c r="F359" s="77">
        <f>M23</f>
        <v>441</v>
      </c>
      <c r="G359" s="77">
        <f>M31</f>
        <v>400</v>
      </c>
      <c r="H359" s="77">
        <f>M39</f>
        <v>396</v>
      </c>
      <c r="I359" s="77">
        <f>M47</f>
        <v>412</v>
      </c>
      <c r="J359" s="77">
        <f>M55</f>
        <v>415</v>
      </c>
      <c r="K359" s="77">
        <f>M63</f>
        <v>435</v>
      </c>
      <c r="L359" s="77">
        <f>M72</f>
        <v>514</v>
      </c>
      <c r="M359" s="77">
        <f>M81</f>
        <v>503</v>
      </c>
      <c r="N359" s="77">
        <f>M89</f>
        <v>498</v>
      </c>
      <c r="O359" s="77">
        <f>M97</f>
        <v>498</v>
      </c>
    </row>
    <row r="360" spans="3:15" ht="22.5">
      <c r="C360" s="78" t="s">
        <v>32</v>
      </c>
      <c r="D360" s="77">
        <f>N7</f>
        <v>425</v>
      </c>
      <c r="E360" s="77">
        <f>N15</f>
        <v>0</v>
      </c>
      <c r="F360" s="77">
        <f>N23</f>
        <v>427</v>
      </c>
      <c r="G360" s="77">
        <f>N31</f>
        <v>413</v>
      </c>
      <c r="H360" s="77">
        <f>N39</f>
        <v>406</v>
      </c>
      <c r="I360" s="77">
        <f>N47</f>
        <v>391</v>
      </c>
      <c r="J360" s="77">
        <f>N55</f>
        <v>394</v>
      </c>
      <c r="K360" s="77">
        <f>N63</f>
        <v>482.6</v>
      </c>
      <c r="L360" s="77">
        <f>N72</f>
        <v>515</v>
      </c>
      <c r="M360" s="77">
        <f>N81</f>
        <v>496.25</v>
      </c>
      <c r="N360" s="77">
        <f>N89</f>
        <v>401</v>
      </c>
      <c r="O360" s="77">
        <f>N97</f>
        <v>403</v>
      </c>
    </row>
    <row r="361" spans="3:15">
      <c r="D361" s="78" t="s">
        <v>74</v>
      </c>
      <c r="E361" s="78" t="s">
        <v>81</v>
      </c>
      <c r="F361" s="78" t="s">
        <v>88</v>
      </c>
      <c r="G361" s="78" t="s">
        <v>95</v>
      </c>
      <c r="H361" s="78" t="s">
        <v>102</v>
      </c>
      <c r="I361" s="78" t="s">
        <v>109</v>
      </c>
      <c r="J361" s="78" t="s">
        <v>116</v>
      </c>
      <c r="K361" s="78" t="s">
        <v>123</v>
      </c>
      <c r="L361" s="78" t="s">
        <v>131</v>
      </c>
    </row>
    <row r="362" spans="3:15" ht="22.5">
      <c r="C362" s="78" t="s">
        <v>67</v>
      </c>
      <c r="D362" s="78">
        <f>D8</f>
        <v>606</v>
      </c>
      <c r="E362" s="78">
        <f>D16</f>
        <v>573</v>
      </c>
      <c r="F362" s="78">
        <f>D24</f>
        <v>678</v>
      </c>
      <c r="G362" s="78">
        <f>D32</f>
        <v>605</v>
      </c>
      <c r="H362" s="78">
        <f>D40</f>
        <v>525</v>
      </c>
      <c r="I362" s="78">
        <f>D48</f>
        <v>383</v>
      </c>
      <c r="J362" s="78">
        <f>D56</f>
        <v>412</v>
      </c>
      <c r="K362" s="78">
        <f>D64</f>
        <v>0</v>
      </c>
      <c r="L362" s="78">
        <f>D73</f>
        <v>0</v>
      </c>
    </row>
    <row r="363" spans="3:15" ht="22.5">
      <c r="C363" s="78" t="s">
        <v>23</v>
      </c>
      <c r="D363" s="77">
        <f>E8</f>
        <v>726</v>
      </c>
      <c r="E363" s="77">
        <f>E16</f>
        <v>737</v>
      </c>
      <c r="F363" s="77">
        <f>E24</f>
        <v>860</v>
      </c>
      <c r="G363" s="77">
        <f>E32</f>
        <v>779</v>
      </c>
      <c r="H363" s="77">
        <f>E40</f>
        <v>756</v>
      </c>
      <c r="I363" s="77">
        <f>E48</f>
        <v>997</v>
      </c>
      <c r="J363" s="77">
        <f>E56</f>
        <v>682</v>
      </c>
      <c r="K363" s="77">
        <f>E64</f>
        <v>0</v>
      </c>
      <c r="L363" s="77">
        <f>E73</f>
        <v>0</v>
      </c>
    </row>
    <row r="364" spans="3:15" ht="22.5">
      <c r="C364" s="78" t="s">
        <v>26</v>
      </c>
      <c r="D364" s="77">
        <f>F8</f>
        <v>485</v>
      </c>
      <c r="E364" s="77">
        <f>F16</f>
        <v>467</v>
      </c>
      <c r="F364" s="77">
        <f>F24</f>
        <v>515</v>
      </c>
      <c r="G364" s="77">
        <f>F32</f>
        <v>472</v>
      </c>
      <c r="H364" s="77">
        <f>F40</f>
        <v>417</v>
      </c>
      <c r="I364" s="77">
        <f>F48</f>
        <v>332</v>
      </c>
      <c r="J364" s="77">
        <f>F56</f>
        <v>0</v>
      </c>
      <c r="K364" s="77">
        <f>F64</f>
        <v>0</v>
      </c>
      <c r="L364" s="77">
        <f>F73</f>
        <v>0</v>
      </c>
    </row>
    <row r="365" spans="3:15" ht="11.25" customHeight="1">
      <c r="C365" s="78" t="s">
        <v>27</v>
      </c>
      <c r="D365" s="77">
        <f>G8</f>
        <v>321</v>
      </c>
      <c r="E365" s="77">
        <f>G16</f>
        <v>334</v>
      </c>
      <c r="F365" s="77">
        <f>G24</f>
        <v>359</v>
      </c>
      <c r="G365" s="77">
        <f>G32</f>
        <v>346</v>
      </c>
      <c r="H365" s="77">
        <f>G40</f>
        <v>343</v>
      </c>
      <c r="I365" s="77">
        <f>G48</f>
        <v>316</v>
      </c>
      <c r="J365" s="77">
        <f>G56</f>
        <v>310</v>
      </c>
      <c r="K365" s="77">
        <f>G64</f>
        <v>0</v>
      </c>
      <c r="L365" s="77">
        <f>G73</f>
        <v>0</v>
      </c>
    </row>
    <row r="366" spans="3:15" ht="22.5">
      <c r="C366" s="78" t="s">
        <v>28</v>
      </c>
      <c r="D366" s="77">
        <f>H8</f>
        <v>448</v>
      </c>
      <c r="E366" s="77">
        <f>H16</f>
        <v>432</v>
      </c>
      <c r="F366" s="77">
        <f>H24</f>
        <v>528</v>
      </c>
      <c r="G366" s="77">
        <f>H32</f>
        <v>480</v>
      </c>
      <c r="H366" s="77">
        <f>H40</f>
        <v>446</v>
      </c>
      <c r="I366" s="77">
        <f>H48</f>
        <v>358</v>
      </c>
      <c r="J366" s="77">
        <f>H56</f>
        <v>0</v>
      </c>
      <c r="K366" s="77">
        <f>H64</f>
        <v>0</v>
      </c>
      <c r="L366" s="77">
        <f>H73</f>
        <v>0</v>
      </c>
    </row>
    <row r="367" spans="3:15">
      <c r="C367" s="360" t="s">
        <v>29</v>
      </c>
      <c r="D367" s="77">
        <f>I8</f>
        <v>556</v>
      </c>
      <c r="E367" s="77">
        <f>I16</f>
        <v>556</v>
      </c>
      <c r="F367" s="77">
        <f>I24</f>
        <v>529</v>
      </c>
      <c r="G367" s="77">
        <f>I32</f>
        <v>483</v>
      </c>
      <c r="H367" s="77">
        <f>I40</f>
        <v>457</v>
      </c>
      <c r="I367" s="77">
        <f>I48</f>
        <v>0</v>
      </c>
      <c r="J367" s="77">
        <f>I56</f>
        <v>540</v>
      </c>
      <c r="K367" s="77">
        <f>I64</f>
        <v>0</v>
      </c>
      <c r="L367" s="77">
        <f>I73</f>
        <v>0</v>
      </c>
    </row>
    <row r="368" spans="3:15">
      <c r="C368" s="360"/>
      <c r="D368" s="77">
        <f>J8</f>
        <v>810</v>
      </c>
      <c r="E368" s="77">
        <f>J16</f>
        <v>810</v>
      </c>
      <c r="F368" s="77">
        <f>J24</f>
        <v>893</v>
      </c>
      <c r="G368" s="77">
        <f>J32</f>
        <v>764</v>
      </c>
      <c r="H368" s="77">
        <f>J40</f>
        <v>702</v>
      </c>
      <c r="I368" s="77">
        <f>J48</f>
        <v>0</v>
      </c>
      <c r="J368" s="77">
        <f>J56</f>
        <v>373</v>
      </c>
      <c r="K368" s="77">
        <f>J64</f>
        <v>0</v>
      </c>
      <c r="L368" s="77">
        <f>J73</f>
        <v>0</v>
      </c>
    </row>
    <row r="369" spans="3:12">
      <c r="C369" s="360"/>
      <c r="D369" s="77">
        <f>K8</f>
        <v>810</v>
      </c>
      <c r="E369" s="77">
        <f>K16</f>
        <v>810</v>
      </c>
      <c r="F369" s="77">
        <f>K24</f>
        <v>893</v>
      </c>
      <c r="G369" s="77">
        <f>K32</f>
        <v>764</v>
      </c>
      <c r="H369" s="77">
        <f>K40</f>
        <v>702</v>
      </c>
      <c r="I369" s="77">
        <f>K48</f>
        <v>0</v>
      </c>
      <c r="J369" s="77">
        <f>K56</f>
        <v>540</v>
      </c>
      <c r="K369" s="77">
        <f>K64</f>
        <v>0</v>
      </c>
      <c r="L369" s="77">
        <f>K73</f>
        <v>0</v>
      </c>
    </row>
    <row r="370" spans="3:12" ht="22.5">
      <c r="C370" s="78" t="s">
        <v>30</v>
      </c>
      <c r="D370" s="77">
        <f>L8</f>
        <v>288</v>
      </c>
      <c r="E370" s="77">
        <f>L16</f>
        <v>286</v>
      </c>
      <c r="F370" s="77">
        <f>L24</f>
        <v>300</v>
      </c>
      <c r="G370" s="77">
        <f>L32</f>
        <v>291</v>
      </c>
      <c r="H370" s="77">
        <f>L40</f>
        <v>281</v>
      </c>
      <c r="I370" s="77">
        <f>L48</f>
        <v>0</v>
      </c>
      <c r="J370" s="77">
        <f>L56</f>
        <v>0</v>
      </c>
      <c r="K370" s="77">
        <f>L64</f>
        <v>0</v>
      </c>
      <c r="L370" s="77">
        <f>L73</f>
        <v>0</v>
      </c>
    </row>
    <row r="371" spans="3:12" ht="22.5">
      <c r="C371" s="78" t="s">
        <v>31</v>
      </c>
      <c r="D371" s="77">
        <f>M8</f>
        <v>492</v>
      </c>
      <c r="E371" s="77">
        <f>M16</f>
        <v>480</v>
      </c>
      <c r="F371" s="77">
        <f>M24</f>
        <v>506</v>
      </c>
      <c r="G371" s="77">
        <f>M32</f>
        <v>447</v>
      </c>
      <c r="H371" s="77">
        <f>M40</f>
        <v>438</v>
      </c>
      <c r="I371" s="77">
        <f>M48</f>
        <v>0</v>
      </c>
      <c r="J371" s="77">
        <f>M56</f>
        <v>0</v>
      </c>
      <c r="K371" s="77">
        <f>M64</f>
        <v>0</v>
      </c>
      <c r="L371" s="77">
        <f>M73</f>
        <v>0</v>
      </c>
    </row>
    <row r="372" spans="3:12" ht="22.5">
      <c r="C372" s="78" t="s">
        <v>32</v>
      </c>
      <c r="D372" s="77">
        <f>N8</f>
        <v>403</v>
      </c>
      <c r="E372" s="77">
        <f>N16</f>
        <v>396</v>
      </c>
      <c r="F372" s="77">
        <f>N24</f>
        <v>398</v>
      </c>
      <c r="G372" s="77">
        <f>N32</f>
        <v>408</v>
      </c>
      <c r="H372" s="77">
        <f>N40</f>
        <v>398</v>
      </c>
      <c r="I372" s="77">
        <f>N48</f>
        <v>0</v>
      </c>
      <c r="J372" s="77">
        <f>N56</f>
        <v>0</v>
      </c>
      <c r="K372" s="77">
        <f>N64</f>
        <v>0</v>
      </c>
      <c r="L372" s="77">
        <f>N73</f>
        <v>0</v>
      </c>
    </row>
  </sheetData>
  <mergeCells count="16">
    <mergeCell ref="C343:C345"/>
    <mergeCell ref="C355:C357"/>
    <mergeCell ref="C367:C369"/>
    <mergeCell ref="C307:C309"/>
    <mergeCell ref="C319:C321"/>
    <mergeCell ref="C331:C333"/>
    <mergeCell ref="A165:C165"/>
    <mergeCell ref="A166:C166"/>
    <mergeCell ref="A167:C167"/>
    <mergeCell ref="C126:C127"/>
    <mergeCell ref="I1:K1"/>
    <mergeCell ref="I103:K103"/>
    <mergeCell ref="B102:C102"/>
    <mergeCell ref="I134:K134"/>
    <mergeCell ref="I147:K147"/>
    <mergeCell ref="I164:K164"/>
  </mergeCells>
  <phoneticPr fontId="6" type="noConversion"/>
  <pageMargins left="0.511811024" right="0.511811024" top="0.78740157499999996" bottom="0.78740157499999996" header="0.31496062000000002" footer="0.31496062000000002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2B9F2F-00AF-4237-A3B6-2C4E7136308D}">
  <dimension ref="A1:I122"/>
  <sheetViews>
    <sheetView topLeftCell="A61" zoomScale="80" zoomScaleNormal="80" workbookViewId="0">
      <selection activeCell="H98" sqref="H98"/>
    </sheetView>
  </sheetViews>
  <sheetFormatPr defaultColWidth="8.85546875" defaultRowHeight="11.25"/>
  <cols>
    <col min="1" max="1" width="2.85546875" style="77" bestFit="1" customWidth="1"/>
    <col min="2" max="4" width="16" style="77" bestFit="1" customWidth="1"/>
    <col min="5" max="5" width="16.140625" style="77" bestFit="1" customWidth="1"/>
    <col min="6" max="6" width="17.85546875" style="77" bestFit="1" customWidth="1"/>
    <col min="7" max="7" width="16.85546875" style="77" bestFit="1" customWidth="1"/>
    <col min="8" max="8" width="14.85546875" style="77" bestFit="1" customWidth="1"/>
    <col min="9" max="9" width="15.28515625" style="77" bestFit="1" customWidth="1"/>
    <col min="10" max="16384" width="8.85546875" style="77"/>
  </cols>
  <sheetData>
    <row r="1" spans="1:9">
      <c r="A1" s="77">
        <v>0.9</v>
      </c>
    </row>
    <row r="2" spans="1:9" ht="23.25" thickBot="1">
      <c r="C2" s="190" t="s">
        <v>163</v>
      </c>
      <c r="D2" s="190" t="s">
        <v>164</v>
      </c>
      <c r="E2" s="190" t="s">
        <v>165</v>
      </c>
      <c r="F2" s="190" t="s">
        <v>166</v>
      </c>
      <c r="G2" s="190" t="s">
        <v>167</v>
      </c>
      <c r="H2" s="190" t="s">
        <v>168</v>
      </c>
      <c r="I2" s="190" t="s">
        <v>169</v>
      </c>
    </row>
    <row r="3" spans="1:9" ht="12" thickBot="1">
      <c r="A3" s="77">
        <f t="shared" ref="A3:A9" si="0">MONTH(DATE(YEAR(B3),MONTH(B3),DAY(B3)))</f>
        <v>1</v>
      </c>
      <c r="B3" s="128">
        <v>43101</v>
      </c>
      <c r="C3" s="191">
        <v>35400</v>
      </c>
      <c r="D3" s="191">
        <v>7298</v>
      </c>
      <c r="F3" s="192">
        <v>865</v>
      </c>
      <c r="G3" s="191">
        <v>2170</v>
      </c>
      <c r="H3" s="192">
        <v>830</v>
      </c>
    </row>
    <row r="4" spans="1:9" ht="12" thickBot="1">
      <c r="A4" s="77">
        <f t="shared" si="0"/>
        <v>1</v>
      </c>
      <c r="B4" s="128">
        <v>43466</v>
      </c>
      <c r="C4" s="193">
        <v>42300</v>
      </c>
      <c r="D4" s="193">
        <v>9012</v>
      </c>
      <c r="E4" s="77">
        <v>2087</v>
      </c>
      <c r="F4" s="194">
        <v>477</v>
      </c>
      <c r="G4" s="193">
        <v>1930</v>
      </c>
      <c r="H4" s="194">
        <v>630</v>
      </c>
      <c r="I4" s="195">
        <v>1110</v>
      </c>
    </row>
    <row r="5" spans="1:9" ht="12" thickBot="1">
      <c r="A5" s="77">
        <f t="shared" si="0"/>
        <v>1</v>
      </c>
      <c r="B5" s="128">
        <v>43831</v>
      </c>
      <c r="C5" s="193">
        <v>40200</v>
      </c>
      <c r="D5" s="193">
        <v>7144</v>
      </c>
      <c r="E5" s="77">
        <v>2294</v>
      </c>
      <c r="F5" s="194">
        <v>408</v>
      </c>
      <c r="G5" s="193">
        <v>1950</v>
      </c>
      <c r="H5" s="194">
        <v>510</v>
      </c>
      <c r="I5" s="196">
        <v>610</v>
      </c>
    </row>
    <row r="6" spans="1:9" ht="12" thickBot="1">
      <c r="A6" s="77">
        <f t="shared" si="0"/>
        <v>1</v>
      </c>
      <c r="B6" s="128">
        <v>44197</v>
      </c>
      <c r="C6" s="193">
        <v>25800</v>
      </c>
      <c r="D6" s="193">
        <v>3264</v>
      </c>
      <c r="E6" s="77">
        <v>6027</v>
      </c>
      <c r="F6" s="194">
        <v>329</v>
      </c>
      <c r="G6" s="193">
        <v>1180</v>
      </c>
      <c r="H6" s="194">
        <v>320</v>
      </c>
      <c r="I6" s="196">
        <v>750</v>
      </c>
    </row>
    <row r="7" spans="1:9" ht="12" thickBot="1">
      <c r="A7" s="77">
        <f t="shared" si="0"/>
        <v>1</v>
      </c>
      <c r="B7" s="128">
        <v>44562</v>
      </c>
      <c r="C7" s="193">
        <v>24300</v>
      </c>
      <c r="D7" s="193">
        <v>3473</v>
      </c>
      <c r="E7" s="77">
        <v>2251</v>
      </c>
      <c r="F7" s="194">
        <v>415</v>
      </c>
      <c r="G7" s="193">
        <v>1350</v>
      </c>
      <c r="H7" s="194">
        <v>380</v>
      </c>
      <c r="I7" s="196">
        <v>550</v>
      </c>
    </row>
    <row r="8" spans="1:9" ht="12" thickBot="1">
      <c r="A8" s="77">
        <f t="shared" si="0"/>
        <v>1</v>
      </c>
      <c r="B8" s="128">
        <v>44927</v>
      </c>
      <c r="C8" s="193">
        <v>27300</v>
      </c>
      <c r="D8" s="193">
        <v>2029</v>
      </c>
      <c r="E8" s="77">
        <v>3501</v>
      </c>
      <c r="F8" s="197">
        <v>416</v>
      </c>
      <c r="G8" s="193">
        <v>1160</v>
      </c>
      <c r="H8" s="193">
        <v>250</v>
      </c>
      <c r="I8" s="196">
        <v>530</v>
      </c>
    </row>
    <row r="9" spans="1:9" ht="12" thickBot="1">
      <c r="A9" s="77">
        <f t="shared" si="0"/>
        <v>1</v>
      </c>
      <c r="B9" s="128">
        <v>45292</v>
      </c>
      <c r="C9" s="193">
        <v>32400</v>
      </c>
      <c r="D9" s="193">
        <v>3036</v>
      </c>
      <c r="E9" s="77">
        <v>3582</v>
      </c>
      <c r="F9" s="194">
        <v>589</v>
      </c>
      <c r="G9" s="193">
        <v>1310</v>
      </c>
      <c r="H9" s="194">
        <v>530</v>
      </c>
      <c r="I9" s="196">
        <v>700</v>
      </c>
    </row>
    <row r="10" spans="1:9" ht="12" thickBot="1">
      <c r="B10" s="128"/>
      <c r="C10" s="193">
        <f>_xlfn.FORECAST.ETS(DATE(2025,1,1),C$3:C$9,$B$3:$B$9,1,1)+_xlfn.FORECAST.ETS.CONFINT(DATE(2025,1,1),C$3:C$9,$B$3:$B$9,$A$1,1)</f>
        <v>33195.826111394061</v>
      </c>
      <c r="D10" s="193">
        <f t="shared" ref="D10:I10" si="1">_xlfn.FORECAST.ETS(DATE(2025,1,1),D$3:D$9,$B$3:$B$9,1,1)+_xlfn.FORECAST.ETS.CONFINT(DATE(2025,1,1),D$3:D$9,$B$3:$B$9,$A$1,1)</f>
        <v>2809.0439663980483</v>
      </c>
      <c r="E10" s="193">
        <f t="shared" si="1"/>
        <v>5941.338232371957</v>
      </c>
      <c r="F10" s="193">
        <f t="shared" si="1"/>
        <v>807.43949746100714</v>
      </c>
      <c r="G10" s="193">
        <f t="shared" si="1"/>
        <v>1341.0960646742274</v>
      </c>
      <c r="H10" s="193">
        <f t="shared" si="1"/>
        <v>638.49812893502553</v>
      </c>
      <c r="I10" s="193">
        <f t="shared" si="1"/>
        <v>950.8142148363836</v>
      </c>
    </row>
    <row r="11" spans="1:9" ht="12" thickBot="1">
      <c r="A11" s="77">
        <f t="shared" ref="A11:A17" si="2">MONTH(DATE(YEAR(B11),MONTH(B11),DAY(B11)))</f>
        <v>2</v>
      </c>
      <c r="B11" s="128">
        <v>43132</v>
      </c>
      <c r="C11" s="197">
        <v>36000</v>
      </c>
      <c r="D11" s="197">
        <v>7127</v>
      </c>
      <c r="F11" s="198">
        <v>603</v>
      </c>
      <c r="G11" s="197">
        <v>1960</v>
      </c>
      <c r="H11" s="198">
        <v>780</v>
      </c>
    </row>
    <row r="12" spans="1:9" ht="12" thickBot="1">
      <c r="A12" s="77">
        <f t="shared" si="2"/>
        <v>2</v>
      </c>
      <c r="B12" s="128">
        <v>43497</v>
      </c>
      <c r="C12" s="197">
        <v>35400</v>
      </c>
      <c r="D12" s="197">
        <v>7958</v>
      </c>
      <c r="E12" s="77">
        <v>2841</v>
      </c>
      <c r="F12" s="198">
        <v>425</v>
      </c>
      <c r="G12" s="197">
        <v>1730</v>
      </c>
      <c r="H12" s="198">
        <v>500</v>
      </c>
      <c r="I12" s="199">
        <v>1070</v>
      </c>
    </row>
    <row r="13" spans="1:9" ht="12" thickBot="1">
      <c r="A13" s="77">
        <f t="shared" si="2"/>
        <v>2</v>
      </c>
      <c r="B13" s="128">
        <v>43862</v>
      </c>
      <c r="C13" s="197">
        <v>34200</v>
      </c>
      <c r="D13" s="197">
        <v>6738</v>
      </c>
      <c r="E13" s="77">
        <v>2352</v>
      </c>
      <c r="F13" s="198">
        <v>410</v>
      </c>
      <c r="G13" s="197">
        <v>1550</v>
      </c>
      <c r="H13" s="198">
        <v>380</v>
      </c>
      <c r="I13" s="200">
        <v>670</v>
      </c>
    </row>
    <row r="14" spans="1:9" ht="12" thickBot="1">
      <c r="A14" s="77">
        <f t="shared" si="2"/>
        <v>2</v>
      </c>
      <c r="B14" s="128">
        <v>44228</v>
      </c>
      <c r="C14" s="197">
        <v>24300</v>
      </c>
      <c r="D14" s="197">
        <v>2597</v>
      </c>
      <c r="E14" s="77">
        <v>2782</v>
      </c>
      <c r="F14" s="198">
        <v>307</v>
      </c>
      <c r="G14" s="197">
        <v>1180</v>
      </c>
      <c r="H14" s="198">
        <v>310</v>
      </c>
      <c r="I14" s="200">
        <v>700</v>
      </c>
    </row>
    <row r="15" spans="1:9" ht="12" thickBot="1">
      <c r="A15" s="77">
        <f t="shared" si="2"/>
        <v>2</v>
      </c>
      <c r="B15" s="128">
        <v>44593</v>
      </c>
      <c r="C15" s="197">
        <v>14700</v>
      </c>
      <c r="D15" s="197">
        <v>3603</v>
      </c>
      <c r="E15" s="77">
        <v>2886</v>
      </c>
      <c r="F15" s="198">
        <v>434</v>
      </c>
      <c r="G15" s="197">
        <v>1320</v>
      </c>
      <c r="H15" s="198">
        <v>400</v>
      </c>
      <c r="I15" s="200">
        <v>500</v>
      </c>
    </row>
    <row r="16" spans="1:9" ht="12" thickBot="1">
      <c r="A16" s="77">
        <f t="shared" si="2"/>
        <v>2</v>
      </c>
      <c r="B16" s="128">
        <v>44958</v>
      </c>
      <c r="C16" s="201">
        <v>30600</v>
      </c>
      <c r="D16" s="201">
        <v>2335</v>
      </c>
      <c r="E16" s="77">
        <v>2728</v>
      </c>
      <c r="F16" s="201">
        <v>419</v>
      </c>
      <c r="G16" s="201">
        <v>1250</v>
      </c>
      <c r="H16" s="201">
        <v>340</v>
      </c>
      <c r="I16" s="202">
        <v>710</v>
      </c>
    </row>
    <row r="17" spans="1:9" ht="12" thickBot="1">
      <c r="A17" s="77">
        <f t="shared" si="2"/>
        <v>2</v>
      </c>
      <c r="B17" s="128">
        <v>45323</v>
      </c>
      <c r="C17" s="197">
        <v>36600</v>
      </c>
      <c r="D17" s="197">
        <v>3564</v>
      </c>
      <c r="E17" s="77">
        <v>9637</v>
      </c>
      <c r="F17" s="198">
        <v>591</v>
      </c>
      <c r="G17" s="197">
        <v>1370</v>
      </c>
      <c r="H17" s="198">
        <v>520</v>
      </c>
      <c r="I17" s="198">
        <v>750</v>
      </c>
    </row>
    <row r="18" spans="1:9" ht="12" thickBot="1">
      <c r="B18" s="128"/>
      <c r="C18" s="193">
        <f>_xlfn.FORECAST.ETS(DATE(2025,1,1),C$11:C$17,$B$11:$B$17,1,1)+_xlfn.FORECAST.ETS.CONFINT(DATE(2025,1,1),C$11:C$17,$B$11:$B$17,$A$1,1)</f>
        <v>41365.48505973877</v>
      </c>
      <c r="D18" s="193">
        <f t="shared" ref="D18:I18" si="3">_xlfn.FORECAST.ETS(DATE(2025,1,1),D$11:D$17,$B$11:$B$17,1,1)+_xlfn.FORECAST.ETS.CONFINT(DATE(2025,1,1),D$11:D$17,$B$11:$B$17,$A$1,1)</f>
        <v>2987.7091097857879</v>
      </c>
      <c r="E18" s="193">
        <f t="shared" si="3"/>
        <v>11973.003917931926</v>
      </c>
      <c r="F18" s="193">
        <f t="shared" si="3"/>
        <v>748.49715406112523</v>
      </c>
      <c r="G18" s="193">
        <f t="shared" si="3"/>
        <v>1517.608925495022</v>
      </c>
      <c r="H18" s="193">
        <f t="shared" si="3"/>
        <v>680.80052342714441</v>
      </c>
      <c r="I18" s="193">
        <f t="shared" si="3"/>
        <v>1023.9224720778623</v>
      </c>
    </row>
    <row r="19" spans="1:9" ht="12" thickBot="1">
      <c r="A19" s="77">
        <f t="shared" ref="A19:A25" si="4">MONTH(DATE(YEAR(B19),MONTH(B19),DAY(B19)))</f>
        <v>3</v>
      </c>
      <c r="B19" s="128">
        <v>43160</v>
      </c>
      <c r="C19" s="193">
        <v>39300</v>
      </c>
      <c r="D19" s="193">
        <v>7590</v>
      </c>
      <c r="F19" s="194">
        <v>629</v>
      </c>
      <c r="G19" s="193">
        <v>2610</v>
      </c>
      <c r="H19" s="194">
        <v>100</v>
      </c>
      <c r="I19" s="114"/>
    </row>
    <row r="20" spans="1:9" ht="12" thickBot="1">
      <c r="A20" s="77">
        <f t="shared" si="4"/>
        <v>3</v>
      </c>
      <c r="B20" s="128">
        <v>43525</v>
      </c>
      <c r="C20" s="193">
        <v>35400</v>
      </c>
      <c r="D20" s="193">
        <v>7857</v>
      </c>
      <c r="E20" s="77">
        <v>2355</v>
      </c>
      <c r="F20" s="194">
        <v>390</v>
      </c>
      <c r="G20" s="193">
        <v>1520</v>
      </c>
      <c r="H20" s="194">
        <v>470</v>
      </c>
      <c r="I20" s="203">
        <v>970</v>
      </c>
    </row>
    <row r="21" spans="1:9" ht="12" thickBot="1">
      <c r="A21" s="77">
        <f t="shared" si="4"/>
        <v>3</v>
      </c>
      <c r="B21" s="128">
        <v>43891</v>
      </c>
      <c r="C21" s="193">
        <v>26100</v>
      </c>
      <c r="D21" s="193">
        <v>6579</v>
      </c>
      <c r="E21" s="77">
        <v>320</v>
      </c>
      <c r="F21" s="194">
        <v>380</v>
      </c>
      <c r="G21" s="193">
        <v>1430</v>
      </c>
      <c r="H21" s="194">
        <v>340</v>
      </c>
      <c r="I21" s="194">
        <v>540</v>
      </c>
    </row>
    <row r="22" spans="1:9" ht="12" thickBot="1">
      <c r="A22" s="77">
        <f t="shared" si="4"/>
        <v>3</v>
      </c>
      <c r="B22" s="128">
        <v>44256</v>
      </c>
      <c r="C22" s="193">
        <v>25800</v>
      </c>
      <c r="D22" s="193">
        <v>2846</v>
      </c>
      <c r="E22" s="77">
        <v>2628</v>
      </c>
      <c r="F22" s="194">
        <v>347</v>
      </c>
      <c r="G22" s="193">
        <v>1390</v>
      </c>
      <c r="H22" s="194">
        <v>350</v>
      </c>
      <c r="I22" s="194">
        <v>750</v>
      </c>
    </row>
    <row r="23" spans="1:9" ht="12" thickBot="1">
      <c r="A23" s="77">
        <f t="shared" si="4"/>
        <v>3</v>
      </c>
      <c r="B23" s="128">
        <v>44621</v>
      </c>
      <c r="C23" s="193">
        <v>36600</v>
      </c>
      <c r="D23" s="193">
        <v>3476</v>
      </c>
      <c r="E23" s="77">
        <v>3266</v>
      </c>
      <c r="F23" s="194">
        <v>479</v>
      </c>
      <c r="G23" s="193">
        <v>1720</v>
      </c>
      <c r="H23" s="194">
        <v>610</v>
      </c>
      <c r="I23" s="194">
        <v>550</v>
      </c>
    </row>
    <row r="24" spans="1:9" ht="12" thickBot="1">
      <c r="A24" s="77">
        <f t="shared" si="4"/>
        <v>3</v>
      </c>
      <c r="B24" s="128">
        <v>44986</v>
      </c>
      <c r="C24" s="193">
        <v>28500</v>
      </c>
      <c r="D24" s="193">
        <v>2175</v>
      </c>
      <c r="E24" s="77">
        <v>3735</v>
      </c>
      <c r="F24" s="197">
        <v>404</v>
      </c>
      <c r="G24" s="193">
        <v>1050</v>
      </c>
      <c r="H24" s="193">
        <v>250</v>
      </c>
      <c r="I24" s="194">
        <v>530</v>
      </c>
    </row>
    <row r="25" spans="1:9" ht="12" thickBot="1">
      <c r="A25" s="77">
        <f t="shared" si="4"/>
        <v>3</v>
      </c>
      <c r="B25" s="128">
        <v>45352</v>
      </c>
      <c r="C25" s="193">
        <v>34200</v>
      </c>
      <c r="D25" s="193">
        <v>3271</v>
      </c>
      <c r="E25" s="77">
        <v>3793</v>
      </c>
      <c r="F25" s="194">
        <v>515</v>
      </c>
      <c r="G25" s="193">
        <v>1130</v>
      </c>
      <c r="H25" s="194">
        <v>420</v>
      </c>
      <c r="I25" s="194">
        <v>630</v>
      </c>
    </row>
    <row r="26" spans="1:9" ht="12" thickBot="1">
      <c r="B26" s="128"/>
      <c r="C26" s="193">
        <f>_xlfn.FORECAST.ETS(DATE(2025,1,1),C$19:C$25,$B$19:$B$25,1,1)+_xlfn.FORECAST.ETS.CONFINT(DATE(2025,1,1),C$19:C$25,$B$19:$B$25,$A$1,1)</f>
        <v>39716.666948377911</v>
      </c>
      <c r="D26" s="193">
        <f t="shared" ref="D26:I26" si="5">_xlfn.FORECAST.ETS(DATE(2025,1,1),D$19:D$25,$B$19:$B$25,1,1)+_xlfn.FORECAST.ETS.CONFINT(DATE(2025,1,1),D$19:D$25,$B$19:$B$25,$A$1,1)</f>
        <v>2555.441847979082</v>
      </c>
      <c r="E26" s="193">
        <f t="shared" si="5"/>
        <v>6765.4945695061915</v>
      </c>
      <c r="F26" s="193">
        <f t="shared" si="5"/>
        <v>650.67219106065977</v>
      </c>
      <c r="G26" s="193">
        <f t="shared" si="5"/>
        <v>1549.3199051044103</v>
      </c>
      <c r="H26" s="193">
        <f t="shared" si="5"/>
        <v>681.54584604236015</v>
      </c>
      <c r="I26" s="193">
        <f t="shared" si="5"/>
        <v>811.66245037143199</v>
      </c>
    </row>
    <row r="27" spans="1:9" ht="12" thickBot="1">
      <c r="A27" s="77">
        <f t="shared" ref="A27:A33" si="6">MONTH(DATE(YEAR(B27),MONTH(B27),DAY(B27)))</f>
        <v>4</v>
      </c>
      <c r="B27" s="128">
        <v>43191</v>
      </c>
      <c r="C27" s="197">
        <v>33600</v>
      </c>
      <c r="D27" s="197">
        <v>6863</v>
      </c>
      <c r="F27" s="198">
        <v>700</v>
      </c>
      <c r="G27" s="197">
        <v>2020</v>
      </c>
      <c r="H27" s="198">
        <v>400</v>
      </c>
      <c r="I27" s="114"/>
    </row>
    <row r="28" spans="1:9" ht="12" thickBot="1">
      <c r="A28" s="77">
        <f t="shared" si="6"/>
        <v>4</v>
      </c>
      <c r="B28" s="128">
        <v>43556</v>
      </c>
      <c r="C28" s="197">
        <v>39600</v>
      </c>
      <c r="D28" s="197">
        <v>10075</v>
      </c>
      <c r="E28" s="77">
        <v>2176</v>
      </c>
      <c r="F28" s="198">
        <v>452</v>
      </c>
      <c r="G28" s="197">
        <v>1720</v>
      </c>
      <c r="H28" s="198">
        <v>480</v>
      </c>
      <c r="I28" s="197">
        <v>1030</v>
      </c>
    </row>
    <row r="29" spans="1:9" ht="12" thickBot="1">
      <c r="A29" s="77">
        <f t="shared" si="6"/>
        <v>4</v>
      </c>
      <c r="B29" s="128">
        <v>43922</v>
      </c>
      <c r="C29" s="197">
        <v>18900</v>
      </c>
      <c r="D29" s="197">
        <v>6005</v>
      </c>
      <c r="E29" s="77">
        <v>2566</v>
      </c>
      <c r="F29" s="198">
        <v>379</v>
      </c>
      <c r="G29" s="197">
        <v>1270</v>
      </c>
      <c r="H29" s="198">
        <v>250</v>
      </c>
      <c r="I29" s="198">
        <v>550</v>
      </c>
    </row>
    <row r="30" spans="1:9" ht="12" thickBot="1">
      <c r="A30" s="77">
        <f t="shared" si="6"/>
        <v>4</v>
      </c>
      <c r="B30" s="128">
        <v>44287</v>
      </c>
      <c r="C30" s="201">
        <v>23100</v>
      </c>
      <c r="D30" s="201">
        <v>2375</v>
      </c>
      <c r="E30" s="77">
        <v>2599</v>
      </c>
      <c r="F30" s="202">
        <v>283</v>
      </c>
      <c r="G30" s="201">
        <v>1120</v>
      </c>
      <c r="H30" s="202">
        <v>240</v>
      </c>
      <c r="I30" s="202">
        <v>810</v>
      </c>
    </row>
    <row r="31" spans="1:9" ht="12" thickBot="1">
      <c r="A31" s="77">
        <f t="shared" si="6"/>
        <v>4</v>
      </c>
      <c r="B31" s="128">
        <v>44652</v>
      </c>
      <c r="C31" s="197">
        <v>23700</v>
      </c>
      <c r="D31" s="197">
        <v>3432</v>
      </c>
      <c r="E31" s="77">
        <v>3284</v>
      </c>
      <c r="F31" s="198">
        <v>485</v>
      </c>
      <c r="G31" s="197">
        <v>1570</v>
      </c>
      <c r="H31" s="198">
        <v>810</v>
      </c>
      <c r="I31" s="198">
        <v>460</v>
      </c>
    </row>
    <row r="32" spans="1:9" ht="12" thickBot="1">
      <c r="A32" s="77">
        <f t="shared" si="6"/>
        <v>4</v>
      </c>
      <c r="B32" s="128">
        <v>45017</v>
      </c>
      <c r="C32" s="197">
        <v>26400</v>
      </c>
      <c r="D32" s="197">
        <v>1899</v>
      </c>
      <c r="E32" s="77">
        <v>3769</v>
      </c>
      <c r="F32" s="197">
        <v>418</v>
      </c>
      <c r="G32" s="197">
        <v>1020</v>
      </c>
      <c r="H32" s="197">
        <v>220</v>
      </c>
      <c r="I32" s="198">
        <v>490</v>
      </c>
    </row>
    <row r="33" spans="1:9" ht="12" thickBot="1">
      <c r="A33" s="77">
        <f t="shared" si="6"/>
        <v>4</v>
      </c>
      <c r="B33" s="128">
        <v>45383</v>
      </c>
      <c r="C33" s="197">
        <v>36000</v>
      </c>
      <c r="D33" s="197">
        <v>3475</v>
      </c>
      <c r="E33" s="77">
        <v>3912</v>
      </c>
      <c r="F33" s="198">
        <v>650</v>
      </c>
      <c r="G33" s="197">
        <v>1230</v>
      </c>
      <c r="H33" s="198">
        <v>350</v>
      </c>
      <c r="I33" s="198">
        <v>670</v>
      </c>
    </row>
    <row r="34" spans="1:9" ht="12" thickBot="1">
      <c r="B34" s="128"/>
      <c r="C34" s="193">
        <f>_xlfn.FORECAST.ETS(DATE(2025,1,1),C$27:C$33,$B$27:$B$33,1,1)+_xlfn.FORECAST.ETS.CONFINT(DATE(2025,1,1),C$27:C$33,$B$27:$B$33,$A$1,1)</f>
        <v>41089.284578814244</v>
      </c>
      <c r="D34" s="193">
        <f t="shared" ref="D34:I34" si="7">_xlfn.FORECAST.ETS(DATE(2025,1,1),D$27:D$33,$B$27:$B$33,1,1)+_xlfn.FORECAST.ETS.CONFINT(DATE(2025,1,1),D$27:D$33,$B$27:$B$33,$A$1,1)</f>
        <v>3346.2655715408764</v>
      </c>
      <c r="E34" s="193">
        <f t="shared" si="7"/>
        <v>4555.00766643103</v>
      </c>
      <c r="F34" s="193">
        <f t="shared" si="7"/>
        <v>847.9605708159736</v>
      </c>
      <c r="G34" s="193">
        <f t="shared" si="7"/>
        <v>1394.9972794628957</v>
      </c>
      <c r="H34" s="193">
        <f t="shared" si="7"/>
        <v>647.5297475283337</v>
      </c>
      <c r="I34" s="193">
        <f t="shared" si="7"/>
        <v>858.23080110279648</v>
      </c>
    </row>
    <row r="35" spans="1:9" ht="12" thickBot="1">
      <c r="A35" s="77">
        <f t="shared" ref="A35:A41" si="8">MONTH(DATE(YEAR(B35),MONTH(B35),DAY(B35)))</f>
        <v>5</v>
      </c>
      <c r="B35" s="128">
        <v>43221</v>
      </c>
      <c r="C35" s="193">
        <v>34800</v>
      </c>
      <c r="D35" s="193">
        <v>7272</v>
      </c>
      <c r="F35" s="194">
        <v>826</v>
      </c>
      <c r="G35" s="193">
        <v>2100</v>
      </c>
      <c r="H35" s="194">
        <v>390</v>
      </c>
      <c r="I35" s="114"/>
    </row>
    <row r="36" spans="1:9" ht="12" thickBot="1">
      <c r="A36" s="77">
        <f t="shared" si="8"/>
        <v>5</v>
      </c>
      <c r="B36" s="128">
        <v>43586</v>
      </c>
      <c r="C36" s="193">
        <v>36600</v>
      </c>
      <c r="D36" s="193">
        <v>8799</v>
      </c>
      <c r="E36" s="77">
        <v>2323</v>
      </c>
      <c r="F36" s="194">
        <v>430</v>
      </c>
      <c r="G36" s="193">
        <v>1920</v>
      </c>
      <c r="H36" s="194">
        <v>470</v>
      </c>
      <c r="I36" s="193">
        <v>1040</v>
      </c>
    </row>
    <row r="37" spans="1:9" ht="12" thickBot="1">
      <c r="A37" s="77">
        <f t="shared" si="8"/>
        <v>5</v>
      </c>
      <c r="B37" s="128">
        <v>43952</v>
      </c>
      <c r="C37" s="193">
        <v>16200</v>
      </c>
      <c r="D37" s="193">
        <v>4265</v>
      </c>
      <c r="E37" s="77">
        <v>2047</v>
      </c>
      <c r="F37" s="194">
        <v>294</v>
      </c>
      <c r="G37" s="194">
        <v>840</v>
      </c>
      <c r="H37" s="194">
        <v>220</v>
      </c>
      <c r="I37" s="194">
        <v>330</v>
      </c>
    </row>
    <row r="38" spans="1:9" ht="12" thickBot="1">
      <c r="A38" s="77">
        <f t="shared" si="8"/>
        <v>5</v>
      </c>
      <c r="B38" s="128">
        <v>44317</v>
      </c>
      <c r="C38" s="193">
        <v>24000</v>
      </c>
      <c r="D38" s="193">
        <v>2410</v>
      </c>
      <c r="E38" s="77">
        <v>2440</v>
      </c>
      <c r="F38" s="194">
        <v>320</v>
      </c>
      <c r="G38" s="193">
        <v>1110</v>
      </c>
      <c r="H38" s="194">
        <v>250</v>
      </c>
      <c r="I38" s="194">
        <v>630</v>
      </c>
    </row>
    <row r="39" spans="1:9" ht="12" thickBot="1">
      <c r="A39" s="77">
        <f t="shared" si="8"/>
        <v>5</v>
      </c>
      <c r="B39" s="128">
        <v>44682</v>
      </c>
      <c r="C39" s="193">
        <v>22200</v>
      </c>
      <c r="D39" s="193">
        <v>3116</v>
      </c>
      <c r="E39" s="77">
        <v>2901</v>
      </c>
      <c r="F39" s="194">
        <v>498</v>
      </c>
      <c r="G39" s="193">
        <v>1280</v>
      </c>
      <c r="H39" s="194">
        <v>340</v>
      </c>
      <c r="I39" s="194">
        <v>480</v>
      </c>
    </row>
    <row r="40" spans="1:9" ht="12" thickBot="1">
      <c r="A40" s="77">
        <f t="shared" si="8"/>
        <v>5</v>
      </c>
      <c r="B40" s="128">
        <v>45047</v>
      </c>
      <c r="C40" s="193">
        <v>28200</v>
      </c>
      <c r="D40" s="193">
        <v>2179</v>
      </c>
      <c r="E40" s="77">
        <v>2499</v>
      </c>
      <c r="F40" s="197">
        <v>431</v>
      </c>
      <c r="G40" s="193">
        <v>1010</v>
      </c>
      <c r="H40" s="193">
        <v>240</v>
      </c>
      <c r="I40" s="194">
        <v>550</v>
      </c>
    </row>
    <row r="41" spans="1:9" ht="12" thickBot="1">
      <c r="A41" s="77">
        <f t="shared" si="8"/>
        <v>5</v>
      </c>
      <c r="B41" s="128">
        <v>45413</v>
      </c>
      <c r="C41" s="193">
        <v>34500</v>
      </c>
      <c r="D41" s="193">
        <v>2744</v>
      </c>
      <c r="E41" s="77">
        <v>3931</v>
      </c>
      <c r="F41" s="194">
        <v>550</v>
      </c>
      <c r="G41" s="193">
        <v>1310</v>
      </c>
      <c r="H41" s="194">
        <v>370</v>
      </c>
      <c r="I41" s="194">
        <v>590</v>
      </c>
    </row>
    <row r="42" spans="1:9" ht="12" thickBot="1">
      <c r="B42" s="128"/>
      <c r="C42" s="193">
        <f>_xlfn.FORECAST.ETS(DATE(2025,1,1),C$35:C$41,$B$35:$B$41,1,1)+_xlfn.FORECAST.ETS.CONFINT(DATE(2025,1,1),C$35:C$41,$B$35:$B$41,$A$1,1)</f>
        <v>38984.571544978571</v>
      </c>
      <c r="D42" s="193">
        <f t="shared" ref="D42:I42" si="9">_xlfn.FORECAST.ETS(DATE(2025,1,1),D$35:D$41,$B$35:$B$41,1,1)+_xlfn.FORECAST.ETS.CONFINT(DATE(2025,1,1),D$35:D$41,$B$35:$B$41,$A$1,1)</f>
        <v>2455.5588473285561</v>
      </c>
      <c r="E42" s="193">
        <f t="shared" si="9"/>
        <v>4424.0354330154114</v>
      </c>
      <c r="F42" s="193">
        <f t="shared" si="9"/>
        <v>762.75591721649209</v>
      </c>
      <c r="G42" s="193">
        <f t="shared" si="9"/>
        <v>1562.413593402759</v>
      </c>
      <c r="H42" s="193">
        <f t="shared" si="9"/>
        <v>406.58173398271339</v>
      </c>
      <c r="I42" s="193">
        <f t="shared" si="9"/>
        <v>960.49363536553267</v>
      </c>
    </row>
    <row r="43" spans="1:9" ht="12" thickBot="1">
      <c r="A43" s="77">
        <f t="shared" ref="A43:A49" si="10">MONTH(DATE(YEAR(B43),MONTH(B43),DAY(B43)))</f>
        <v>6</v>
      </c>
      <c r="B43" s="128">
        <v>43252</v>
      </c>
      <c r="C43" s="197">
        <v>32100</v>
      </c>
      <c r="D43" s="197">
        <v>6580</v>
      </c>
      <c r="F43" s="198">
        <v>587</v>
      </c>
      <c r="G43" s="197">
        <v>1960</v>
      </c>
      <c r="H43" s="198">
        <v>470</v>
      </c>
      <c r="I43" s="114"/>
    </row>
    <row r="44" spans="1:9" ht="12" thickBot="1">
      <c r="A44" s="77">
        <f t="shared" si="10"/>
        <v>6</v>
      </c>
      <c r="B44" s="128">
        <v>43617</v>
      </c>
      <c r="C44" s="201">
        <v>28800</v>
      </c>
      <c r="D44" s="201">
        <v>6494</v>
      </c>
      <c r="E44" s="77">
        <v>2273</v>
      </c>
      <c r="F44" s="202">
        <v>384</v>
      </c>
      <c r="G44" s="201">
        <v>1450</v>
      </c>
      <c r="H44" s="202">
        <v>340</v>
      </c>
      <c r="I44" s="202">
        <v>870</v>
      </c>
    </row>
    <row r="45" spans="1:9" ht="12" thickBot="1">
      <c r="A45" s="77">
        <f t="shared" si="10"/>
        <v>6</v>
      </c>
      <c r="B45" s="128">
        <v>43983</v>
      </c>
      <c r="C45" s="197">
        <v>17400</v>
      </c>
      <c r="D45" s="197">
        <v>4297</v>
      </c>
      <c r="E45" s="77">
        <v>1812</v>
      </c>
      <c r="F45" s="198">
        <v>330</v>
      </c>
      <c r="G45" s="198">
        <v>800</v>
      </c>
      <c r="H45" s="198">
        <v>200</v>
      </c>
      <c r="I45" s="198">
        <v>300</v>
      </c>
    </row>
    <row r="46" spans="1:9" ht="12" thickBot="1">
      <c r="A46" s="77">
        <f t="shared" si="10"/>
        <v>6</v>
      </c>
      <c r="B46" s="128">
        <v>44348</v>
      </c>
      <c r="C46" s="197">
        <v>21600</v>
      </c>
      <c r="D46" s="197">
        <v>2471</v>
      </c>
      <c r="E46" s="77">
        <v>2808</v>
      </c>
      <c r="F46" s="198">
        <v>285</v>
      </c>
      <c r="G46" s="197">
        <v>1180</v>
      </c>
      <c r="H46" s="198">
        <v>290</v>
      </c>
      <c r="I46" s="198">
        <v>600</v>
      </c>
    </row>
    <row r="47" spans="1:9" ht="12" thickBot="1">
      <c r="A47" s="77">
        <f t="shared" si="10"/>
        <v>6</v>
      </c>
      <c r="B47" s="128">
        <v>44713</v>
      </c>
      <c r="C47" s="197">
        <v>22200</v>
      </c>
      <c r="D47" s="204">
        <v>3127</v>
      </c>
      <c r="E47" s="77">
        <v>2085</v>
      </c>
      <c r="F47" s="198">
        <v>526</v>
      </c>
      <c r="G47" s="197">
        <v>1270</v>
      </c>
      <c r="H47" s="198">
        <v>290</v>
      </c>
      <c r="I47" s="198">
        <v>460</v>
      </c>
    </row>
    <row r="48" spans="1:9" ht="12" thickBot="1">
      <c r="A48" s="77">
        <f t="shared" si="10"/>
        <v>6</v>
      </c>
      <c r="B48" s="128">
        <v>45078</v>
      </c>
      <c r="C48" s="197">
        <v>25500</v>
      </c>
      <c r="D48" s="197">
        <v>4549</v>
      </c>
      <c r="E48" s="77">
        <v>2835</v>
      </c>
      <c r="F48" s="197">
        <v>420.75</v>
      </c>
      <c r="G48" s="197">
        <v>1200</v>
      </c>
      <c r="H48" s="197">
        <v>270</v>
      </c>
      <c r="I48" s="198">
        <v>520</v>
      </c>
    </row>
    <row r="49" spans="1:9" ht="12" thickBot="1">
      <c r="A49" s="77">
        <f t="shared" si="10"/>
        <v>6</v>
      </c>
      <c r="B49" s="128">
        <v>45444</v>
      </c>
      <c r="C49" s="114"/>
      <c r="D49" s="114"/>
      <c r="E49" s="77">
        <v>4216</v>
      </c>
      <c r="F49" s="114"/>
      <c r="G49" s="114"/>
      <c r="H49" s="114">
        <v>280</v>
      </c>
      <c r="I49" s="114"/>
    </row>
    <row r="50" spans="1:9" ht="12" thickBot="1">
      <c r="B50" s="128"/>
      <c r="C50" s="193">
        <f>_xlfn.FORECAST.ETS(DATE(2025,1,1),C$43:C$49,$B$43:$B$49,1,1)+_xlfn.FORECAST.ETS.CONFINT(DATE(2025,1,1),C$43:C$49,$B$43:$B$49,$A$1,1)</f>
        <v>33853.970562215036</v>
      </c>
      <c r="D50" s="193">
        <f t="shared" ref="D50:I50" si="11">_xlfn.FORECAST.ETS(DATE(2025,1,1),D$43:D$49,$B$43:$B$49,1,1)+_xlfn.FORECAST.ETS.CONFINT(DATE(2025,1,1),D$43:D$49,$B$43:$B$49,$A$1,1)</f>
        <v>4720.07135380206</v>
      </c>
      <c r="E50" s="193">
        <f t="shared" si="11"/>
        <v>4832.2700800968669</v>
      </c>
      <c r="F50" s="193">
        <f t="shared" si="11"/>
        <v>692.38983825813352</v>
      </c>
      <c r="G50" s="193">
        <f t="shared" si="11"/>
        <v>1795.8281938214036</v>
      </c>
      <c r="H50" s="193">
        <f t="shared" si="11"/>
        <v>359.14892801923042</v>
      </c>
      <c r="I50" s="193">
        <f t="shared" si="11"/>
        <v>823.68011925682663</v>
      </c>
    </row>
    <row r="51" spans="1:9" ht="12" thickBot="1">
      <c r="A51" s="77">
        <f t="shared" ref="A51:A57" si="12">MONTH(DATE(YEAR(B51),MONTH(B51),DAY(B51)))</f>
        <v>7</v>
      </c>
      <c r="B51" s="128">
        <v>43282</v>
      </c>
      <c r="C51" s="193">
        <v>31500</v>
      </c>
      <c r="D51" s="193">
        <v>6523</v>
      </c>
      <c r="F51" s="194">
        <v>577</v>
      </c>
      <c r="G51" s="193">
        <v>1830</v>
      </c>
      <c r="H51" s="194">
        <v>660</v>
      </c>
      <c r="I51" s="114"/>
    </row>
    <row r="52" spans="1:9" ht="12" thickBot="1">
      <c r="A52" s="77">
        <f t="shared" si="12"/>
        <v>7</v>
      </c>
      <c r="B52" s="128">
        <v>43647</v>
      </c>
      <c r="C52" s="193">
        <v>30000</v>
      </c>
      <c r="D52" s="193">
        <v>7458</v>
      </c>
      <c r="E52" s="77">
        <v>1942</v>
      </c>
      <c r="F52" s="194">
        <v>452</v>
      </c>
      <c r="G52" s="193">
        <v>1680</v>
      </c>
      <c r="H52" s="194">
        <v>410</v>
      </c>
      <c r="I52" s="194">
        <v>910</v>
      </c>
    </row>
    <row r="53" spans="1:9" ht="12" thickBot="1">
      <c r="A53" s="77">
        <f t="shared" si="12"/>
        <v>7</v>
      </c>
      <c r="B53" s="128">
        <v>44013</v>
      </c>
      <c r="C53" s="193">
        <v>18900</v>
      </c>
      <c r="D53" s="193">
        <v>4439</v>
      </c>
      <c r="E53" s="77">
        <v>1914</v>
      </c>
      <c r="F53" s="194">
        <v>407</v>
      </c>
      <c r="G53" s="194">
        <v>890</v>
      </c>
      <c r="H53" s="194">
        <v>220</v>
      </c>
      <c r="I53" s="194">
        <v>310</v>
      </c>
    </row>
    <row r="54" spans="1:9" ht="12" thickBot="1">
      <c r="A54" s="77">
        <f t="shared" si="12"/>
        <v>7</v>
      </c>
      <c r="B54" s="128">
        <v>44378</v>
      </c>
      <c r="C54" s="193">
        <v>24900</v>
      </c>
      <c r="D54" s="193">
        <v>2426</v>
      </c>
      <c r="E54" s="77">
        <v>4361</v>
      </c>
      <c r="F54" s="194">
        <v>268</v>
      </c>
      <c r="G54" s="193">
        <v>1230</v>
      </c>
      <c r="H54" s="194">
        <v>310</v>
      </c>
      <c r="I54" s="194">
        <v>680</v>
      </c>
    </row>
    <row r="55" spans="1:9" ht="12" thickBot="1">
      <c r="A55" s="77">
        <f t="shared" si="12"/>
        <v>7</v>
      </c>
      <c r="B55" s="128">
        <v>44743</v>
      </c>
      <c r="C55" s="193">
        <v>22500</v>
      </c>
      <c r="D55" s="193">
        <v>2863</v>
      </c>
      <c r="E55" s="77">
        <v>3519</v>
      </c>
      <c r="F55" s="194">
        <v>429</v>
      </c>
      <c r="G55" s="193">
        <v>1030</v>
      </c>
      <c r="H55" s="194">
        <v>240</v>
      </c>
      <c r="I55" s="194">
        <v>560</v>
      </c>
    </row>
    <row r="56" spans="1:9" ht="12" thickBot="1">
      <c r="A56" s="77">
        <f t="shared" si="12"/>
        <v>7</v>
      </c>
      <c r="B56" s="128">
        <v>45108</v>
      </c>
      <c r="C56" s="193">
        <v>27900</v>
      </c>
      <c r="D56" s="193">
        <v>2051</v>
      </c>
      <c r="E56" s="77">
        <v>9636</v>
      </c>
      <c r="F56" s="197">
        <v>1</v>
      </c>
      <c r="G56" s="193">
        <v>1130</v>
      </c>
      <c r="H56" s="194">
        <v>290</v>
      </c>
      <c r="I56" s="194">
        <v>510</v>
      </c>
    </row>
    <row r="57" spans="1:9" ht="12" thickBot="1">
      <c r="A57" s="77">
        <f t="shared" si="12"/>
        <v>7</v>
      </c>
      <c r="B57" s="128">
        <v>45474</v>
      </c>
      <c r="C57" s="120"/>
      <c r="D57" s="120"/>
      <c r="F57" s="120"/>
      <c r="G57" s="120"/>
      <c r="H57" s="120">
        <v>290</v>
      </c>
      <c r="I57" s="120"/>
    </row>
    <row r="58" spans="1:9" ht="12" thickBot="1">
      <c r="B58" s="128"/>
      <c r="C58" s="193">
        <f>_xlfn.FORECAST.ETS(DATE(2025,1,1),C$51:C$57,$B$51:$B$57,1,1)+_xlfn.FORECAST.ETS.CONFINT(DATE(2025,1,1),C$51:C$57,$B$51:$B$57,$A$1,1)</f>
        <v>32354.21636392497</v>
      </c>
      <c r="D58" s="193">
        <f t="shared" ref="D58:I58" si="13">_xlfn.FORECAST.ETS(DATE(2025,1,1),D$51:D$57,$B$51:$B$57,1,1)+_xlfn.FORECAST.ETS.CONFINT(DATE(2025,1,1),D$51:D$57,$B$51:$B$57,$A$1,1)</f>
        <v>1759.1085655977788</v>
      </c>
      <c r="E58" s="193">
        <f t="shared" si="13"/>
        <v>13883.141772403835</v>
      </c>
      <c r="F58" s="193">
        <f t="shared" si="13"/>
        <v>163.56933389707251</v>
      </c>
      <c r="G58" s="193">
        <f t="shared" si="13"/>
        <v>1301.5431014135866</v>
      </c>
      <c r="H58" s="193">
        <f t="shared" si="13"/>
        <v>396.29785203068218</v>
      </c>
      <c r="I58" s="193">
        <f t="shared" si="13"/>
        <v>1003.5494633421861</v>
      </c>
    </row>
    <row r="59" spans="1:9" ht="12" thickBot="1">
      <c r="A59" s="77">
        <f t="shared" ref="A59:A65" si="14">MONTH(DATE(YEAR(B59),MONTH(B59),DAY(B59)))</f>
        <v>8</v>
      </c>
      <c r="B59" s="128">
        <v>43313</v>
      </c>
      <c r="C59" s="197">
        <v>36000</v>
      </c>
      <c r="D59" s="197">
        <v>7866</v>
      </c>
      <c r="F59" s="198">
        <v>561</v>
      </c>
      <c r="G59" s="197">
        <v>2320</v>
      </c>
      <c r="H59" s="197">
        <v>1020</v>
      </c>
      <c r="I59" s="114"/>
    </row>
    <row r="60" spans="1:9" ht="12" thickBot="1">
      <c r="A60" s="77">
        <f t="shared" si="14"/>
        <v>8</v>
      </c>
      <c r="B60" s="128">
        <v>43678</v>
      </c>
      <c r="C60" s="197">
        <v>35700</v>
      </c>
      <c r="D60" s="197">
        <v>8034</v>
      </c>
      <c r="E60" s="77">
        <v>460</v>
      </c>
      <c r="F60" s="198">
        <v>452</v>
      </c>
      <c r="G60" s="197">
        <v>1860</v>
      </c>
      <c r="H60" s="198">
        <v>440</v>
      </c>
      <c r="I60" s="198">
        <v>910</v>
      </c>
    </row>
    <row r="61" spans="1:9" ht="12" thickBot="1">
      <c r="A61" s="77">
        <f t="shared" si="14"/>
        <v>8</v>
      </c>
      <c r="B61" s="128">
        <v>44044</v>
      </c>
      <c r="C61" s="197">
        <v>18600</v>
      </c>
      <c r="D61" s="197">
        <v>3668</v>
      </c>
      <c r="E61" s="77">
        <v>2186</v>
      </c>
      <c r="F61" s="198">
        <v>368</v>
      </c>
      <c r="G61" s="198">
        <v>830</v>
      </c>
      <c r="H61" s="198">
        <v>210</v>
      </c>
      <c r="I61" s="198">
        <v>250</v>
      </c>
    </row>
    <row r="62" spans="1:9" ht="12" thickBot="1">
      <c r="A62" s="77">
        <f t="shared" si="14"/>
        <v>8</v>
      </c>
      <c r="B62" s="128">
        <v>44409</v>
      </c>
      <c r="C62" s="197">
        <v>29400</v>
      </c>
      <c r="D62" s="197">
        <v>2634</v>
      </c>
      <c r="E62" s="77">
        <v>3972</v>
      </c>
      <c r="F62" s="198">
        <v>544</v>
      </c>
      <c r="G62" s="197">
        <v>1340</v>
      </c>
      <c r="H62" s="198">
        <v>300</v>
      </c>
      <c r="I62" s="198">
        <v>610</v>
      </c>
    </row>
    <row r="63" spans="1:9" ht="12" thickBot="1">
      <c r="A63" s="77">
        <f t="shared" si="14"/>
        <v>8</v>
      </c>
      <c r="B63" s="128">
        <v>44774</v>
      </c>
      <c r="C63" s="197">
        <v>28200</v>
      </c>
      <c r="D63" s="205">
        <v>3371</v>
      </c>
      <c r="E63" s="77">
        <v>2785</v>
      </c>
      <c r="F63" s="197">
        <v>484</v>
      </c>
      <c r="G63" s="197">
        <v>1050</v>
      </c>
      <c r="H63" s="198">
        <v>240</v>
      </c>
      <c r="I63" s="198">
        <v>520</v>
      </c>
    </row>
    <row r="64" spans="1:9" ht="12" thickBot="1">
      <c r="A64" s="77">
        <f t="shared" si="14"/>
        <v>8</v>
      </c>
      <c r="B64" s="128">
        <v>45139</v>
      </c>
      <c r="C64" s="197">
        <v>33900</v>
      </c>
      <c r="D64" s="197">
        <v>1945</v>
      </c>
      <c r="E64" s="77">
        <v>2690</v>
      </c>
      <c r="F64" s="197">
        <v>1088</v>
      </c>
      <c r="G64" s="197">
        <v>1260</v>
      </c>
      <c r="H64" s="198">
        <v>350</v>
      </c>
      <c r="I64" s="198">
        <v>570</v>
      </c>
    </row>
    <row r="65" spans="1:9" ht="12" thickBot="1">
      <c r="A65" s="77">
        <f t="shared" si="14"/>
        <v>8</v>
      </c>
      <c r="B65" s="128">
        <v>45505</v>
      </c>
      <c r="C65" s="114"/>
      <c r="D65" s="114"/>
      <c r="F65" s="122"/>
      <c r="G65" s="114"/>
      <c r="H65" s="114"/>
      <c r="I65" s="114"/>
    </row>
    <row r="66" spans="1:9" ht="12" thickBot="1">
      <c r="B66" s="128"/>
      <c r="C66" s="193">
        <f>_xlfn.FORECAST.ETS(DATE(2025,1,1),C$59:C$65,$B$59:$B$65,1,1)+_xlfn.FORECAST.ETS.CONFINT(DATE(2025,1,1),C$59:C$65,$B$59:$B$65,$A$1,1)</f>
        <v>42513.632762440742</v>
      </c>
      <c r="D66" s="193">
        <f t="shared" ref="D66:I66" si="15">_xlfn.FORECAST.ETS(DATE(2025,1,1),D$59:D$65,$B$59:$B$65,1,1)+_xlfn.FORECAST.ETS.CONFINT(DATE(2025,1,1),D$59:D$65,$B$59:$B$65,$A$1,1)</f>
        <v>1567.7257868988959</v>
      </c>
      <c r="E66" s="193">
        <f t="shared" si="15"/>
        <v>5723.1182128586715</v>
      </c>
      <c r="F66" s="193">
        <f t="shared" si="15"/>
        <v>1554.6366958759486</v>
      </c>
      <c r="G66" s="193">
        <f t="shared" si="15"/>
        <v>1634.0010105327224</v>
      </c>
      <c r="H66" s="193">
        <f t="shared" si="15"/>
        <v>684.70202627929018</v>
      </c>
      <c r="I66" s="193">
        <f t="shared" si="15"/>
        <v>961.43820584579441</v>
      </c>
    </row>
    <row r="67" spans="1:9" ht="12" thickBot="1">
      <c r="A67" s="77">
        <f t="shared" ref="A67:A73" si="16">MONTH(DATE(YEAR(B67),MONTH(B67),DAY(B67)))</f>
        <v>9</v>
      </c>
      <c r="B67" s="128">
        <v>43344</v>
      </c>
      <c r="C67" s="193">
        <v>43500</v>
      </c>
      <c r="D67" s="193">
        <v>8604</v>
      </c>
      <c r="F67" s="194">
        <v>466</v>
      </c>
      <c r="G67" s="193">
        <v>2430</v>
      </c>
      <c r="H67" s="193">
        <v>1110</v>
      </c>
      <c r="I67" s="114"/>
    </row>
    <row r="68" spans="1:9" ht="12" thickBot="1">
      <c r="A68" s="77">
        <f t="shared" si="16"/>
        <v>9</v>
      </c>
      <c r="B68" s="128">
        <v>43709</v>
      </c>
      <c r="C68" s="193">
        <v>36000</v>
      </c>
      <c r="D68" s="194">
        <v>0</v>
      </c>
      <c r="E68" s="77">
        <v>2606</v>
      </c>
      <c r="F68" s="194">
        <v>485</v>
      </c>
      <c r="G68" s="193">
        <v>2030</v>
      </c>
      <c r="H68" s="194">
        <v>540</v>
      </c>
      <c r="I68" s="194">
        <v>840</v>
      </c>
    </row>
    <row r="69" spans="1:9" ht="12" thickBot="1">
      <c r="A69" s="77">
        <f t="shared" si="16"/>
        <v>9</v>
      </c>
      <c r="B69" s="128">
        <v>44075</v>
      </c>
      <c r="C69" s="193">
        <v>23400</v>
      </c>
      <c r="D69" s="193">
        <v>3669</v>
      </c>
      <c r="E69" s="77">
        <v>7163</v>
      </c>
      <c r="F69" s="194">
        <v>428</v>
      </c>
      <c r="G69" s="193">
        <v>1370</v>
      </c>
      <c r="H69" s="194">
        <v>290</v>
      </c>
      <c r="I69" s="194">
        <v>660</v>
      </c>
    </row>
    <row r="70" spans="1:9" ht="12" thickBot="1">
      <c r="A70" s="77">
        <f t="shared" si="16"/>
        <v>9</v>
      </c>
      <c r="B70" s="128">
        <v>44440</v>
      </c>
      <c r="C70" s="193">
        <v>32100</v>
      </c>
      <c r="D70" s="193">
        <v>2518</v>
      </c>
      <c r="E70" s="77">
        <v>3002</v>
      </c>
      <c r="F70" s="194">
        <v>370</v>
      </c>
      <c r="G70" s="193">
        <v>1790</v>
      </c>
      <c r="H70" s="194">
        <v>320</v>
      </c>
      <c r="I70" s="194">
        <v>730</v>
      </c>
    </row>
    <row r="71" spans="1:9" ht="12" thickBot="1">
      <c r="A71" s="77">
        <f t="shared" si="16"/>
        <v>9</v>
      </c>
      <c r="B71" s="128">
        <v>44805</v>
      </c>
      <c r="C71" s="191">
        <v>28500</v>
      </c>
      <c r="D71" s="191">
        <v>2595</v>
      </c>
      <c r="E71" s="77">
        <v>3071</v>
      </c>
      <c r="F71" s="206">
        <v>523</v>
      </c>
      <c r="G71" s="191">
        <v>1290</v>
      </c>
      <c r="H71" s="192">
        <v>290</v>
      </c>
      <c r="I71" s="192">
        <v>590</v>
      </c>
    </row>
    <row r="72" spans="1:9" ht="12" thickBot="1">
      <c r="A72" s="77">
        <f t="shared" si="16"/>
        <v>9</v>
      </c>
      <c r="B72" s="128">
        <v>45170</v>
      </c>
      <c r="C72" s="193">
        <v>36900</v>
      </c>
      <c r="D72" s="193">
        <v>2317</v>
      </c>
      <c r="E72" s="77">
        <v>5453</v>
      </c>
      <c r="F72" s="207"/>
      <c r="G72" s="193">
        <v>1580</v>
      </c>
      <c r="H72" s="194">
        <v>580</v>
      </c>
      <c r="I72" s="194">
        <v>640</v>
      </c>
    </row>
    <row r="73" spans="1:9" ht="12" thickBot="1">
      <c r="A73" s="77">
        <f t="shared" si="16"/>
        <v>9</v>
      </c>
      <c r="B73" s="128">
        <v>45536</v>
      </c>
      <c r="C73" s="114"/>
      <c r="D73" s="114"/>
      <c r="F73" s="207"/>
      <c r="G73" s="114"/>
      <c r="H73" s="114"/>
      <c r="I73" s="114"/>
    </row>
    <row r="74" spans="1:9" ht="12" thickBot="1">
      <c r="B74" s="128"/>
      <c r="C74" s="193">
        <f>_xlfn.FORECAST.ETS(DATE(2025,1,1),C$67:C$73,$B$67:$B$73,1,1)+_xlfn.FORECAST.ETS.CONFINT(DATE(2025,1,1),C$67:C$73,$B$67:$B$73,$A$1,1)</f>
        <v>47549.412615385685</v>
      </c>
      <c r="D74" s="193">
        <f t="shared" ref="D74:I74" si="17">_xlfn.FORECAST.ETS(DATE(2025,1,1),D$67:D$73,$B$67:$B$73,1,1)+_xlfn.FORECAST.ETS.CONFINT(DATE(2025,1,1),D$67:D$73,$B$67:$B$73,$A$1,1)</f>
        <v>7677.214880260417</v>
      </c>
      <c r="E74" s="193">
        <f t="shared" si="17"/>
        <v>7055.8650277183979</v>
      </c>
      <c r="F74" s="193">
        <f t="shared" si="17"/>
        <v>577.63338608275103</v>
      </c>
      <c r="G74" s="193">
        <f t="shared" si="17"/>
        <v>1804.9177136638154</v>
      </c>
      <c r="H74" s="193">
        <f t="shared" si="17"/>
        <v>973.34341311673802</v>
      </c>
      <c r="I74" s="193">
        <f t="shared" si="17"/>
        <v>545.07534281719359</v>
      </c>
    </row>
    <row r="75" spans="1:9" ht="12" thickBot="1">
      <c r="A75" s="77">
        <f t="shared" ref="A75:A81" si="18">MONTH(DATE(YEAR(B75),MONTH(B75),DAY(B75)))</f>
        <v>10</v>
      </c>
      <c r="B75" s="128">
        <v>43374</v>
      </c>
      <c r="C75" s="197">
        <v>36900</v>
      </c>
      <c r="D75" s="197">
        <v>9411</v>
      </c>
      <c r="F75" s="208">
        <v>462</v>
      </c>
      <c r="G75" s="197">
        <v>2460</v>
      </c>
      <c r="H75" s="197">
        <v>1100</v>
      </c>
      <c r="I75" s="114"/>
    </row>
    <row r="76" spans="1:9" ht="12" thickBot="1">
      <c r="A76" s="77">
        <f t="shared" si="18"/>
        <v>10</v>
      </c>
      <c r="B76" s="128">
        <v>43739</v>
      </c>
      <c r="C76" s="197">
        <v>62400</v>
      </c>
      <c r="D76" s="197">
        <v>19964</v>
      </c>
      <c r="E76" s="77">
        <v>2626</v>
      </c>
      <c r="F76" s="208">
        <v>451</v>
      </c>
      <c r="G76" s="197">
        <v>2540</v>
      </c>
      <c r="H76" s="198">
        <v>570</v>
      </c>
      <c r="I76" s="198">
        <v>910</v>
      </c>
    </row>
    <row r="77" spans="1:9" ht="12" thickBot="1">
      <c r="A77" s="77">
        <f t="shared" si="18"/>
        <v>10</v>
      </c>
      <c r="B77" s="128">
        <v>44105</v>
      </c>
      <c r="C77" s="197">
        <v>25800</v>
      </c>
      <c r="D77" s="197">
        <v>3652</v>
      </c>
      <c r="E77" s="77">
        <v>7027</v>
      </c>
      <c r="F77" s="208">
        <v>411</v>
      </c>
      <c r="G77" s="197">
        <v>1460</v>
      </c>
      <c r="H77" s="198">
        <v>330</v>
      </c>
      <c r="I77" s="198">
        <v>690</v>
      </c>
    </row>
    <row r="78" spans="1:9" ht="12" thickBot="1">
      <c r="A78" s="77">
        <f t="shared" si="18"/>
        <v>10</v>
      </c>
      <c r="B78" s="128">
        <v>44470</v>
      </c>
      <c r="C78" s="197">
        <v>26400</v>
      </c>
      <c r="D78" s="197">
        <v>2237</v>
      </c>
      <c r="E78" s="77">
        <v>6396</v>
      </c>
      <c r="F78" s="208">
        <v>372</v>
      </c>
      <c r="G78" s="198">
        <v>720</v>
      </c>
      <c r="H78" s="198">
        <v>420</v>
      </c>
      <c r="I78" s="198">
        <v>710</v>
      </c>
    </row>
    <row r="79" spans="1:9" ht="12" thickBot="1">
      <c r="A79" s="77">
        <f t="shared" si="18"/>
        <v>10</v>
      </c>
      <c r="B79" s="128">
        <v>44835</v>
      </c>
      <c r="C79" s="197">
        <v>28500</v>
      </c>
      <c r="D79" s="197">
        <v>2131</v>
      </c>
      <c r="E79" s="77">
        <v>6927</v>
      </c>
      <c r="F79" s="209">
        <v>471</v>
      </c>
      <c r="G79" s="197">
        <v>1320</v>
      </c>
      <c r="H79" s="198">
        <v>390</v>
      </c>
      <c r="I79" s="198">
        <v>620</v>
      </c>
    </row>
    <row r="80" spans="1:9" ht="12" thickBot="1">
      <c r="A80" s="77">
        <f t="shared" si="18"/>
        <v>10</v>
      </c>
      <c r="B80" s="128">
        <v>45200</v>
      </c>
      <c r="C80" s="197">
        <v>38700</v>
      </c>
      <c r="D80" s="197">
        <v>3673</v>
      </c>
      <c r="E80" s="77">
        <v>3901</v>
      </c>
      <c r="F80" s="200">
        <v>624</v>
      </c>
      <c r="G80" s="197">
        <v>1530</v>
      </c>
      <c r="H80" s="198">
        <v>830</v>
      </c>
      <c r="I80" s="198">
        <v>600</v>
      </c>
    </row>
    <row r="81" spans="1:9" ht="12" thickBot="1">
      <c r="A81" s="77">
        <f t="shared" si="18"/>
        <v>10</v>
      </c>
      <c r="B81" s="128">
        <v>45566</v>
      </c>
      <c r="C81" s="114"/>
      <c r="D81" s="114"/>
      <c r="F81" s="120"/>
      <c r="G81" s="114"/>
      <c r="H81" s="114"/>
      <c r="I81" s="114"/>
    </row>
    <row r="82" spans="1:9" ht="12" thickBot="1">
      <c r="B82" s="128"/>
      <c r="C82" s="193">
        <f>_xlfn.FORECAST.ETS(DATE(2025,1,1),C$75:C$81,$B$75:$B$81,1,1)+_xlfn.FORECAST.ETS.CONFINT(DATE(2025,1,1),C$75:C$81,$B$75:$B$81,$A$1,1)</f>
        <v>36998.085022001673</v>
      </c>
      <c r="D82" s="193">
        <f t="shared" ref="D82:I82" si="19">_xlfn.FORECAST.ETS(DATE(2025,1,1),D$75:D$81,$B$75:$B$81,1,1)+_xlfn.FORECAST.ETS.CONFINT(DATE(2025,1,1),D$75:D$81,$B$75:$B$81,$A$1,1)</f>
        <v>1082.5077258538849</v>
      </c>
      <c r="E82" s="193">
        <f t="shared" si="19"/>
        <v>9419.9061040842425</v>
      </c>
      <c r="F82" s="193">
        <f t="shared" si="19"/>
        <v>783.19362180113467</v>
      </c>
      <c r="G82" s="193">
        <f t="shared" si="19"/>
        <v>1755.0326086854184</v>
      </c>
      <c r="H82" s="193">
        <f t="shared" si="19"/>
        <v>1318.5020291528062</v>
      </c>
      <c r="I82" s="193">
        <f t="shared" si="19"/>
        <v>572.90907788920254</v>
      </c>
    </row>
    <row r="83" spans="1:9" ht="12" thickBot="1">
      <c r="A83" s="77">
        <f t="shared" ref="A83:A89" si="20">MONTH(DATE(YEAR(B83),MONTH(B83),DAY(B83)))</f>
        <v>11</v>
      </c>
      <c r="B83" s="128">
        <v>43405</v>
      </c>
      <c r="C83" s="193">
        <v>33000</v>
      </c>
      <c r="D83" s="193">
        <v>7009</v>
      </c>
      <c r="F83" s="194">
        <v>385</v>
      </c>
      <c r="G83" s="193">
        <v>1970</v>
      </c>
      <c r="H83" s="194">
        <v>810</v>
      </c>
      <c r="I83" s="114"/>
    </row>
    <row r="84" spans="1:9" ht="12" thickBot="1">
      <c r="A84" s="77">
        <f t="shared" si="20"/>
        <v>11</v>
      </c>
      <c r="B84" s="128">
        <v>43770</v>
      </c>
      <c r="C84" s="193">
        <v>36300</v>
      </c>
      <c r="D84" s="193">
        <v>8206</v>
      </c>
      <c r="E84" s="77">
        <v>2948</v>
      </c>
      <c r="F84" s="194">
        <v>383</v>
      </c>
      <c r="G84" s="193">
        <v>1940</v>
      </c>
      <c r="H84" s="194">
        <v>490</v>
      </c>
      <c r="I84" s="194">
        <v>760</v>
      </c>
    </row>
    <row r="85" spans="1:9" ht="12" thickBot="1">
      <c r="A85" s="77">
        <f t="shared" si="20"/>
        <v>11</v>
      </c>
      <c r="B85" s="128">
        <v>44136</v>
      </c>
      <c r="C85" s="191">
        <v>26100</v>
      </c>
      <c r="D85" s="191">
        <v>3281</v>
      </c>
      <c r="E85" s="77">
        <v>6859</v>
      </c>
      <c r="F85" s="192">
        <v>100</v>
      </c>
      <c r="G85" s="191">
        <v>1100</v>
      </c>
      <c r="H85" s="192">
        <v>270</v>
      </c>
      <c r="I85" s="192">
        <v>650</v>
      </c>
    </row>
    <row r="86" spans="1:9" ht="12" thickBot="1">
      <c r="A86" s="77">
        <f t="shared" si="20"/>
        <v>11</v>
      </c>
      <c r="B86" s="128">
        <v>44501</v>
      </c>
      <c r="C86" s="193">
        <v>28200</v>
      </c>
      <c r="D86" s="193">
        <v>3757</v>
      </c>
      <c r="E86" s="77">
        <v>4957</v>
      </c>
      <c r="F86" s="194">
        <v>541</v>
      </c>
      <c r="G86" s="193">
        <v>2540</v>
      </c>
      <c r="H86" s="194">
        <v>390</v>
      </c>
      <c r="I86" s="194">
        <v>650</v>
      </c>
    </row>
    <row r="87" spans="1:9" ht="12" thickBot="1">
      <c r="A87" s="77">
        <f t="shared" si="20"/>
        <v>11</v>
      </c>
      <c r="B87" s="128">
        <v>44866</v>
      </c>
      <c r="C87" s="193">
        <v>25800</v>
      </c>
      <c r="D87" s="193">
        <v>2098</v>
      </c>
      <c r="E87" s="77">
        <v>5608</v>
      </c>
      <c r="F87" s="193">
        <v>523</v>
      </c>
      <c r="G87" s="193">
        <v>1090</v>
      </c>
      <c r="H87" s="194">
        <v>260</v>
      </c>
      <c r="I87" s="194">
        <v>530</v>
      </c>
    </row>
    <row r="88" spans="1:9" ht="12" thickBot="1">
      <c r="A88" s="77">
        <f t="shared" si="20"/>
        <v>11</v>
      </c>
      <c r="B88" s="128">
        <v>45231</v>
      </c>
      <c r="C88" s="193">
        <v>39900</v>
      </c>
      <c r="D88" s="193">
        <v>3359</v>
      </c>
      <c r="E88" s="77">
        <v>4659</v>
      </c>
      <c r="F88" s="194">
        <v>572</v>
      </c>
      <c r="G88" s="193">
        <v>1530</v>
      </c>
      <c r="H88" s="194">
        <v>820</v>
      </c>
      <c r="I88" s="194">
        <v>800</v>
      </c>
    </row>
    <row r="89" spans="1:9" ht="12" thickBot="1">
      <c r="A89" s="77">
        <f t="shared" si="20"/>
        <v>11</v>
      </c>
      <c r="B89" s="128">
        <v>45597</v>
      </c>
      <c r="C89" s="114"/>
      <c r="D89" s="114"/>
      <c r="F89" s="114"/>
      <c r="G89" s="114"/>
      <c r="H89" s="114"/>
      <c r="I89" s="114"/>
    </row>
    <row r="90" spans="1:9" ht="12" thickBot="1">
      <c r="B90" s="128"/>
      <c r="C90" s="193">
        <f>_xlfn.FORECAST.ETS(DATE(2025,1,1),C$83:C$89,$B$83:$B$89,1,1)+_xlfn.FORECAST.ETS.CONFINT(DATE(2025,1,1),C$83:C$89,$B$83:$B$89,$A$1,1)</f>
        <v>44533.283757681384</v>
      </c>
      <c r="D90" s="193">
        <f t="shared" ref="D90:I90" si="21">_xlfn.FORECAST.ETS(DATE(2025,1,1),D$83:D$89,$B$83:$B$89,1,1)+_xlfn.FORECAST.ETS.CONFINT(DATE(2025,1,1),D$83:D$89,$B$83:$B$89,$A$1,1)</f>
        <v>1501.602314187817</v>
      </c>
      <c r="E90" s="193">
        <f t="shared" si="21"/>
        <v>8103.7290984099072</v>
      </c>
      <c r="F90" s="193">
        <f t="shared" si="21"/>
        <v>936.01446375512114</v>
      </c>
      <c r="G90" s="193">
        <f t="shared" si="21"/>
        <v>1778.6631358045197</v>
      </c>
      <c r="H90" s="193">
        <f t="shared" si="21"/>
        <v>1201.2031899278404</v>
      </c>
      <c r="I90" s="193">
        <f t="shared" si="21"/>
        <v>901.28430024100953</v>
      </c>
    </row>
    <row r="91" spans="1:9">
      <c r="A91" s="77">
        <f t="shared" ref="A91:A97" si="22">MONTH(DATE(YEAR(B91),MONTH(B91),DAY(B91)))</f>
        <v>12</v>
      </c>
      <c r="B91" s="128">
        <v>43435</v>
      </c>
      <c r="C91" s="210">
        <v>31500</v>
      </c>
      <c r="D91" s="210">
        <v>7736</v>
      </c>
      <c r="F91" s="200">
        <v>413</v>
      </c>
      <c r="G91" s="210">
        <v>1870</v>
      </c>
      <c r="H91" s="200">
        <v>510</v>
      </c>
    </row>
    <row r="92" spans="1:9">
      <c r="A92" s="77">
        <f t="shared" si="22"/>
        <v>12</v>
      </c>
      <c r="B92" s="128">
        <v>43800</v>
      </c>
      <c r="C92" s="210">
        <v>33600</v>
      </c>
      <c r="D92" s="210">
        <v>8762</v>
      </c>
      <c r="E92" s="77">
        <v>2373</v>
      </c>
      <c r="F92" s="200">
        <v>723</v>
      </c>
      <c r="G92" s="210">
        <v>1840</v>
      </c>
      <c r="H92" s="200">
        <v>510</v>
      </c>
      <c r="I92" s="200">
        <v>630</v>
      </c>
    </row>
    <row r="93" spans="1:9">
      <c r="A93" s="77">
        <f t="shared" si="22"/>
        <v>12</v>
      </c>
      <c r="B93" s="128">
        <v>44166</v>
      </c>
      <c r="C93" s="210">
        <v>32100</v>
      </c>
      <c r="D93" s="210">
        <v>4144</v>
      </c>
      <c r="E93" s="77">
        <v>6821</v>
      </c>
      <c r="F93" s="200">
        <v>717</v>
      </c>
      <c r="G93" s="210">
        <v>1320</v>
      </c>
      <c r="H93" s="200">
        <v>310</v>
      </c>
      <c r="I93" s="200">
        <v>730</v>
      </c>
    </row>
    <row r="94" spans="1:9">
      <c r="A94" s="77">
        <f t="shared" si="22"/>
        <v>12</v>
      </c>
      <c r="B94" s="128">
        <v>44531</v>
      </c>
      <c r="C94" s="210">
        <v>26100</v>
      </c>
      <c r="D94" s="210">
        <v>3531</v>
      </c>
      <c r="E94" s="77">
        <v>6136</v>
      </c>
      <c r="F94" s="200">
        <v>586</v>
      </c>
      <c r="G94" s="210">
        <v>1210</v>
      </c>
      <c r="H94" s="200">
        <v>320</v>
      </c>
      <c r="I94" s="200">
        <v>590</v>
      </c>
    </row>
    <row r="95" spans="1:9">
      <c r="A95" s="77">
        <f t="shared" si="22"/>
        <v>12</v>
      </c>
      <c r="B95" s="128">
        <v>44896</v>
      </c>
      <c r="C95" s="210">
        <v>23700</v>
      </c>
      <c r="D95" s="210">
        <v>1984</v>
      </c>
      <c r="E95" s="77">
        <v>4631</v>
      </c>
      <c r="F95" s="210">
        <v>374</v>
      </c>
      <c r="G95" s="210">
        <v>1030</v>
      </c>
      <c r="H95" s="200">
        <v>260</v>
      </c>
      <c r="I95" s="200">
        <v>560</v>
      </c>
    </row>
    <row r="96" spans="1:9">
      <c r="A96" s="77">
        <f t="shared" si="22"/>
        <v>12</v>
      </c>
      <c r="B96" s="128">
        <v>45261</v>
      </c>
      <c r="C96" s="210">
        <v>27600</v>
      </c>
      <c r="D96" s="210">
        <v>2939</v>
      </c>
      <c r="E96" s="77">
        <v>6110</v>
      </c>
      <c r="F96" s="200">
        <v>539</v>
      </c>
      <c r="G96" s="210">
        <v>1290</v>
      </c>
      <c r="H96" s="196">
        <v>630</v>
      </c>
      <c r="I96" s="200">
        <v>640</v>
      </c>
    </row>
    <row r="97" spans="1:9">
      <c r="A97" s="77">
        <f t="shared" si="22"/>
        <v>12</v>
      </c>
      <c r="B97" s="128">
        <v>45627</v>
      </c>
    </row>
    <row r="98" spans="1:9" ht="12" thickBot="1">
      <c r="C98" s="193">
        <f>_xlfn.FORECAST.ETS(DATE(2025,1,1),C$91:C$97,$B$91:$B$97,1,1)+_xlfn.FORECAST.ETS.CONFINT(DATE(2025,1,1),C$91:C$97,$B$91:$B$97,$A$1,1)</f>
        <v>26766.150326868665</v>
      </c>
      <c r="D98" s="193">
        <f t="shared" ref="D98:I98" si="23">_xlfn.FORECAST.ETS(DATE(2025,1,1),D$91:D$97,$B$91:$B$97,1,1)+_xlfn.FORECAST.ETS.CONFINT(DATE(2025,1,1),D$91:D$97,$B$91:$B$97,$A$1,1)</f>
        <v>736.83071150325395</v>
      </c>
      <c r="E98" s="193">
        <f t="shared" si="23"/>
        <v>9540.1719615163584</v>
      </c>
      <c r="F98" s="193">
        <f t="shared" si="23"/>
        <v>768.64657995669222</v>
      </c>
      <c r="G98" s="193">
        <f t="shared" si="23"/>
        <v>1264.5350310805075</v>
      </c>
      <c r="H98" s="193">
        <f t="shared" si="23"/>
        <v>720.36692981698718</v>
      </c>
      <c r="I98" s="193">
        <f t="shared" si="23"/>
        <v>660.46257200859361</v>
      </c>
    </row>
    <row r="103" spans="1:9" ht="22.5">
      <c r="C103" s="190" t="s">
        <v>163</v>
      </c>
      <c r="D103" s="190" t="s">
        <v>164</v>
      </c>
      <c r="E103" s="190" t="s">
        <v>165</v>
      </c>
      <c r="F103" s="190" t="s">
        <v>166</v>
      </c>
      <c r="G103" s="190" t="s">
        <v>167</v>
      </c>
      <c r="H103" s="190" t="s">
        <v>168</v>
      </c>
      <c r="I103" s="190" t="s">
        <v>169</v>
      </c>
    </row>
    <row r="104" spans="1:9">
      <c r="B104" s="128">
        <v>45658</v>
      </c>
      <c r="C104" s="211">
        <f>C10</f>
        <v>33195.826111394061</v>
      </c>
      <c r="D104" s="211">
        <f t="shared" ref="D104:I104" si="24">D10</f>
        <v>2809.0439663980483</v>
      </c>
      <c r="E104" s="211">
        <f t="shared" si="24"/>
        <v>5941.338232371957</v>
      </c>
      <c r="F104" s="211">
        <f t="shared" si="24"/>
        <v>807.43949746100714</v>
      </c>
      <c r="G104" s="211">
        <f t="shared" si="24"/>
        <v>1341.0960646742274</v>
      </c>
      <c r="H104" s="211">
        <f t="shared" si="24"/>
        <v>638.49812893502553</v>
      </c>
      <c r="I104" s="211">
        <f t="shared" si="24"/>
        <v>950.8142148363836</v>
      </c>
    </row>
    <row r="105" spans="1:9">
      <c r="B105" s="128">
        <v>45689</v>
      </c>
      <c r="C105" s="211">
        <f>C18</f>
        <v>41365.48505973877</v>
      </c>
      <c r="D105" s="211">
        <f t="shared" ref="D105:I105" si="25">D18</f>
        <v>2987.7091097857879</v>
      </c>
      <c r="E105" s="211">
        <f t="shared" si="25"/>
        <v>11973.003917931926</v>
      </c>
      <c r="F105" s="211">
        <f t="shared" si="25"/>
        <v>748.49715406112523</v>
      </c>
      <c r="G105" s="211">
        <f t="shared" si="25"/>
        <v>1517.608925495022</v>
      </c>
      <c r="H105" s="211">
        <f t="shared" si="25"/>
        <v>680.80052342714441</v>
      </c>
      <c r="I105" s="211">
        <f t="shared" si="25"/>
        <v>1023.9224720778623</v>
      </c>
    </row>
    <row r="106" spans="1:9">
      <c r="B106" s="128">
        <v>45717</v>
      </c>
      <c r="C106" s="211">
        <f>C26</f>
        <v>39716.666948377911</v>
      </c>
      <c r="D106" s="211">
        <f t="shared" ref="D106:I106" si="26">D26</f>
        <v>2555.441847979082</v>
      </c>
      <c r="E106" s="211">
        <f t="shared" si="26"/>
        <v>6765.4945695061915</v>
      </c>
      <c r="F106" s="211">
        <f t="shared" si="26"/>
        <v>650.67219106065977</v>
      </c>
      <c r="G106" s="211">
        <f t="shared" si="26"/>
        <v>1549.3199051044103</v>
      </c>
      <c r="H106" s="211">
        <f t="shared" si="26"/>
        <v>681.54584604236015</v>
      </c>
      <c r="I106" s="211">
        <f t="shared" si="26"/>
        <v>811.66245037143199</v>
      </c>
    </row>
    <row r="107" spans="1:9">
      <c r="B107" s="128">
        <v>45748</v>
      </c>
      <c r="C107" s="211">
        <f>C34</f>
        <v>41089.284578814244</v>
      </c>
      <c r="D107" s="211">
        <f t="shared" ref="D107:I107" si="27">D34</f>
        <v>3346.2655715408764</v>
      </c>
      <c r="E107" s="211">
        <f t="shared" si="27"/>
        <v>4555.00766643103</v>
      </c>
      <c r="F107" s="211">
        <f t="shared" si="27"/>
        <v>847.9605708159736</v>
      </c>
      <c r="G107" s="211">
        <f t="shared" si="27"/>
        <v>1394.9972794628957</v>
      </c>
      <c r="H107" s="211">
        <f t="shared" si="27"/>
        <v>647.5297475283337</v>
      </c>
      <c r="I107" s="211">
        <f t="shared" si="27"/>
        <v>858.23080110279648</v>
      </c>
    </row>
    <row r="108" spans="1:9">
      <c r="B108" s="128">
        <v>45778</v>
      </c>
      <c r="C108" s="211">
        <f>C42</f>
        <v>38984.571544978571</v>
      </c>
      <c r="D108" s="211">
        <f t="shared" ref="D108:I108" si="28">D42</f>
        <v>2455.5588473285561</v>
      </c>
      <c r="E108" s="211">
        <f t="shared" si="28"/>
        <v>4424.0354330154114</v>
      </c>
      <c r="F108" s="211">
        <f t="shared" si="28"/>
        <v>762.75591721649209</v>
      </c>
      <c r="G108" s="211">
        <f t="shared" si="28"/>
        <v>1562.413593402759</v>
      </c>
      <c r="H108" s="211">
        <f t="shared" si="28"/>
        <v>406.58173398271339</v>
      </c>
      <c r="I108" s="211">
        <f t="shared" si="28"/>
        <v>960.49363536553267</v>
      </c>
    </row>
    <row r="109" spans="1:9">
      <c r="B109" s="128">
        <v>45809</v>
      </c>
      <c r="C109" s="211">
        <f>C50</f>
        <v>33853.970562215036</v>
      </c>
      <c r="D109" s="211">
        <f t="shared" ref="D109:I109" si="29">D50</f>
        <v>4720.07135380206</v>
      </c>
      <c r="E109" s="211">
        <f t="shared" si="29"/>
        <v>4832.2700800968669</v>
      </c>
      <c r="F109" s="211">
        <f t="shared" si="29"/>
        <v>692.38983825813352</v>
      </c>
      <c r="G109" s="211">
        <f t="shared" si="29"/>
        <v>1795.8281938214036</v>
      </c>
      <c r="H109" s="211">
        <f t="shared" si="29"/>
        <v>359.14892801923042</v>
      </c>
      <c r="I109" s="211">
        <f t="shared" si="29"/>
        <v>823.68011925682663</v>
      </c>
    </row>
    <row r="110" spans="1:9">
      <c r="B110" s="128">
        <v>45839</v>
      </c>
      <c r="C110" s="211">
        <f>C58</f>
        <v>32354.21636392497</v>
      </c>
      <c r="D110" s="211">
        <f t="shared" ref="D110:I110" si="30">D58</f>
        <v>1759.1085655977788</v>
      </c>
      <c r="E110" s="211">
        <f t="shared" si="30"/>
        <v>13883.141772403835</v>
      </c>
      <c r="F110" s="211">
        <f t="shared" si="30"/>
        <v>163.56933389707251</v>
      </c>
      <c r="G110" s="211">
        <f t="shared" si="30"/>
        <v>1301.5431014135866</v>
      </c>
      <c r="H110" s="211">
        <f t="shared" si="30"/>
        <v>396.29785203068218</v>
      </c>
      <c r="I110" s="211">
        <f t="shared" si="30"/>
        <v>1003.5494633421861</v>
      </c>
    </row>
    <row r="111" spans="1:9">
      <c r="B111" s="128">
        <v>45870</v>
      </c>
      <c r="C111" s="211">
        <f>C66</f>
        <v>42513.632762440742</v>
      </c>
      <c r="D111" s="211">
        <f t="shared" ref="D111:I111" si="31">D66</f>
        <v>1567.7257868988959</v>
      </c>
      <c r="E111" s="211">
        <f t="shared" si="31"/>
        <v>5723.1182128586715</v>
      </c>
      <c r="F111" s="211">
        <f t="shared" si="31"/>
        <v>1554.6366958759486</v>
      </c>
      <c r="G111" s="211">
        <f t="shared" si="31"/>
        <v>1634.0010105327224</v>
      </c>
      <c r="H111" s="211">
        <f t="shared" si="31"/>
        <v>684.70202627929018</v>
      </c>
      <c r="I111" s="211">
        <f t="shared" si="31"/>
        <v>961.43820584579441</v>
      </c>
    </row>
    <row r="112" spans="1:9">
      <c r="B112" s="128">
        <v>45901</v>
      </c>
      <c r="C112" s="211">
        <f>C74</f>
        <v>47549.412615385685</v>
      </c>
      <c r="D112" s="211">
        <f t="shared" ref="D112:I112" si="32">D74</f>
        <v>7677.214880260417</v>
      </c>
      <c r="E112" s="211">
        <f t="shared" si="32"/>
        <v>7055.8650277183979</v>
      </c>
      <c r="F112" s="211">
        <f t="shared" si="32"/>
        <v>577.63338608275103</v>
      </c>
      <c r="G112" s="211">
        <f t="shared" si="32"/>
        <v>1804.9177136638154</v>
      </c>
      <c r="H112" s="211">
        <f t="shared" si="32"/>
        <v>973.34341311673802</v>
      </c>
      <c r="I112" s="211">
        <f t="shared" si="32"/>
        <v>545.07534281719359</v>
      </c>
    </row>
    <row r="113" spans="2:9">
      <c r="B113" s="128">
        <v>45931</v>
      </c>
      <c r="C113" s="211">
        <f>C82</f>
        <v>36998.085022001673</v>
      </c>
      <c r="D113" s="211">
        <f t="shared" ref="D113:I113" si="33">D82</f>
        <v>1082.5077258538849</v>
      </c>
      <c r="E113" s="211">
        <f t="shared" si="33"/>
        <v>9419.9061040842425</v>
      </c>
      <c r="F113" s="211">
        <f t="shared" si="33"/>
        <v>783.19362180113467</v>
      </c>
      <c r="G113" s="211">
        <f t="shared" si="33"/>
        <v>1755.0326086854184</v>
      </c>
      <c r="H113" s="211">
        <f t="shared" si="33"/>
        <v>1318.5020291528062</v>
      </c>
      <c r="I113" s="211">
        <f t="shared" si="33"/>
        <v>572.90907788920254</v>
      </c>
    </row>
    <row r="114" spans="2:9">
      <c r="B114" s="128">
        <v>45962</v>
      </c>
      <c r="C114" s="211">
        <f>C90</f>
        <v>44533.283757681384</v>
      </c>
      <c r="D114" s="211">
        <f t="shared" ref="D114:I114" si="34">D90</f>
        <v>1501.602314187817</v>
      </c>
      <c r="E114" s="211">
        <f t="shared" si="34"/>
        <v>8103.7290984099072</v>
      </c>
      <c r="F114" s="211">
        <f t="shared" si="34"/>
        <v>936.01446375512114</v>
      </c>
      <c r="G114" s="211">
        <f t="shared" si="34"/>
        <v>1778.6631358045197</v>
      </c>
      <c r="H114" s="211">
        <f t="shared" si="34"/>
        <v>1201.2031899278404</v>
      </c>
      <c r="I114" s="211">
        <f t="shared" si="34"/>
        <v>901.28430024100953</v>
      </c>
    </row>
    <row r="115" spans="2:9">
      <c r="B115" s="128">
        <v>45992</v>
      </c>
      <c r="C115" s="211">
        <f>C98</f>
        <v>26766.150326868665</v>
      </c>
      <c r="D115" s="211">
        <f t="shared" ref="D115:I115" si="35">D98</f>
        <v>736.83071150325395</v>
      </c>
      <c r="E115" s="211">
        <f t="shared" si="35"/>
        <v>9540.1719615163584</v>
      </c>
      <c r="F115" s="211">
        <f t="shared" si="35"/>
        <v>768.64657995669222</v>
      </c>
      <c r="G115" s="211">
        <f t="shared" si="35"/>
        <v>1264.5350310805075</v>
      </c>
      <c r="H115" s="211">
        <f t="shared" si="35"/>
        <v>720.36692981698718</v>
      </c>
      <c r="I115" s="211">
        <f t="shared" si="35"/>
        <v>660.46257200859361</v>
      </c>
    </row>
    <row r="116" spans="2:9">
      <c r="B116" s="183" t="s">
        <v>58</v>
      </c>
      <c r="C116" s="130">
        <f>AVERAGE(C104:C115)</f>
        <v>38243.382137818473</v>
      </c>
      <c r="D116" s="130">
        <f t="shared" ref="D116:I116" si="36">AVERAGE(D104:D115)</f>
        <v>2766.5900567613717</v>
      </c>
      <c r="E116" s="130">
        <f t="shared" si="36"/>
        <v>7684.7568396954002</v>
      </c>
      <c r="F116" s="130">
        <f t="shared" si="36"/>
        <v>774.4507708535092</v>
      </c>
      <c r="G116" s="130">
        <f t="shared" si="36"/>
        <v>1558.3297135951073</v>
      </c>
      <c r="H116" s="130">
        <f t="shared" si="36"/>
        <v>725.71002902159614</v>
      </c>
      <c r="I116" s="130">
        <f t="shared" si="36"/>
        <v>839.46022126290109</v>
      </c>
    </row>
    <row r="117" spans="2:9">
      <c r="B117" s="183" t="s">
        <v>59</v>
      </c>
      <c r="C117" s="130">
        <f>MEDIAN(C104:C115)</f>
        <v>39350.619246678238</v>
      </c>
      <c r="D117" s="130">
        <f t="shared" ref="D117:I117" si="37">MEDIAN(D104:D115)</f>
        <v>2505.5003476538191</v>
      </c>
      <c r="E117" s="130">
        <f t="shared" si="37"/>
        <v>6910.6797986122947</v>
      </c>
      <c r="F117" s="130">
        <f t="shared" si="37"/>
        <v>765.7012485865921</v>
      </c>
      <c r="G117" s="130">
        <f t="shared" si="37"/>
        <v>1555.8667492535847</v>
      </c>
      <c r="H117" s="130">
        <f t="shared" si="37"/>
        <v>681.17318473475234</v>
      </c>
      <c r="I117" s="130">
        <f t="shared" si="37"/>
        <v>879.757550671903</v>
      </c>
    </row>
    <row r="118" spans="2:9">
      <c r="B118" s="183" t="s">
        <v>60</v>
      </c>
      <c r="C118" s="130">
        <f>MAX(C104:C115)</f>
        <v>47549.412615385685</v>
      </c>
      <c r="D118" s="130">
        <f t="shared" ref="D118:I118" si="38">MAX(D104:D115)</f>
        <v>7677.214880260417</v>
      </c>
      <c r="E118" s="130">
        <f t="shared" si="38"/>
        <v>13883.141772403835</v>
      </c>
      <c r="F118" s="130">
        <f t="shared" si="38"/>
        <v>1554.6366958759486</v>
      </c>
      <c r="G118" s="130">
        <f t="shared" si="38"/>
        <v>1804.9177136638154</v>
      </c>
      <c r="H118" s="130">
        <f t="shared" si="38"/>
        <v>1318.5020291528062</v>
      </c>
      <c r="I118" s="130">
        <f t="shared" si="38"/>
        <v>1023.9224720778623</v>
      </c>
    </row>
    <row r="119" spans="2:9">
      <c r="B119" s="183" t="s">
        <v>61</v>
      </c>
      <c r="C119" s="212">
        <f>QUARTILE(C104:C115,3)</f>
        <v>41652.521985414263</v>
      </c>
      <c r="D119" s="212">
        <f t="shared" ref="D119:I119" si="39">QUARTILE(D104:D115,3)</f>
        <v>3077.3482252245599</v>
      </c>
      <c r="E119" s="212">
        <f t="shared" si="39"/>
        <v>9449.9725684422719</v>
      </c>
      <c r="F119" s="212">
        <f t="shared" si="39"/>
        <v>817.56976579974878</v>
      </c>
      <c r="G119" s="212">
        <f t="shared" si="39"/>
        <v>1760.9402404651937</v>
      </c>
      <c r="H119" s="212">
        <f t="shared" si="39"/>
        <v>783.61105064192486</v>
      </c>
      <c r="I119" s="212">
        <f t="shared" si="39"/>
        <v>960.72977798559805</v>
      </c>
    </row>
    <row r="120" spans="2:9">
      <c r="B120" s="183" t="s">
        <v>20</v>
      </c>
      <c r="C120" s="130">
        <f t="shared" ref="C120:I120" si="40">SUM(C104:C115)</f>
        <v>458920.5856538217</v>
      </c>
      <c r="D120" s="130">
        <f t="shared" si="40"/>
        <v>33199.08068113646</v>
      </c>
      <c r="E120" s="130">
        <f t="shared" si="40"/>
        <v>92217.082076344799</v>
      </c>
      <c r="F120" s="130">
        <f t="shared" si="40"/>
        <v>9293.4092502421099</v>
      </c>
      <c r="G120" s="130">
        <f t="shared" si="40"/>
        <v>18699.956563141288</v>
      </c>
      <c r="H120" s="130">
        <f t="shared" si="40"/>
        <v>8708.5203482591533</v>
      </c>
      <c r="I120" s="130">
        <f t="shared" si="40"/>
        <v>10073.522655154813</v>
      </c>
    </row>
    <row r="121" spans="2:9">
      <c r="B121" s="183" t="s">
        <v>62</v>
      </c>
      <c r="C121" s="130">
        <f t="shared" ref="C121:I122" si="41">C118*12</f>
        <v>570592.95138462819</v>
      </c>
      <c r="D121" s="130">
        <f t="shared" si="41"/>
        <v>92126.578563125004</v>
      </c>
      <c r="E121" s="130">
        <f t="shared" si="41"/>
        <v>166597.70126884602</v>
      </c>
      <c r="F121" s="130">
        <f t="shared" si="41"/>
        <v>18655.640350511385</v>
      </c>
      <c r="G121" s="130">
        <f t="shared" si="41"/>
        <v>21659.012563965785</v>
      </c>
      <c r="H121" s="130">
        <f t="shared" si="41"/>
        <v>15822.024349833675</v>
      </c>
      <c r="I121" s="130">
        <f t="shared" si="41"/>
        <v>12287.069664934348</v>
      </c>
    </row>
    <row r="122" spans="2:9">
      <c r="B122" s="183" t="s">
        <v>63</v>
      </c>
      <c r="C122" s="130">
        <f t="shared" si="41"/>
        <v>499830.26382497116</v>
      </c>
      <c r="D122" s="130">
        <f t="shared" si="41"/>
        <v>36928.17870269472</v>
      </c>
      <c r="E122" s="130">
        <f t="shared" si="41"/>
        <v>113399.67082130726</v>
      </c>
      <c r="F122" s="130">
        <f t="shared" si="41"/>
        <v>9810.8371895969849</v>
      </c>
      <c r="G122" s="130">
        <f t="shared" si="41"/>
        <v>21131.282885582325</v>
      </c>
      <c r="H122" s="130">
        <f t="shared" si="41"/>
        <v>9403.3326077030979</v>
      </c>
      <c r="I122" s="130">
        <f t="shared" si="41"/>
        <v>11528.757335827177</v>
      </c>
    </row>
  </sheetData>
  <autoFilter ref="A2:I2" xr:uid="{C92B9F2F-00AF-4237-A3B6-2C4E7136308D}">
    <sortState xmlns:xlrd2="http://schemas.microsoft.com/office/spreadsheetml/2017/richdata2" ref="A3:I86">
      <sortCondition ref="A2"/>
    </sortState>
  </autoFilter>
  <pageMargins left="0.511811024" right="0.511811024" top="0.78740157499999996" bottom="0.78740157499999996" header="0.31496062000000002" footer="0.31496062000000002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D2BAB4-71C3-4490-AA2A-8E8BC3DC7B9F}">
  <dimension ref="A1:AE127"/>
  <sheetViews>
    <sheetView zoomScale="70" zoomScaleNormal="70" workbookViewId="0">
      <pane ySplit="2" topLeftCell="H101" activePane="bottomLeft" state="frozen"/>
      <selection pane="bottomLeft" activeCell="H123" sqref="H123"/>
    </sheetView>
  </sheetViews>
  <sheetFormatPr defaultColWidth="9.140625" defaultRowHeight="15"/>
  <cols>
    <col min="1" max="1" width="9.140625" style="2"/>
    <col min="2" max="2" width="24.7109375" style="20" bestFit="1" customWidth="1"/>
    <col min="3" max="3" width="10.7109375" style="19" customWidth="1"/>
    <col min="4" max="4" width="15.140625" style="3" bestFit="1" customWidth="1"/>
    <col min="5" max="5" width="18" style="3" bestFit="1" customWidth="1"/>
    <col min="6" max="6" width="15.5703125" style="3" bestFit="1" customWidth="1"/>
    <col min="7" max="7" width="15.85546875" style="3" bestFit="1" customWidth="1"/>
    <col min="8" max="8" width="20.140625" style="3" bestFit="1" customWidth="1"/>
    <col min="9" max="9" width="9.140625" style="2"/>
    <col min="10" max="10" width="16.5703125" style="2" customWidth="1"/>
    <col min="11" max="11" width="17.28515625" style="2" customWidth="1"/>
    <col min="12" max="14" width="13.140625" style="2" bestFit="1" customWidth="1"/>
    <col min="15" max="15" width="17.42578125" style="2" customWidth="1"/>
    <col min="16" max="16" width="23.5703125" style="2" customWidth="1"/>
    <col min="17" max="17" width="15" style="2" customWidth="1"/>
    <col min="18" max="19" width="13.140625" style="2" bestFit="1" customWidth="1"/>
    <col min="20" max="20" width="13.140625" style="2" customWidth="1"/>
    <col min="21" max="21" width="13.5703125" style="2" customWidth="1"/>
    <col min="22" max="16384" width="9.140625" style="2"/>
  </cols>
  <sheetData>
    <row r="1" spans="1:31" ht="38.25" customHeight="1">
      <c r="D1" s="361" t="s">
        <v>170</v>
      </c>
      <c r="E1" s="361"/>
      <c r="F1" s="361"/>
      <c r="G1" s="361"/>
      <c r="H1" s="361"/>
      <c r="J1" s="362" t="s">
        <v>171</v>
      </c>
      <c r="K1" s="362"/>
      <c r="L1" s="362"/>
      <c r="M1" s="362"/>
      <c r="N1" s="362"/>
      <c r="Q1" s="362" t="s">
        <v>172</v>
      </c>
      <c r="R1" s="362"/>
      <c r="S1" s="362"/>
      <c r="T1" s="362"/>
      <c r="U1" s="362"/>
    </row>
    <row r="2" spans="1:31" ht="45">
      <c r="A2" s="2">
        <v>0.95</v>
      </c>
      <c r="B2" s="20" t="s">
        <v>173</v>
      </c>
      <c r="C2" s="19" t="s">
        <v>21</v>
      </c>
      <c r="D2" s="3" t="s">
        <v>174</v>
      </c>
      <c r="E2" s="3" t="s">
        <v>175</v>
      </c>
      <c r="F2" s="3" t="s">
        <v>176</v>
      </c>
      <c r="G2" s="3" t="s">
        <v>177</v>
      </c>
      <c r="H2" s="3" t="s">
        <v>178</v>
      </c>
      <c r="J2" s="2" t="s">
        <v>179</v>
      </c>
      <c r="K2" s="2" t="s">
        <v>180</v>
      </c>
      <c r="L2" s="2" t="s">
        <v>181</v>
      </c>
      <c r="M2" s="2" t="s">
        <v>182</v>
      </c>
      <c r="N2" s="2" t="s">
        <v>183</v>
      </c>
      <c r="O2" s="2" t="s">
        <v>184</v>
      </c>
      <c r="P2" s="2" t="s">
        <v>185</v>
      </c>
      <c r="Q2" s="3" t="s">
        <v>174</v>
      </c>
      <c r="R2" s="3" t="s">
        <v>175</v>
      </c>
      <c r="S2" s="3" t="s">
        <v>176</v>
      </c>
      <c r="T2" s="3" t="s">
        <v>186</v>
      </c>
      <c r="U2" s="2" t="s">
        <v>187</v>
      </c>
    </row>
    <row r="3" spans="1:31">
      <c r="B3" s="21">
        <v>43101</v>
      </c>
      <c r="C3">
        <f t="shared" ref="C3:C34" si="0">MONTH(DATE(YEAR(B3),MONTH(B3),DAY(B3)))</f>
        <v>1</v>
      </c>
      <c r="D3" s="13">
        <v>16.610350700000001</v>
      </c>
      <c r="E3" s="13">
        <v>2.0592106999999999</v>
      </c>
      <c r="F3" s="13">
        <v>0.48470089999999999</v>
      </c>
      <c r="G3" s="26">
        <v>0.38520795000000002</v>
      </c>
      <c r="H3" s="14">
        <v>702.62</v>
      </c>
      <c r="J3" s="2">
        <v>12.29</v>
      </c>
      <c r="K3" s="2">
        <v>1.07572</v>
      </c>
      <c r="L3" s="2">
        <v>6.6460000000000005E-2</v>
      </c>
      <c r="M3" s="2">
        <v>0.42659999999999998</v>
      </c>
      <c r="N3" s="2">
        <v>0.27088000000000001</v>
      </c>
      <c r="O3" s="53" t="s">
        <v>188</v>
      </c>
      <c r="P3" s="53" t="s">
        <v>189</v>
      </c>
      <c r="Q3" s="269">
        <f t="shared" ref="Q3:Q9" si="1">IFERROR(1-J3/D3,"")</f>
        <v>0.26009990866719035</v>
      </c>
      <c r="R3" s="269">
        <f t="shared" ref="R3:S9" si="2">IFERROR(1-(K3+M3)/E3,"")</f>
        <v>0.27043891137512055</v>
      </c>
      <c r="S3" s="269">
        <f t="shared" si="2"/>
        <v>0.30402439937701775</v>
      </c>
      <c r="T3" s="269">
        <f>IFERROR(AVERAGE(Q3:S3),"")</f>
        <v>0.2781877398064429</v>
      </c>
      <c r="U3" s="269">
        <f t="shared" ref="U3:U9" si="3">IFERROR(LARGE(Q3:S3,1),"")</f>
        <v>0.30402439937701775</v>
      </c>
      <c r="V3" s="269"/>
    </row>
    <row r="4" spans="1:31">
      <c r="B4" s="22">
        <v>43466</v>
      </c>
      <c r="C4">
        <f t="shared" si="0"/>
        <v>1</v>
      </c>
      <c r="D4" s="9">
        <v>15.7850649</v>
      </c>
      <c r="E4" s="9">
        <v>2.2377527000000002</v>
      </c>
      <c r="F4" s="9">
        <v>0.57683169999999995</v>
      </c>
      <c r="G4" s="26">
        <v>0.45920349999999999</v>
      </c>
      <c r="H4" s="11">
        <v>716.25</v>
      </c>
      <c r="J4" s="2">
        <v>11.31</v>
      </c>
      <c r="K4" s="2">
        <v>1.1124000000000001</v>
      </c>
      <c r="L4" s="2">
        <v>0.10686</v>
      </c>
      <c r="M4" s="2">
        <v>0.49095</v>
      </c>
      <c r="N4" s="2">
        <v>0.30643999999999999</v>
      </c>
      <c r="O4" s="53" t="s">
        <v>190</v>
      </c>
      <c r="P4" s="53" t="s">
        <v>191</v>
      </c>
      <c r="Q4" s="269">
        <f t="shared" si="1"/>
        <v>0.28349993670282592</v>
      </c>
      <c r="R4" s="269">
        <f t="shared" si="2"/>
        <v>0.28349991489229354</v>
      </c>
      <c r="S4" s="269">
        <f t="shared" si="2"/>
        <v>0.28349984926279181</v>
      </c>
      <c r="T4" s="269">
        <f t="shared" ref="T4:T9" si="4">IFERROR(AVERAGE(Q4:S4),"")</f>
        <v>0.28349990028597044</v>
      </c>
      <c r="U4" s="269">
        <f t="shared" si="3"/>
        <v>0.28349993670282592</v>
      </c>
      <c r="V4" s="269"/>
    </row>
    <row r="5" spans="1:31">
      <c r="B5" s="21">
        <v>43831</v>
      </c>
      <c r="C5">
        <f t="shared" si="0"/>
        <v>1</v>
      </c>
      <c r="D5" s="9">
        <v>17.140454900000002</v>
      </c>
      <c r="E5" s="9">
        <v>2.2610663</v>
      </c>
      <c r="F5" s="9">
        <v>0.52545529999999996</v>
      </c>
      <c r="G5" s="15">
        <v>0.37938650000000002</v>
      </c>
      <c r="H5" s="11">
        <v>766.75</v>
      </c>
      <c r="J5" s="2">
        <v>12.24</v>
      </c>
      <c r="K5" s="2">
        <v>1.17466</v>
      </c>
      <c r="L5" s="2">
        <v>0.10975</v>
      </c>
      <c r="M5" s="2">
        <v>0.43086999999999998</v>
      </c>
      <c r="N5" s="2">
        <v>0.25638</v>
      </c>
      <c r="O5" s="53" t="s">
        <v>192</v>
      </c>
      <c r="P5" s="53" t="s">
        <v>193</v>
      </c>
      <c r="Q5" s="269">
        <f t="shared" si="1"/>
        <v>0.2858999325624666</v>
      </c>
      <c r="R5" s="269">
        <f t="shared" si="2"/>
        <v>0.28992351971280106</v>
      </c>
      <c r="S5" s="269">
        <f t="shared" si="2"/>
        <v>0.30321380334350034</v>
      </c>
      <c r="T5" s="269">
        <f t="shared" si="4"/>
        <v>0.29301241853958931</v>
      </c>
      <c r="U5" s="269">
        <f t="shared" si="3"/>
        <v>0.30321380334350034</v>
      </c>
      <c r="V5" s="269"/>
    </row>
    <row r="6" spans="1:31">
      <c r="B6" s="22">
        <v>44197</v>
      </c>
      <c r="C6">
        <f t="shared" si="0"/>
        <v>1</v>
      </c>
      <c r="D6" s="9">
        <v>21.6772773</v>
      </c>
      <c r="E6" s="9">
        <v>2.2959893999999998</v>
      </c>
      <c r="F6" s="9">
        <v>0.48399930000000002</v>
      </c>
      <c r="G6" s="10">
        <v>0.32910149999999999</v>
      </c>
      <c r="H6" s="11">
        <v>766.75</v>
      </c>
      <c r="J6" s="2">
        <v>16</v>
      </c>
      <c r="K6" s="2">
        <v>1.30555</v>
      </c>
      <c r="L6" s="2">
        <v>0.11298</v>
      </c>
      <c r="M6" s="2">
        <v>0.37569000000000002</v>
      </c>
      <c r="N6" s="2">
        <v>0.23083000000000001</v>
      </c>
      <c r="O6" s="53" t="s">
        <v>194</v>
      </c>
      <c r="P6" s="53" t="s">
        <v>195</v>
      </c>
      <c r="Q6" s="269">
        <f t="shared" si="1"/>
        <v>0.2618999250427082</v>
      </c>
      <c r="R6" s="269">
        <f t="shared" si="2"/>
        <v>0.26774923264018546</v>
      </c>
      <c r="S6" s="269">
        <f t="shared" si="2"/>
        <v>0.28964773296159729</v>
      </c>
      <c r="T6" s="269">
        <f t="shared" si="4"/>
        <v>0.27309896354816365</v>
      </c>
      <c r="U6" s="269">
        <f t="shared" si="3"/>
        <v>0.28964773296159729</v>
      </c>
      <c r="V6" s="269"/>
    </row>
    <row r="7" spans="1:31">
      <c r="B7" s="21">
        <v>44562</v>
      </c>
      <c r="C7">
        <f t="shared" si="0"/>
        <v>1</v>
      </c>
      <c r="D7" s="9">
        <v>15.823658200000001</v>
      </c>
      <c r="E7" s="9">
        <v>2.6204944000000001</v>
      </c>
      <c r="F7" s="9">
        <v>0.768007</v>
      </c>
      <c r="G7" s="10">
        <v>0.4185874</v>
      </c>
      <c r="H7" s="11">
        <v>895.03</v>
      </c>
      <c r="J7" s="2">
        <v>11.45</v>
      </c>
      <c r="K7" s="2">
        <v>1.2948</v>
      </c>
      <c r="L7" s="2">
        <v>0.12506999999999999</v>
      </c>
      <c r="M7" s="2">
        <v>0.45939000000000002</v>
      </c>
      <c r="N7" s="2">
        <v>0.28866000000000003</v>
      </c>
      <c r="O7" s="53" t="s">
        <v>196</v>
      </c>
      <c r="P7" s="53" t="s">
        <v>197</v>
      </c>
      <c r="Q7" s="269">
        <f t="shared" si="1"/>
        <v>0.27639994144969593</v>
      </c>
      <c r="R7" s="269">
        <f t="shared" si="2"/>
        <v>0.33058815160986421</v>
      </c>
      <c r="S7" s="269">
        <f t="shared" si="2"/>
        <v>0.46129397258097904</v>
      </c>
      <c r="T7" s="269">
        <f t="shared" si="4"/>
        <v>0.35609402188017975</v>
      </c>
      <c r="U7" s="269">
        <f t="shared" si="3"/>
        <v>0.46129397258097904</v>
      </c>
      <c r="V7" s="269"/>
    </row>
    <row r="8" spans="1:31">
      <c r="B8" s="21">
        <v>44927</v>
      </c>
      <c r="C8">
        <f t="shared" si="0"/>
        <v>1</v>
      </c>
      <c r="D8" s="9">
        <v>15.898351</v>
      </c>
      <c r="E8" s="9">
        <v>2.4730172000000001</v>
      </c>
      <c r="F8" s="9">
        <v>0.67535420000000002</v>
      </c>
      <c r="G8" s="10">
        <v>0.45081080000000001</v>
      </c>
      <c r="H8" s="11">
        <v>948.46</v>
      </c>
      <c r="J8" s="2">
        <v>12.45</v>
      </c>
      <c r="K8" s="2">
        <v>1.39354</v>
      </c>
      <c r="L8" s="2">
        <v>0.19312000000000001</v>
      </c>
      <c r="M8" s="2">
        <v>0.54308000000000001</v>
      </c>
      <c r="N8" s="2">
        <v>0.33574999999999999</v>
      </c>
      <c r="O8" s="53" t="s">
        <v>198</v>
      </c>
      <c r="P8" s="53" t="s">
        <v>199</v>
      </c>
      <c r="Q8" s="269">
        <f t="shared" si="1"/>
        <v>0.21689991622401594</v>
      </c>
      <c r="R8" s="269">
        <f t="shared" si="2"/>
        <v>0.21689990672123105</v>
      </c>
      <c r="S8" s="269">
        <f t="shared" si="2"/>
        <v>0.21689981346084775</v>
      </c>
      <c r="T8" s="269">
        <f t="shared" si="4"/>
        <v>0.21689987880203157</v>
      </c>
      <c r="U8" s="269">
        <f t="shared" si="3"/>
        <v>0.21689991622401594</v>
      </c>
      <c r="V8" s="269"/>
    </row>
    <row r="9" spans="1:31" ht="15.75" thickBot="1">
      <c r="B9" s="22">
        <v>45292</v>
      </c>
      <c r="C9">
        <f t="shared" si="0"/>
        <v>1</v>
      </c>
      <c r="D9" s="9">
        <v>18.938222199999998</v>
      </c>
      <c r="E9" s="9">
        <v>2.7730085999999998</v>
      </c>
      <c r="F9" s="9">
        <v>0.72857309999999997</v>
      </c>
      <c r="G9" s="10">
        <v>0</v>
      </c>
      <c r="H9" s="11">
        <v>948.46</v>
      </c>
      <c r="J9" s="2">
        <v>14.84</v>
      </c>
      <c r="K9" s="2">
        <v>1.55124</v>
      </c>
      <c r="L9" s="2">
        <v>0.17693999999999999</v>
      </c>
      <c r="M9" s="2">
        <v>0.62168999999999996</v>
      </c>
      <c r="N9" s="2">
        <v>0.39396999999999999</v>
      </c>
      <c r="O9" s="53" t="s">
        <v>200</v>
      </c>
      <c r="P9" s="53" t="s">
        <v>201</v>
      </c>
      <c r="Q9" s="269">
        <f t="shared" si="1"/>
        <v>0.21639952033089982</v>
      </c>
      <c r="R9" s="269">
        <f t="shared" si="2"/>
        <v>0.21639983374014771</v>
      </c>
      <c r="S9" s="269">
        <f t="shared" si="2"/>
        <v>0.21639983688664866</v>
      </c>
      <c r="T9" s="269">
        <f t="shared" si="4"/>
        <v>0.21639973031923207</v>
      </c>
      <c r="U9" s="269">
        <f t="shared" si="3"/>
        <v>0.21639983688664866</v>
      </c>
      <c r="V9" s="269"/>
    </row>
    <row r="10" spans="1:31" ht="15.75" thickBot="1">
      <c r="B10" s="24">
        <v>45658</v>
      </c>
      <c r="C10" s="270">
        <f t="shared" si="0"/>
        <v>1</v>
      </c>
      <c r="D10" s="271">
        <f>_xlfn.FORECAST.ETS(DATE(2025,1,1),D$3:D$9,$B$3:$B$9,1,1)+_xlfn.FORECAST.ETS.CONFINT(DATE(2025,1,1),D$3:D$9,$B$3:$B$9,$A$2,1)</f>
        <v>21.992285340651325</v>
      </c>
      <c r="E10" s="271">
        <f>_xlfn.FORECAST.ETS(DATE(2025,1,1),E$3:E$9,$B$3:$B$9,1,1)+_xlfn.FORECAST.ETS.CONFINT(DATE(2025,1,1),E$3:E$9,$B$3:$B$9,$A$2,1)</f>
        <v>2.8670211895802717</v>
      </c>
      <c r="F10" s="271">
        <f>_xlfn.FORECAST.ETS(DATE(2025,1,1),F$3:F$9,$B$3:$B$9,1,1)+_xlfn.FORECAST.ETS.CONFINT(DATE(2025,1,1),F$3:F$9,$B$3:$B$9,$A$2,1)</f>
        <v>0.91440594984540291</v>
      </c>
      <c r="G10" s="271">
        <f>_xlfn.FORECAST.ETS(DATE(2025,1,1),G$3:G$9,$B$3:$B$9,1,1)+_xlfn.FORECAST.ETS.CONFINT(DATE(2025,1,1),G$3:G$9,$B$3:$B$9,$A$2,1)</f>
        <v>0.43203034038259602</v>
      </c>
      <c r="H10" s="271">
        <f>_xlfn.FORECAST.ETS(DATE(2025,1,1),H$3:H$9,$B$3:$B$9,1,1)+_xlfn.FORECAST.ETS.CONFINT(DATE(2025,1,1),H$3:H$9,$B$3:$B$9,$A$2,1)</f>
        <v>1082.1096125507404</v>
      </c>
      <c r="I10" s="272"/>
      <c r="J10" s="271">
        <f>_xlfn.FORECAST.ETS(DATE(2025,1,1),J$3:J$9,$B$3:$B$9,1,1)+_xlfn.FORECAST.ETS.CONFINT(DATE(2025,1,1),J$3:J$9,$B$3:$B$9,$A$2,1)</f>
        <v>17.597990648384368</v>
      </c>
      <c r="K10" s="271">
        <f>_xlfn.FORECAST.ETS(DATE(2025,1,1),K$3:K$9,$B$3:$B$9,1,1)+_xlfn.FORECAST.ETS.CONFINT(DATE(2025,1,1),K$3:K$9,$B$3:$B$9,$A$2,1)</f>
        <v>1.6645837019017484</v>
      </c>
      <c r="L10" s="271">
        <f>_xlfn.FORECAST.ETS(DATE(2025,1,1),L$3:L$9,$B$3:$B$9,1,1)+_xlfn.FORECAST.ETS.CONFINT(DATE(2025,1,1),L$3:L$9,$B$3:$B$9,$A$2,1)</f>
        <v>0.22956905100987823</v>
      </c>
      <c r="M10" s="271">
        <f>_xlfn.FORECAST.ETS(DATE(2025,1,1),M$3:M$9,$B$3:$B$9,1,1)+_xlfn.FORECAST.ETS.CONFINT(DATE(2025,1,1),M$3:M$9,$B$3:$B$9,$A$2,1)</f>
        <v>0.76099022814804573</v>
      </c>
      <c r="N10" s="271">
        <f>_xlfn.FORECAST.ETS(DATE(2025,1,1),N$3:N$9,$B$3:$B$9,1,1)+_xlfn.FORECAST.ETS.CONFINT(DATE(2025,1,1),N$3:N$9,$B$3:$B$9,$A$2,1)</f>
        <v>0.485184212396084</v>
      </c>
      <c r="O10" s="272"/>
      <c r="P10" s="272"/>
      <c r="Q10" s="273">
        <f>_xlfn.FORECAST.ETS(DATE(2025,1,1),Q$3:Q$9,$B$3:$B$9,1,1)+_xlfn.FORECAST.ETS.CONFINT(DATE(2025,1,1),Q$3:Q$9,$B$3:$B$9,$A$2,1)</f>
        <v>0.25847458698640108</v>
      </c>
      <c r="R10" s="273">
        <f>_xlfn.FORECAST.ETS(DATE(2025,1,1),R$3:R$9,$B$3:$B$9,1,1)+_xlfn.FORECAST.ETS.CONFINT(DATE(2025,1,1),R$3:R$9,$B$3:$B$9,$A$2,1)</f>
        <v>0.30268719234686631</v>
      </c>
      <c r="S10" s="273">
        <f>_xlfn.FORECAST.ETS(DATE(2025,1,1),S$3:S$9,$B$3:$B$9,1,1)+_xlfn.FORECAST.ETS.CONFINT(DATE(2025,1,1),S$3:S$9,$B$3:$B$9,$A$2,1)</f>
        <v>0.39443221179409649</v>
      </c>
      <c r="T10" s="273">
        <f>_xlfn.FORECAST.ETS(DATE(2025,1,1),T$3:T$9,$B$3:$B$9,1,1)+_xlfn.FORECAST.ETS.CONFINT(DATE(2025,1,1),T$3:T$9,$B$3:$B$9,$A$2,1)</f>
        <v>0.31644537352577229</v>
      </c>
      <c r="U10" s="273">
        <f>_xlfn.FORECAST.ETS(DATE(2025,1,1),U$3:U$9,$B$3:$B$9,1,1)+_xlfn.FORECAST.ETS.CONFINT(DATE(2025,1,1),U$3:U$9,$B$3:$B$9,$A$2,1)</f>
        <v>0.39443219786363282</v>
      </c>
      <c r="V10" s="269"/>
    </row>
    <row r="11" spans="1:31" ht="15.75" thickBot="1">
      <c r="B11" s="21">
        <v>43132</v>
      </c>
      <c r="C11">
        <f t="shared" si="0"/>
        <v>2</v>
      </c>
      <c r="D11" s="9">
        <v>16.6779735</v>
      </c>
      <c r="E11" s="9">
        <v>2.0387023000000002</v>
      </c>
      <c r="F11" s="9">
        <v>0.45778249999999998</v>
      </c>
      <c r="G11" s="10">
        <v>0.39169273999999998</v>
      </c>
      <c r="H11" s="11">
        <v>716.25</v>
      </c>
      <c r="J11" s="2">
        <v>12.29</v>
      </c>
      <c r="K11" s="2">
        <v>1.07572</v>
      </c>
      <c r="L11" s="2">
        <v>6.6460000000000005E-2</v>
      </c>
      <c r="M11" s="2">
        <v>0.42659999999999998</v>
      </c>
      <c r="N11" s="2">
        <v>0.27088000000000001</v>
      </c>
      <c r="O11" s="53" t="s">
        <v>188</v>
      </c>
      <c r="P11" s="53" t="s">
        <v>189</v>
      </c>
      <c r="Q11" s="269">
        <f t="shared" ref="Q11:Q17" si="5">IFERROR(1-J11/D11,"")</f>
        <v>0.263099920383013</v>
      </c>
      <c r="R11" s="269">
        <f t="shared" ref="R11:S17" si="6">IFERROR(1-(K11+M11)/E11,"")</f>
        <v>0.26309986504650529</v>
      </c>
      <c r="S11" s="269">
        <f t="shared" si="6"/>
        <v>0.26309983452840591</v>
      </c>
      <c r="T11" s="269">
        <f>IFERROR(AVERAGE(Q11:S11),"")</f>
        <v>0.26309987331930806</v>
      </c>
      <c r="U11" s="269">
        <f t="shared" ref="U11:U17" si="7">IFERROR(LARGE(Q11:S11,1),"")</f>
        <v>0.263099920383013</v>
      </c>
      <c r="V11" s="269"/>
    </row>
    <row r="12" spans="1:31">
      <c r="B12" s="22">
        <v>43497</v>
      </c>
      <c r="C12">
        <f t="shared" si="0"/>
        <v>2</v>
      </c>
      <c r="D12" s="9">
        <v>16.138696899999999</v>
      </c>
      <c r="E12" s="9">
        <v>2.2878850000000002</v>
      </c>
      <c r="F12" s="9">
        <v>0.58975429999999995</v>
      </c>
      <c r="G12" s="10">
        <v>0.46144230000000003</v>
      </c>
      <c r="H12" s="11">
        <v>741.75</v>
      </c>
      <c r="J12" s="2">
        <v>11.31</v>
      </c>
      <c r="K12" s="2">
        <v>1.1124000000000001</v>
      </c>
      <c r="L12" s="2">
        <v>0.10686</v>
      </c>
      <c r="M12" s="2">
        <v>0.49095</v>
      </c>
      <c r="N12" s="2">
        <v>0.30643999999999999</v>
      </c>
      <c r="O12" s="53" t="s">
        <v>190</v>
      </c>
      <c r="P12" s="53" t="s">
        <v>191</v>
      </c>
      <c r="Q12" s="269">
        <f t="shared" si="5"/>
        <v>0.29919992487125768</v>
      </c>
      <c r="R12" s="269">
        <f t="shared" si="6"/>
        <v>0.29919991607969809</v>
      </c>
      <c r="S12" s="269">
        <f t="shared" si="6"/>
        <v>0.29919968366487526</v>
      </c>
      <c r="T12" s="269">
        <f t="shared" ref="T12:T75" si="8">IFERROR(AVERAGE(Q12:S12),"")</f>
        <v>0.29919984153861034</v>
      </c>
      <c r="U12" s="269">
        <f t="shared" si="7"/>
        <v>0.29919992487125768</v>
      </c>
      <c r="V12" s="269"/>
    </row>
    <row r="13" spans="1:31">
      <c r="B13" s="21">
        <v>43862</v>
      </c>
      <c r="C13">
        <f t="shared" si="0"/>
        <v>2</v>
      </c>
      <c r="D13" s="9">
        <v>17.1428555</v>
      </c>
      <c r="E13" s="9">
        <v>2.2486410999999999</v>
      </c>
      <c r="F13" s="9">
        <v>0.51278699999999999</v>
      </c>
      <c r="G13" s="10">
        <v>0.37943969999999999</v>
      </c>
      <c r="H13" s="11">
        <v>766.75</v>
      </c>
      <c r="J13" s="2">
        <v>12.24</v>
      </c>
      <c r="K13" s="2">
        <v>1.17466</v>
      </c>
      <c r="L13" s="2">
        <v>0.10975</v>
      </c>
      <c r="M13" s="2">
        <v>0.43086999999999998</v>
      </c>
      <c r="N13" s="2">
        <v>0.25638</v>
      </c>
      <c r="O13" s="53" t="s">
        <v>192</v>
      </c>
      <c r="P13" s="53" t="s">
        <v>193</v>
      </c>
      <c r="Q13" s="269">
        <f t="shared" si="5"/>
        <v>0.28599993157499337</v>
      </c>
      <c r="R13" s="269">
        <f t="shared" si="6"/>
        <v>0.28599988677606225</v>
      </c>
      <c r="S13" s="269">
        <f t="shared" si="6"/>
        <v>0.28599984008954982</v>
      </c>
      <c r="T13" s="269">
        <f t="shared" si="8"/>
        <v>0.2859998861468685</v>
      </c>
      <c r="U13" s="269">
        <f t="shared" si="7"/>
        <v>0.28599993157499337</v>
      </c>
      <c r="V13" s="269"/>
    </row>
    <row r="14" spans="1:31">
      <c r="B14" s="21">
        <v>44228</v>
      </c>
      <c r="C14">
        <f t="shared" si="0"/>
        <v>2</v>
      </c>
      <c r="D14" s="9">
        <v>22.005223900000001</v>
      </c>
      <c r="E14" s="9">
        <v>2.3307243999999998</v>
      </c>
      <c r="F14" s="9">
        <v>0.49132150000000002</v>
      </c>
      <c r="G14" s="10">
        <v>0.3340805</v>
      </c>
      <c r="H14" s="11">
        <v>766.75</v>
      </c>
      <c r="J14" s="2">
        <v>16</v>
      </c>
      <c r="K14" s="2">
        <v>1.30555</v>
      </c>
      <c r="L14" s="2">
        <v>0.11298</v>
      </c>
      <c r="M14" s="2">
        <v>0.37569000000000002</v>
      </c>
      <c r="N14" s="2">
        <v>0.23083000000000001</v>
      </c>
      <c r="O14" s="53" t="s">
        <v>194</v>
      </c>
      <c r="P14" s="53" t="s">
        <v>195</v>
      </c>
      <c r="Q14" s="269">
        <f t="shared" si="5"/>
        <v>0.27289992264064178</v>
      </c>
      <c r="R14" s="269">
        <f t="shared" si="6"/>
        <v>0.27866203314300042</v>
      </c>
      <c r="S14" s="269">
        <f t="shared" si="6"/>
        <v>0.30023416439134054</v>
      </c>
      <c r="T14" s="269">
        <f t="shared" si="8"/>
        <v>0.28393204005832756</v>
      </c>
      <c r="U14" s="269">
        <f t="shared" si="7"/>
        <v>0.30023416439134054</v>
      </c>
      <c r="V14" s="269"/>
    </row>
    <row r="15" spans="1:31">
      <c r="B15" s="22">
        <v>44593</v>
      </c>
      <c r="C15">
        <f t="shared" si="0"/>
        <v>2</v>
      </c>
      <c r="D15" s="9">
        <v>15.500201799999999</v>
      </c>
      <c r="E15" s="9">
        <v>2.5669282</v>
      </c>
      <c r="F15" s="9">
        <v>0.75230790000000003</v>
      </c>
      <c r="G15" s="10">
        <v>0.41003099999999998</v>
      </c>
      <c r="H15" s="11">
        <v>895.03</v>
      </c>
      <c r="J15" s="2">
        <v>11.45</v>
      </c>
      <c r="K15" s="2">
        <v>1.2948</v>
      </c>
      <c r="L15" s="2">
        <v>0.12506999999999999</v>
      </c>
      <c r="M15" s="2">
        <v>0.45939000000000002</v>
      </c>
      <c r="N15" s="2">
        <v>0.28866000000000003</v>
      </c>
      <c r="O15" s="53" t="s">
        <v>196</v>
      </c>
      <c r="P15" s="53" t="s">
        <v>197</v>
      </c>
      <c r="Q15" s="269">
        <f t="shared" si="5"/>
        <v>0.26129993997884593</v>
      </c>
      <c r="R15" s="269">
        <f t="shared" si="6"/>
        <v>0.31661898451230541</v>
      </c>
      <c r="S15" s="269">
        <f t="shared" si="6"/>
        <v>0.45005229906531619</v>
      </c>
      <c r="T15" s="269">
        <f t="shared" si="8"/>
        <v>0.34265707451882249</v>
      </c>
      <c r="U15" s="269">
        <f t="shared" si="7"/>
        <v>0.45005229906531619</v>
      </c>
      <c r="V15" s="269"/>
      <c r="AE15" s="269">
        <v>6.5000000000000002E-2</v>
      </c>
    </row>
    <row r="16" spans="1:31">
      <c r="B16" s="21">
        <v>44958</v>
      </c>
      <c r="C16">
        <f t="shared" si="0"/>
        <v>2</v>
      </c>
      <c r="D16" s="13">
        <v>15.8255991</v>
      </c>
      <c r="E16" s="13">
        <v>2.4617005000000001</v>
      </c>
      <c r="F16" s="13">
        <v>0.67226370000000002</v>
      </c>
      <c r="G16" s="10">
        <v>0.44874779999999997</v>
      </c>
      <c r="H16" s="14">
        <v>948.46</v>
      </c>
      <c r="J16" s="2">
        <v>12.45</v>
      </c>
      <c r="K16" s="2">
        <v>1.39354</v>
      </c>
      <c r="L16" s="2">
        <v>0.19312000000000001</v>
      </c>
      <c r="M16" s="2">
        <v>0.54308000000000001</v>
      </c>
      <c r="N16" s="2">
        <v>0.33574999999999999</v>
      </c>
      <c r="O16" s="53" t="s">
        <v>198</v>
      </c>
      <c r="P16" s="53" t="s">
        <v>199</v>
      </c>
      <c r="Q16" s="269">
        <f t="shared" si="5"/>
        <v>0.21329992492985628</v>
      </c>
      <c r="R16" s="269">
        <f t="shared" si="6"/>
        <v>0.21329991199173093</v>
      </c>
      <c r="S16" s="269">
        <f t="shared" si="6"/>
        <v>0.21329978102342884</v>
      </c>
      <c r="T16" s="269">
        <f t="shared" si="8"/>
        <v>0.21329987264833869</v>
      </c>
      <c r="U16" s="269">
        <f t="shared" si="7"/>
        <v>0.21329992492985628</v>
      </c>
      <c r="V16" s="269"/>
    </row>
    <row r="17" spans="2:31" ht="15.75" thickBot="1">
      <c r="B17" s="22">
        <v>45323</v>
      </c>
      <c r="C17">
        <f t="shared" si="0"/>
        <v>2</v>
      </c>
      <c r="D17" s="9">
        <v>19.178077800000001</v>
      </c>
      <c r="E17" s="9">
        <v>2.8081277999999998</v>
      </c>
      <c r="F17" s="9">
        <v>0.73780029999999996</v>
      </c>
      <c r="G17" s="10">
        <v>0.53362390000000004</v>
      </c>
      <c r="H17" s="11">
        <v>984.98</v>
      </c>
      <c r="J17" s="2">
        <v>14.84</v>
      </c>
      <c r="K17" s="2">
        <v>1.55124</v>
      </c>
      <c r="L17" s="2">
        <v>0.17693999999999999</v>
      </c>
      <c r="M17" s="2">
        <v>0.62168999999999996</v>
      </c>
      <c r="N17" s="2">
        <v>0.39396999999999999</v>
      </c>
      <c r="O17" s="53" t="s">
        <v>200</v>
      </c>
      <c r="P17" s="53" t="s">
        <v>201</v>
      </c>
      <c r="Q17" s="269">
        <f t="shared" si="5"/>
        <v>0.22619982279975948</v>
      </c>
      <c r="R17" s="269">
        <f t="shared" si="6"/>
        <v>0.22619974774652341</v>
      </c>
      <c r="S17" s="269">
        <f t="shared" si="6"/>
        <v>0.22619982670107341</v>
      </c>
      <c r="T17" s="269">
        <f t="shared" si="8"/>
        <v>0.22619979908245211</v>
      </c>
      <c r="U17" s="269">
        <f t="shared" si="7"/>
        <v>0.22619982670107341</v>
      </c>
      <c r="V17" s="269"/>
    </row>
    <row r="18" spans="2:31" ht="15.75" thickBot="1">
      <c r="B18" s="24">
        <v>45689</v>
      </c>
      <c r="C18" s="270">
        <f t="shared" si="0"/>
        <v>2</v>
      </c>
      <c r="D18" s="271">
        <f>_xlfn.FORECAST.ETS(DATE(2025,1,1),D$11:D$17,$B$11:$B$17,1,1)+_xlfn.FORECAST.ETS.CONFINT(DATE(2025,1,1),D$11:D$17,$B$11:$B$17,$A$2,1)</f>
        <v>21.998632788671802</v>
      </c>
      <c r="E18" s="271">
        <f>_xlfn.FORECAST.ETS(DATE(2025,1,1),E$11:E$17,$B$11:$B$17,1,1)+_xlfn.FORECAST.ETS.CONFINT(DATE(2025,1,1),E$11:E$17,$B$11:$B$17,$A$2,1)</f>
        <v>2.8563463780413718</v>
      </c>
      <c r="F18" s="271">
        <f>_xlfn.FORECAST.ETS(DATE(2025,1,1),F$11:F$17,$B$11:$B$17,1,1)+_xlfn.FORECAST.ETS.CONFINT(DATE(2025,1,1),F$11:F$17,$B$11:$B$17,$A$2,1)</f>
        <v>0.89376463403287265</v>
      </c>
      <c r="G18" s="271">
        <f>_xlfn.FORECAST.ETS(DATE(2025,1,1),G$11:G$17,$B$11:$B$17,1,1)+_xlfn.FORECAST.ETS.CONFINT(DATE(2025,1,1),G$11:G$17,$B$11:$B$17,$A$2,1)</f>
        <v>0.59864636005666538</v>
      </c>
      <c r="H18" s="271">
        <f>_xlfn.FORECAST.ETS(DATE(2025,1,1),H$11:H$17,$B$11:$B$17,1,1)+_xlfn.FORECAST.ETS.CONFINT(DATE(2025,1,1),H$11:H$17,$B$11:$B$17,$A$2,1)</f>
        <v>1095.0659280922205</v>
      </c>
      <c r="I18" s="272"/>
      <c r="J18" s="271">
        <f>_xlfn.FORECAST.ETS(DATE(2025,1,1),J$11:J$17,$B$11:$B$17,1,1)+_xlfn.FORECAST.ETS.CONFINT(DATE(2025,1,1),J$11:J$17,$B$11:$B$17,$A$2,1)</f>
        <v>17.439087401568617</v>
      </c>
      <c r="K18" s="271">
        <f>_xlfn.FORECAST.ETS(DATE(2025,1,1),K$11:K$17,$B$11:$B$17,1,1)+_xlfn.FORECAST.ETS.CONFINT(DATE(2025,1,1),K$11:K$17,$B$11:$B$17,$A$2,1)</f>
        <v>1.6545493038167725</v>
      </c>
      <c r="L18" s="271">
        <f>_xlfn.FORECAST.ETS(DATE(2025,1,1),L$11:L$17,$B$11:$B$17,1,1)+_xlfn.FORECAST.ETS.CONFINT(DATE(2025,1,1),L$11:L$17,$B$11:$B$17,$A$2,1)</f>
        <v>0.22656359588981115</v>
      </c>
      <c r="M18" s="271">
        <f>_xlfn.FORECAST.ETS(DATE(2025,1,1),M$11:M$17,$B$11:$B$17,1,1)+_xlfn.FORECAST.ETS.CONFINT(DATE(2025,1,1),M$11:M$17,$B$11:$B$17,$A$2,1)</f>
        <v>0.75364009297706858</v>
      </c>
      <c r="N18" s="271">
        <f>_xlfn.FORECAST.ETS(DATE(2025,1,1),N$11:N$17,$B$11:$B$17,1,1)+_xlfn.FORECAST.ETS.CONFINT(DATE(2025,1,1),N$11:N$17,$B$11:$B$17,$A$2,1)</f>
        <v>0.48035847259194231</v>
      </c>
      <c r="O18" s="272"/>
      <c r="P18" s="272"/>
      <c r="Q18" s="273">
        <f>_xlfn.FORECAST.ETS(DATE(2025,1,1),Q$11:Q$17,$B$11:$B$17,1,1)+_xlfn.FORECAST.ETS.CONFINT(DATE(2025,1,1),Q$11:Q$17,$B$11:$B$17,$A$2,1)</f>
        <v>0.25684060972648975</v>
      </c>
      <c r="R18" s="273">
        <f>_xlfn.FORECAST.ETS(DATE(2025,1,1),R$11:R$17,$B$11:$B$17,1,1)+_xlfn.FORECAST.ETS.CONFINT(DATE(2025,1,1),R$11:R$17,$B$11:$B$17,$A$2,1)</f>
        <v>0.29822038864809253</v>
      </c>
      <c r="S18" s="273">
        <f>_xlfn.FORECAST.ETS(DATE(2025,1,1),S$11:S$17,$B$11:$B$17,1,1)+_xlfn.FORECAST.ETS.CONFINT(DATE(2025,1,1),S$11:S$17,$B$11:$B$17,$A$2,1)</f>
        <v>0.40782733199529941</v>
      </c>
      <c r="T18" s="273">
        <f>_xlfn.FORECAST.ETS(DATE(2025,1,1),T$11:T$17,$B$11:$B$17,1,1)+_xlfn.FORECAST.ETS.CONFINT(DATE(2025,1,1),T$11:T$17,$B$11:$B$17,$A$2,1)</f>
        <v>0.32070357078829614</v>
      </c>
      <c r="U18" s="273">
        <f>_xlfn.FORECAST.ETS(DATE(2025,1,1),U$11:U$17,$B$11:$B$17,1,1)+_xlfn.FORECAST.ETS.CONFINT(DATE(2025,1,1),U$11:U$17,$B$11:$B$17,$A$2,1)</f>
        <v>0.40782728758754572</v>
      </c>
      <c r="V18" s="269"/>
    </row>
    <row r="19" spans="2:31" ht="15.75" thickBot="1">
      <c r="B19" s="21">
        <v>43160</v>
      </c>
      <c r="C19">
        <f t="shared" si="0"/>
        <v>3</v>
      </c>
      <c r="D19" s="9">
        <v>16.958739399999999</v>
      </c>
      <c r="E19" s="9">
        <v>2.0730230000000001</v>
      </c>
      <c r="F19" s="9">
        <v>0.46548899999999999</v>
      </c>
      <c r="G19" s="15">
        <v>0.38778647999999999</v>
      </c>
      <c r="H19" s="11">
        <v>716.25</v>
      </c>
      <c r="J19" s="2">
        <v>12.29</v>
      </c>
      <c r="K19" s="2">
        <v>1.07572</v>
      </c>
      <c r="L19" s="2">
        <v>6.6460000000000005E-2</v>
      </c>
      <c r="M19" s="2">
        <v>0.42659999999999998</v>
      </c>
      <c r="N19" s="2">
        <v>0.27088000000000001</v>
      </c>
      <c r="O19" s="53" t="s">
        <v>188</v>
      </c>
      <c r="P19" s="53" t="s">
        <v>189</v>
      </c>
      <c r="Q19" s="269">
        <f t="shared" ref="Q19:Q25" si="9">IFERROR(1-J19/D19,"")</f>
        <v>0.27529990819954464</v>
      </c>
      <c r="R19" s="269">
        <f t="shared" ref="R19:S25" si="10">IFERROR(1-(K19+M19)/E19,"")</f>
        <v>0.27529988813438155</v>
      </c>
      <c r="S19" s="269">
        <f t="shared" si="10"/>
        <v>0.27529973855450929</v>
      </c>
      <c r="T19" s="269">
        <f t="shared" si="8"/>
        <v>0.27529984496281185</v>
      </c>
      <c r="U19" s="269">
        <f t="shared" ref="U19:U25" si="11">IFERROR(LARGE(Q19:S19,1),"")</f>
        <v>0.27529990819954464</v>
      </c>
      <c r="V19" s="269"/>
    </row>
    <row r="20" spans="2:31">
      <c r="B20" s="21">
        <v>43525</v>
      </c>
      <c r="C20">
        <f t="shared" si="0"/>
        <v>3</v>
      </c>
      <c r="D20" s="9">
        <v>16.1918389</v>
      </c>
      <c r="E20" s="9">
        <v>2.2954186000000001</v>
      </c>
      <c r="F20" s="9">
        <v>0.59169629999999995</v>
      </c>
      <c r="G20" s="10">
        <v>0.46071570000000001</v>
      </c>
      <c r="H20" s="11">
        <v>741.75</v>
      </c>
      <c r="J20" s="2">
        <v>11.31</v>
      </c>
      <c r="K20" s="2">
        <v>1.1124000000000001</v>
      </c>
      <c r="L20" s="2">
        <v>0.10686</v>
      </c>
      <c r="M20" s="2">
        <v>0.49095</v>
      </c>
      <c r="N20" s="2">
        <v>0.30643999999999999</v>
      </c>
      <c r="O20" s="53" t="s">
        <v>190</v>
      </c>
      <c r="P20" s="53" t="s">
        <v>191</v>
      </c>
      <c r="Q20" s="269">
        <f t="shared" si="9"/>
        <v>0.30149996736936402</v>
      </c>
      <c r="R20" s="269">
        <f t="shared" si="10"/>
        <v>0.30149995299332333</v>
      </c>
      <c r="S20" s="269">
        <f t="shared" si="10"/>
        <v>0.30149977277194395</v>
      </c>
      <c r="T20" s="269">
        <f t="shared" si="8"/>
        <v>0.30149989771154379</v>
      </c>
      <c r="U20" s="269">
        <f t="shared" si="11"/>
        <v>0.30149996736936402</v>
      </c>
      <c r="V20" s="269"/>
    </row>
    <row r="21" spans="2:31">
      <c r="B21" s="22">
        <v>43891</v>
      </c>
      <c r="C21">
        <f t="shared" si="0"/>
        <v>3</v>
      </c>
      <c r="D21" s="9">
        <v>17.1021371</v>
      </c>
      <c r="E21" s="9">
        <v>2.2433000000000001</v>
      </c>
      <c r="F21" s="9">
        <v>0.51156900000000005</v>
      </c>
      <c r="G21" s="10">
        <v>0.37853829999999999</v>
      </c>
      <c r="H21" s="16">
        <v>766.75</v>
      </c>
      <c r="J21" s="2">
        <v>12.24</v>
      </c>
      <c r="K21" s="2">
        <v>1.17466</v>
      </c>
      <c r="L21" s="2">
        <v>0.10975</v>
      </c>
      <c r="M21" s="2">
        <v>0.43086999999999998</v>
      </c>
      <c r="N21" s="2">
        <v>0.25638</v>
      </c>
      <c r="O21" s="53" t="s">
        <v>192</v>
      </c>
      <c r="P21" s="53" t="s">
        <v>193</v>
      </c>
      <c r="Q21" s="269">
        <f t="shared" si="9"/>
        <v>0.28429997207775859</v>
      </c>
      <c r="R21" s="269">
        <f t="shared" si="10"/>
        <v>0.28429991530334786</v>
      </c>
      <c r="S21" s="269">
        <f t="shared" si="10"/>
        <v>0.28429986961680642</v>
      </c>
      <c r="T21" s="269">
        <f t="shared" si="8"/>
        <v>0.28429991899930429</v>
      </c>
      <c r="U21" s="269">
        <f t="shared" si="11"/>
        <v>0.28429997207775859</v>
      </c>
      <c r="V21" s="269"/>
    </row>
    <row r="22" spans="2:31">
      <c r="B22" s="21">
        <v>44256</v>
      </c>
      <c r="C22">
        <f t="shared" si="0"/>
        <v>3</v>
      </c>
      <c r="D22" s="9">
        <v>21.8400207</v>
      </c>
      <c r="E22" s="9">
        <v>2.3132267</v>
      </c>
      <c r="F22" s="9">
        <v>0.48763299999999998</v>
      </c>
      <c r="G22" s="10">
        <v>0.33157229999999999</v>
      </c>
      <c r="H22" s="11">
        <v>766.75</v>
      </c>
      <c r="J22" s="2">
        <v>16</v>
      </c>
      <c r="K22" s="2">
        <v>1.30555</v>
      </c>
      <c r="L22" s="2">
        <v>0.11298</v>
      </c>
      <c r="M22" s="2">
        <v>0.37569000000000002</v>
      </c>
      <c r="N22" s="2">
        <v>0.23083000000000001</v>
      </c>
      <c r="O22" s="53" t="s">
        <v>194</v>
      </c>
      <c r="P22" s="53" t="s">
        <v>195</v>
      </c>
      <c r="Q22" s="269">
        <f t="shared" si="9"/>
        <v>0.26739996175919378</v>
      </c>
      <c r="R22" s="269">
        <f t="shared" si="10"/>
        <v>0.273205691426612</v>
      </c>
      <c r="S22" s="269">
        <f t="shared" si="10"/>
        <v>0.29494107248689072</v>
      </c>
      <c r="T22" s="269">
        <f t="shared" si="8"/>
        <v>0.27851557522423215</v>
      </c>
      <c r="U22" s="269">
        <f t="shared" si="11"/>
        <v>0.29494107248689072</v>
      </c>
      <c r="V22" s="269"/>
    </row>
    <row r="23" spans="2:31">
      <c r="B23" s="22">
        <v>44621</v>
      </c>
      <c r="C23">
        <f t="shared" si="0"/>
        <v>3</v>
      </c>
      <c r="D23" s="9">
        <v>16.236526999999999</v>
      </c>
      <c r="E23" s="9">
        <v>2.6888679999999998</v>
      </c>
      <c r="F23" s="9">
        <v>0.78804580000000002</v>
      </c>
      <c r="G23" s="10">
        <v>0.42950909999999998</v>
      </c>
      <c r="H23" s="11">
        <v>895.03</v>
      </c>
      <c r="J23" s="2">
        <v>11.45</v>
      </c>
      <c r="K23" s="2">
        <v>1.2948</v>
      </c>
      <c r="L23" s="2">
        <v>0.12506999999999999</v>
      </c>
      <c r="M23" s="2">
        <v>0.45939000000000002</v>
      </c>
      <c r="N23" s="2">
        <v>0.28866000000000003</v>
      </c>
      <c r="O23" s="53" t="s">
        <v>196</v>
      </c>
      <c r="P23" s="53" t="s">
        <v>197</v>
      </c>
      <c r="Q23" s="269">
        <f t="shared" si="9"/>
        <v>0.29479992858078574</v>
      </c>
      <c r="R23" s="269">
        <f t="shared" si="10"/>
        <v>0.34761022110419704</v>
      </c>
      <c r="S23" s="269">
        <f t="shared" si="10"/>
        <v>0.47499244333260826</v>
      </c>
      <c r="T23" s="269">
        <f t="shared" si="8"/>
        <v>0.37246753100586366</v>
      </c>
      <c r="U23" s="269">
        <f t="shared" si="11"/>
        <v>0.47499244333260826</v>
      </c>
      <c r="V23" s="269"/>
    </row>
    <row r="24" spans="2:31">
      <c r="B24" s="21">
        <v>44986</v>
      </c>
      <c r="C24">
        <f t="shared" si="0"/>
        <v>3</v>
      </c>
      <c r="D24" s="9">
        <v>15.4160457</v>
      </c>
      <c r="E24" s="9">
        <v>2.3979936999999998</v>
      </c>
      <c r="F24" s="9">
        <v>0.65486610000000001</v>
      </c>
      <c r="G24" s="10">
        <v>0.43713459999999998</v>
      </c>
      <c r="H24" s="11">
        <v>948.46</v>
      </c>
      <c r="J24" s="2">
        <v>12.45</v>
      </c>
      <c r="K24" s="2">
        <v>1.39354</v>
      </c>
      <c r="L24" s="2">
        <v>0.19312000000000001</v>
      </c>
      <c r="M24" s="2">
        <v>0.54308000000000001</v>
      </c>
      <c r="N24" s="2">
        <v>0.33574999999999999</v>
      </c>
      <c r="O24" s="53" t="s">
        <v>198</v>
      </c>
      <c r="P24" s="53" t="s">
        <v>199</v>
      </c>
      <c r="Q24" s="269">
        <f t="shared" si="9"/>
        <v>0.19239990317361344</v>
      </c>
      <c r="R24" s="269">
        <f t="shared" si="10"/>
        <v>0.1923998799496428</v>
      </c>
      <c r="S24" s="269">
        <f t="shared" si="10"/>
        <v>0.19239978981962891</v>
      </c>
      <c r="T24" s="269">
        <f t="shared" si="8"/>
        <v>0.19239985764762838</v>
      </c>
      <c r="U24" s="269">
        <f t="shared" si="11"/>
        <v>0.19239990317361344</v>
      </c>
      <c r="V24" s="269"/>
    </row>
    <row r="25" spans="2:31" ht="15.75" thickBot="1">
      <c r="B25" s="21">
        <v>45352</v>
      </c>
      <c r="C25">
        <f t="shared" si="0"/>
        <v>3</v>
      </c>
      <c r="D25" s="9">
        <v>18.986688900000001</v>
      </c>
      <c r="E25" s="9">
        <v>2.7801041999999998</v>
      </c>
      <c r="F25" s="9">
        <v>0.73043749999999996</v>
      </c>
      <c r="G25" s="10">
        <v>0.52831819999999996</v>
      </c>
      <c r="H25" s="11">
        <v>984.98</v>
      </c>
      <c r="J25" s="2">
        <v>14.84</v>
      </c>
      <c r="K25" s="2">
        <v>1.55124</v>
      </c>
      <c r="L25" s="2">
        <v>0.17693999999999999</v>
      </c>
      <c r="M25" s="2">
        <v>0.62168999999999996</v>
      </c>
      <c r="N25" s="2">
        <v>0.39396999999999999</v>
      </c>
      <c r="O25" s="53" t="s">
        <v>200</v>
      </c>
      <c r="P25" s="53" t="s">
        <v>201</v>
      </c>
      <c r="Q25" s="269">
        <f t="shared" si="9"/>
        <v>0.21839979165614287</v>
      </c>
      <c r="R25" s="269">
        <f t="shared" si="10"/>
        <v>0.21839979954708166</v>
      </c>
      <c r="S25" s="269">
        <f t="shared" si="10"/>
        <v>0.21839993154787363</v>
      </c>
      <c r="T25" s="269">
        <f t="shared" si="8"/>
        <v>0.21839984091703271</v>
      </c>
      <c r="U25" s="269">
        <f t="shared" si="11"/>
        <v>0.21839993154787363</v>
      </c>
      <c r="V25" s="269"/>
    </row>
    <row r="26" spans="2:31" ht="15.75" thickBot="1">
      <c r="B26" s="24">
        <v>45717</v>
      </c>
      <c r="C26" s="270">
        <f t="shared" si="0"/>
        <v>3</v>
      </c>
      <c r="D26" s="271">
        <f>_xlfn.FORECAST.ETS(DATE(2025,1,1),D$19:D$25,$B$19:$B$25,1,1)+_xlfn.FORECAST.ETS.CONFINT(DATE(2025,1,1),D$19:D$25,$B$19:$B$25,$A$2,1)</f>
        <v>21.512626731961014</v>
      </c>
      <c r="E26" s="271">
        <f>_xlfn.FORECAST.ETS(DATE(2025,1,1),E$19:E$25,$B$19:$B$25,1,1)+_xlfn.FORECAST.ETS.CONFINT(DATE(2025,1,1),E$19:E$25,$B$19:$B$25,$A$2,1)</f>
        <v>2.8905676192361818</v>
      </c>
      <c r="F26" s="271">
        <f>_xlfn.FORECAST.ETS(DATE(2025,1,1),F$19:F$25,$B$19:$B$25,1,1)+_xlfn.FORECAST.ETS.CONFINT(DATE(2025,1,1),F$19:F$25,$B$19:$B$25,$A$2,1)</f>
        <v>0.89987442738742218</v>
      </c>
      <c r="G26" s="271">
        <f>_xlfn.FORECAST.ETS(DATE(2025,1,1),G$19:G$25,$B$19:$B$25,1,1)+_xlfn.FORECAST.ETS.CONFINT(DATE(2025,1,1),G$19:G$25,$B$19:$B$25,$A$2,1)</f>
        <v>0.58431168643487041</v>
      </c>
      <c r="H26" s="271">
        <f>_xlfn.FORECAST.ETS(DATE(2025,1,1),H$19:H$25,$B$19:$B$25,1,1)+_xlfn.FORECAST.ETS.CONFINT(DATE(2025,1,1),H$19:H$25,$B$19:$B$25,$A$2,1)</f>
        <v>1088.4627325205527</v>
      </c>
      <c r="I26" s="272"/>
      <c r="J26" s="271">
        <f>_xlfn.FORECAST.ETS(DATE(2025,1,1),J$19:J$25,$B$19:$B$25,1,1)+_xlfn.FORECAST.ETS.CONFINT(DATE(2025,1,1),J$19:J$25,$B$19:$B$25,$A$2,1)</f>
        <v>17.289351658608453</v>
      </c>
      <c r="K26" s="271">
        <f>_xlfn.FORECAST.ETS(DATE(2025,1,1),K$19:K$25,$B$19:$B$25,1,1)+_xlfn.FORECAST.ETS.CONFINT(DATE(2025,1,1),K$19:K$25,$B$19:$B$25,$A$2,1)</f>
        <v>1.6452837106163294</v>
      </c>
      <c r="L26" s="271">
        <f>_xlfn.FORECAST.ETS(DATE(2025,1,1),L$19:L$25,$B$19:$B$25,1,1)+_xlfn.FORECAST.ETS.CONFINT(DATE(2025,1,1),L$19:L$25,$B$19:$B$25,$A$2,1)</f>
        <v>0.22377470811336486</v>
      </c>
      <c r="M26" s="271">
        <f>_xlfn.FORECAST.ETS(DATE(2025,1,1),M$19:M$25,$B$19:$B$25,1,1)+_xlfn.FORECAST.ETS.CONFINT(DATE(2025,1,1),M$19:M$25,$B$19:$B$25,$A$2,1)</f>
        <v>0.7467510750757419</v>
      </c>
      <c r="N26" s="271">
        <f>_xlfn.FORECAST.ETS(DATE(2025,1,1),N$19:N$25,$B$19:$B$25,1,1)+_xlfn.FORECAST.ETS.CONFINT(DATE(2025,1,1),N$19:N$25,$B$19:$B$25,$A$2,1)</f>
        <v>0.47583407231707908</v>
      </c>
      <c r="O26" s="272"/>
      <c r="P26" s="272"/>
      <c r="Q26" s="273">
        <f>_xlfn.FORECAST.ETS(DATE(2025,1,1),Q$19:Q$25,$B$19:$B$25,1,1)+_xlfn.FORECAST.ETS.CONFINT(DATE(2025,1,1),Q$19:Q$25,$B$19:$B$25,$A$2,1)</f>
        <v>0.26852400316647912</v>
      </c>
      <c r="R26" s="273">
        <f>_xlfn.FORECAST.ETS(DATE(2025,1,1),R$19:R$25,$B$19:$B$25,1,1)+_xlfn.FORECAST.ETS.CONFINT(DATE(2025,1,1),R$19:R$25,$B$19:$B$25,$A$2,1)</f>
        <v>0.30220286115109907</v>
      </c>
      <c r="S26" s="273">
        <f>_xlfn.FORECAST.ETS(DATE(2025,1,1),S$19:S$25,$B$19:$B$25,1,1)+_xlfn.FORECAST.ETS.CONFINT(DATE(2025,1,1),S$19:S$25,$B$19:$B$25,$A$2,1)</f>
        <v>0.39138320941767335</v>
      </c>
      <c r="T26" s="273">
        <f>_xlfn.FORECAST.ETS(DATE(2025,1,1),T$19:T$25,$B$19:$B$25,1,1)+_xlfn.FORECAST.ETS.CONFINT(DATE(2025,1,1),T$19:T$25,$B$19:$B$25,$A$2,1)</f>
        <v>0.32355316300841203</v>
      </c>
      <c r="U26" s="273">
        <f>_xlfn.FORECAST.ETS(DATE(2025,1,1),U$19:U$25,$B$19:$B$25,1,1)+_xlfn.FORECAST.ETS.CONFINT(DATE(2025,1,1),U$19:U$25,$B$19:$B$25,$A$2,1)</f>
        <v>0.39138313500855104</v>
      </c>
      <c r="V26" s="269"/>
    </row>
    <row r="27" spans="2:31" ht="15.75" thickBot="1">
      <c r="B27" s="22">
        <v>43191</v>
      </c>
      <c r="C27">
        <f t="shared" si="0"/>
        <v>4</v>
      </c>
      <c r="D27" s="9">
        <v>16.789615900000001</v>
      </c>
      <c r="E27" s="12">
        <v>2.0523494000000002</v>
      </c>
      <c r="F27" s="9">
        <v>0.4608469</v>
      </c>
      <c r="G27" s="10">
        <v>0.39375708999999998</v>
      </c>
      <c r="H27" s="11">
        <v>716.25</v>
      </c>
      <c r="J27" s="2">
        <v>12.29</v>
      </c>
      <c r="K27" s="2">
        <v>1.07572</v>
      </c>
      <c r="L27" s="2">
        <v>6.6460000000000005E-2</v>
      </c>
      <c r="M27" s="2">
        <v>0.42659999999999998</v>
      </c>
      <c r="N27" s="2">
        <v>0.27088000000000001</v>
      </c>
      <c r="O27" s="53" t="s">
        <v>188</v>
      </c>
      <c r="P27" s="53" t="s">
        <v>189</v>
      </c>
      <c r="Q27" s="269">
        <f t="shared" ref="Q27:Q33" si="12">IFERROR(1-J27/D27,"")</f>
        <v>0.2679999308382035</v>
      </c>
      <c r="R27" s="269">
        <f t="shared" ref="R27:S33" si="13">IFERROR(1-(K27+M27)/E27,"")</f>
        <v>0.2679998834506444</v>
      </c>
      <c r="S27" s="269">
        <f t="shared" si="13"/>
        <v>0.26799984984167191</v>
      </c>
      <c r="T27" s="269">
        <f t="shared" si="8"/>
        <v>0.26799988804350661</v>
      </c>
      <c r="U27" s="269">
        <f t="shared" ref="U27:U33" si="14">IFERROR(LARGE(Q27:S27,1),"")</f>
        <v>0.2679999308382035</v>
      </c>
      <c r="V27" s="269"/>
      <c r="AE27" s="269">
        <v>-6.7900000000000002E-2</v>
      </c>
    </row>
    <row r="28" spans="2:31">
      <c r="B28" s="21">
        <v>43556</v>
      </c>
      <c r="C28">
        <f t="shared" si="0"/>
        <v>4</v>
      </c>
      <c r="D28" s="9">
        <v>16.081329499999999</v>
      </c>
      <c r="E28" s="9">
        <v>2.2844918000000001</v>
      </c>
      <c r="F28" s="9">
        <v>0.59239750000000002</v>
      </c>
      <c r="G28" s="10">
        <v>0.45757130000000001</v>
      </c>
      <c r="H28" s="11">
        <v>741.75</v>
      </c>
      <c r="J28" s="2">
        <v>11.31</v>
      </c>
      <c r="K28" s="2">
        <v>1.1124000000000001</v>
      </c>
      <c r="L28" s="2">
        <v>0.10686</v>
      </c>
      <c r="M28" s="2">
        <v>0.49095</v>
      </c>
      <c r="N28" s="2">
        <v>0.30643999999999999</v>
      </c>
      <c r="O28" s="53" t="s">
        <v>190</v>
      </c>
      <c r="P28" s="53" t="s">
        <v>191</v>
      </c>
      <c r="Q28" s="269">
        <f t="shared" si="12"/>
        <v>0.29669994013865575</v>
      </c>
      <c r="R28" s="269">
        <f t="shared" si="13"/>
        <v>0.29815900411636409</v>
      </c>
      <c r="S28" s="269">
        <f t="shared" si="13"/>
        <v>0.30232656282310444</v>
      </c>
      <c r="T28" s="269">
        <f t="shared" si="8"/>
        <v>0.29906183569270811</v>
      </c>
      <c r="U28" s="269">
        <f t="shared" si="14"/>
        <v>0.30232656282310444</v>
      </c>
      <c r="V28" s="269"/>
    </row>
    <row r="29" spans="2:31">
      <c r="B29" s="22">
        <v>43922</v>
      </c>
      <c r="C29">
        <f t="shared" si="0"/>
        <v>4</v>
      </c>
      <c r="D29" s="9">
        <v>17.123669700000001</v>
      </c>
      <c r="E29" s="9">
        <v>2.2461245999999999</v>
      </c>
      <c r="F29" s="9">
        <v>0.51221300000000003</v>
      </c>
      <c r="G29" s="10">
        <v>0.37901499999999999</v>
      </c>
      <c r="H29" s="11">
        <v>766.75</v>
      </c>
      <c r="J29" s="2">
        <v>12.24</v>
      </c>
      <c r="K29" s="2">
        <v>1.17466</v>
      </c>
      <c r="L29" s="2">
        <v>0.10975</v>
      </c>
      <c r="M29" s="2">
        <v>0.43086999999999998</v>
      </c>
      <c r="N29" s="2">
        <v>0.25638</v>
      </c>
      <c r="O29" s="53" t="s">
        <v>192</v>
      </c>
      <c r="P29" s="53" t="s">
        <v>193</v>
      </c>
      <c r="Q29" s="269">
        <f t="shared" si="12"/>
        <v>0.28519994753227462</v>
      </c>
      <c r="R29" s="269">
        <f t="shared" si="13"/>
        <v>0.28519993948688338</v>
      </c>
      <c r="S29" s="269">
        <f t="shared" si="13"/>
        <v>0.28519971183862969</v>
      </c>
      <c r="T29" s="269">
        <f t="shared" si="8"/>
        <v>0.28519986628592925</v>
      </c>
      <c r="U29" s="269">
        <f t="shared" si="14"/>
        <v>0.28519994753227462</v>
      </c>
      <c r="V29" s="269"/>
    </row>
    <row r="30" spans="2:31">
      <c r="B30" s="21">
        <v>44287</v>
      </c>
      <c r="C30">
        <f t="shared" si="0"/>
        <v>4</v>
      </c>
      <c r="D30" s="13">
        <v>21.540116699999999</v>
      </c>
      <c r="E30" s="13">
        <v>2.2827299000000001</v>
      </c>
      <c r="F30" s="13">
        <v>0.48220499999999999</v>
      </c>
      <c r="G30" s="10">
        <v>0.32701930000000001</v>
      </c>
      <c r="H30" s="14">
        <v>766.75</v>
      </c>
      <c r="J30" s="2">
        <v>16</v>
      </c>
      <c r="K30" s="2">
        <v>1.30555</v>
      </c>
      <c r="L30" s="2">
        <v>0.11298</v>
      </c>
      <c r="M30" s="2">
        <v>0.37569000000000002</v>
      </c>
      <c r="N30" s="2">
        <v>0.23083000000000001</v>
      </c>
      <c r="O30" s="53" t="s">
        <v>194</v>
      </c>
      <c r="P30" s="53" t="s">
        <v>195</v>
      </c>
      <c r="Q30" s="269">
        <f t="shared" si="12"/>
        <v>0.25719993893997795</v>
      </c>
      <c r="R30" s="269">
        <f t="shared" si="13"/>
        <v>0.26349586957265514</v>
      </c>
      <c r="S30" s="269">
        <f t="shared" si="13"/>
        <v>0.28700448979168613</v>
      </c>
      <c r="T30" s="269">
        <f t="shared" si="8"/>
        <v>0.26923343276810641</v>
      </c>
      <c r="U30" s="269">
        <f t="shared" si="14"/>
        <v>0.28700448979168613</v>
      </c>
      <c r="V30" s="269"/>
    </row>
    <row r="31" spans="2:31">
      <c r="B31" s="21">
        <v>44652</v>
      </c>
      <c r="C31">
        <f t="shared" si="0"/>
        <v>4</v>
      </c>
      <c r="D31" s="9">
        <v>15.642075</v>
      </c>
      <c r="E31" s="9">
        <v>2.4869623000000001</v>
      </c>
      <c r="F31" s="9">
        <v>0.65573289999999995</v>
      </c>
      <c r="G31" s="10">
        <v>0.41378389999999998</v>
      </c>
      <c r="H31" s="11">
        <v>895.03</v>
      </c>
      <c r="J31" s="2">
        <v>11.45</v>
      </c>
      <c r="K31" s="2">
        <v>1.2948</v>
      </c>
      <c r="L31" s="2">
        <v>0.12506999999999999</v>
      </c>
      <c r="M31" s="2">
        <v>0.45939000000000002</v>
      </c>
      <c r="N31" s="2">
        <v>0.28866000000000003</v>
      </c>
      <c r="O31" s="53" t="s">
        <v>196</v>
      </c>
      <c r="P31" s="53" t="s">
        <v>197</v>
      </c>
      <c r="Q31" s="269">
        <f t="shared" si="12"/>
        <v>0.26799992967684916</v>
      </c>
      <c r="R31" s="269">
        <f t="shared" si="13"/>
        <v>0.29464551995822374</v>
      </c>
      <c r="S31" s="269">
        <f t="shared" si="13"/>
        <v>0.36905712676609626</v>
      </c>
      <c r="T31" s="269">
        <f t="shared" si="8"/>
        <v>0.3105675254670564</v>
      </c>
      <c r="U31" s="269">
        <f t="shared" si="14"/>
        <v>0.36905712676609626</v>
      </c>
      <c r="V31" s="269"/>
    </row>
    <row r="32" spans="2:31">
      <c r="B32" s="22">
        <v>45017</v>
      </c>
      <c r="C32">
        <f t="shared" si="0"/>
        <v>4</v>
      </c>
      <c r="D32" s="9">
        <v>15.805507499999999</v>
      </c>
      <c r="E32" s="9">
        <v>2.4585751</v>
      </c>
      <c r="F32" s="9">
        <v>0.67141030000000002</v>
      </c>
      <c r="G32" s="15">
        <v>0.44817810000000002</v>
      </c>
      <c r="H32" s="11">
        <v>948.46</v>
      </c>
      <c r="J32" s="2">
        <v>12.45</v>
      </c>
      <c r="K32" s="2">
        <v>1.39354</v>
      </c>
      <c r="L32" s="2">
        <v>0.19312000000000001</v>
      </c>
      <c r="M32" s="2">
        <v>0.54308000000000001</v>
      </c>
      <c r="N32" s="2">
        <v>0.33574999999999999</v>
      </c>
      <c r="O32" s="53" t="s">
        <v>198</v>
      </c>
      <c r="P32" s="53" t="s">
        <v>199</v>
      </c>
      <c r="Q32" s="269">
        <f t="shared" si="12"/>
        <v>0.21229988976943637</v>
      </c>
      <c r="R32" s="269">
        <f t="shared" si="13"/>
        <v>0.21229983985439371</v>
      </c>
      <c r="S32" s="269">
        <f t="shared" si="13"/>
        <v>0.2122998410956759</v>
      </c>
      <c r="T32" s="269">
        <f t="shared" si="8"/>
        <v>0.21229985690650199</v>
      </c>
      <c r="U32" s="269">
        <f t="shared" si="14"/>
        <v>0.21229988976943637</v>
      </c>
      <c r="V32" s="269"/>
    </row>
    <row r="33" spans="2:31" ht="15.75" thickBot="1">
      <c r="B33" s="21">
        <v>45383</v>
      </c>
      <c r="C33">
        <f t="shared" si="0"/>
        <v>4</v>
      </c>
      <c r="D33" s="9">
        <v>19.549455600000002</v>
      </c>
      <c r="E33" s="9">
        <v>2.8625071000000002</v>
      </c>
      <c r="F33" s="9">
        <v>0.75208770000000003</v>
      </c>
      <c r="G33" s="10">
        <v>0.54397059999999997</v>
      </c>
      <c r="H33" s="11">
        <v>984.98</v>
      </c>
      <c r="J33" s="2">
        <v>14.84</v>
      </c>
      <c r="K33" s="2">
        <v>1.55124</v>
      </c>
      <c r="L33" s="2">
        <v>0.17693999999999999</v>
      </c>
      <c r="M33" s="2">
        <v>0.62168999999999996</v>
      </c>
      <c r="N33" s="2">
        <v>0.39396999999999999</v>
      </c>
      <c r="O33" s="53" t="s">
        <v>200</v>
      </c>
      <c r="P33" s="53" t="s">
        <v>201</v>
      </c>
      <c r="Q33" s="269">
        <f t="shared" si="12"/>
        <v>0.24089957778670834</v>
      </c>
      <c r="R33" s="269">
        <f t="shared" si="13"/>
        <v>0.24089969942781975</v>
      </c>
      <c r="S33" s="269">
        <f t="shared" si="13"/>
        <v>0.24089969826657187</v>
      </c>
      <c r="T33" s="269">
        <f t="shared" si="8"/>
        <v>0.24089965849369999</v>
      </c>
      <c r="U33" s="269">
        <f t="shared" si="14"/>
        <v>0.24089969942781975</v>
      </c>
      <c r="V33" s="269"/>
    </row>
    <row r="34" spans="2:31" ht="15.75" thickBot="1">
      <c r="B34" s="24">
        <v>45748</v>
      </c>
      <c r="C34" s="270">
        <f t="shared" si="0"/>
        <v>4</v>
      </c>
      <c r="D34" s="271">
        <f>_xlfn.FORECAST.ETS(DATE(2025,1,1),D$27:D$33,$B$27:$B$33,1,1)+_xlfn.FORECAST.ETS.CONFINT(DATE(2025,1,1),D$27:D$33,$B$27:$B$33,$A$2,1)</f>
        <v>21.713148315446148</v>
      </c>
      <c r="E34" s="271">
        <f>_xlfn.FORECAST.ETS(DATE(2025,1,1),E$27:E$33,$B$27:$B$33,1,1)+_xlfn.FORECAST.ETS.CONFINT(DATE(2025,1,1),E$27:E$33,$B$27:$B$33,$A$2,1)</f>
        <v>2.9131301778178629</v>
      </c>
      <c r="F34" s="271">
        <f>_xlfn.FORECAST.ETS(DATE(2025,1,1),F$27:F$33,$B$27:$B$33,1,1)+_xlfn.FORECAST.ETS.CONFINT(DATE(2025,1,1),F$27:F$33,$B$27:$B$33,$A$2,1)</f>
        <v>0.84059739175887116</v>
      </c>
      <c r="G34" s="271">
        <f>_xlfn.FORECAST.ETS(DATE(2025,1,1),G$27:G$33,$B$27:$B$33,1,1)+_xlfn.FORECAST.ETS.CONFINT(DATE(2025,1,1),G$27:G$33,$B$27:$B$33,$A$2,1)</f>
        <v>0.60455642239078133</v>
      </c>
      <c r="H34" s="271">
        <f>_xlfn.FORECAST.ETS(DATE(2025,1,1),H$27:H$33,$B$27:$B$33,1,1)+_xlfn.FORECAST.ETS.CONFINT(DATE(2025,1,1),H$27:H$33,$B$27:$B$33,$A$2,1)</f>
        <v>1081.0147532422488</v>
      </c>
      <c r="I34" s="272"/>
      <c r="J34" s="271">
        <f>_xlfn.FORECAST.ETS(DATE(2025,1,1),J$27:J$33,$B$27:$B$33,1,1)+_xlfn.FORECAST.ETS.CONFINT(DATE(2025,1,1),J$27:J$33,$B$27:$B$33,$A$2,1)</f>
        <v>17.117221505776318</v>
      </c>
      <c r="K34" s="271">
        <f>_xlfn.FORECAST.ETS(DATE(2025,1,1),K$27:K$33,$B$27:$B$33,1,1)+_xlfn.FORECAST.ETS.CONFINT(DATE(2025,1,1),K$27:K$33,$B$27:$B$33,$A$2,1)</f>
        <v>1.6348654236513858</v>
      </c>
      <c r="L34" s="271">
        <f>_xlfn.FORECAST.ETS(DATE(2025,1,1),L$27:L$33,$B$27:$B$33,1,1)+_xlfn.FORECAST.ETS.CONFINT(DATE(2025,1,1),L$27:L$33,$B$27:$B$33,$A$2,1)</f>
        <v>0.22062170576122034</v>
      </c>
      <c r="M34" s="271">
        <f>_xlfn.FORECAST.ETS(DATE(2025,1,1),M$27:M$33,$B$27:$B$33,1,1)+_xlfn.FORECAST.ETS.CONFINT(DATE(2025,1,1),M$27:M$33,$B$27:$B$33,$A$2,1)</f>
        <v>0.73887723628446988</v>
      </c>
      <c r="N34" s="271">
        <f>_xlfn.FORECAST.ETS(DATE(2025,1,1),N$27:N$33,$B$27:$B$33,1,1)+_xlfn.FORECAST.ETS.CONFINT(DATE(2025,1,1),N$27:N$33,$B$27:$B$33,$A$2,1)</f>
        <v>0.47066114871152864</v>
      </c>
      <c r="O34" s="272"/>
      <c r="P34" s="272"/>
      <c r="Q34" s="273">
        <f>_xlfn.FORECAST.ETS(DATE(2025,1,1),Q$27:Q$33,$B$27:$B$33,1,1)+_xlfn.FORECAST.ETS.CONFINT(DATE(2025,1,1),Q$27:Q$33,$B$27:$B$33,$A$2,1)</f>
        <v>0.24123451432070864</v>
      </c>
      <c r="R34" s="273">
        <f>_xlfn.FORECAST.ETS(DATE(2025,1,1),R$27:R$33,$B$27:$B$33,1,1)+_xlfn.FORECAST.ETS.CONFINT(DATE(2025,1,1),R$27:R$33,$B$27:$B$33,$A$2,1)</f>
        <v>0.26909034421673195</v>
      </c>
      <c r="S34" s="273">
        <f>_xlfn.FORECAST.ETS(DATE(2025,1,1),S$27:S$33,$B$27:$B$33,1,1)+_xlfn.FORECAST.ETS.CONFINT(DATE(2025,1,1),S$27:S$33,$B$27:$B$33,$A$2,1)</f>
        <v>0.33295260659567172</v>
      </c>
      <c r="T34" s="273">
        <f>_xlfn.FORECAST.ETS(DATE(2025,1,1),T$27:T$33,$B$27:$B$33,1,1)+_xlfn.FORECAST.ETS.CONFINT(DATE(2025,1,1),T$27:T$33,$B$27:$B$33,$A$2,1)</f>
        <v>0.28154455693414121</v>
      </c>
      <c r="U34" s="273">
        <f>_xlfn.FORECAST.ETS(DATE(2025,1,1),U$27:U$33,$B$27:$B$33,1,1)+_xlfn.FORECAST.ETS.CONFINT(DATE(2025,1,1),U$27:U$33,$B$27:$B$33,$A$2,1)</f>
        <v>0.33295257897539199</v>
      </c>
      <c r="V34" s="269"/>
    </row>
    <row r="35" spans="2:31" ht="15.75" thickBot="1">
      <c r="B35" s="22">
        <v>43221</v>
      </c>
      <c r="C35">
        <f t="shared" ref="C35:C66" si="15">MONTH(DATE(YEAR(B35),MONTH(B35),DAY(B35)))</f>
        <v>5</v>
      </c>
      <c r="D35" s="9">
        <v>17.048133499999999</v>
      </c>
      <c r="E35" s="9">
        <v>2.0885742999999999</v>
      </c>
      <c r="F35" s="9">
        <v>0.4725665</v>
      </c>
      <c r="G35" s="10">
        <v>0.39217994</v>
      </c>
      <c r="H35" s="11">
        <v>716.25</v>
      </c>
      <c r="J35" s="2">
        <v>12.29</v>
      </c>
      <c r="K35" s="2">
        <v>1.07572</v>
      </c>
      <c r="L35" s="2">
        <v>6.6460000000000005E-2</v>
      </c>
      <c r="M35" s="2">
        <v>0.42659999999999998</v>
      </c>
      <c r="N35" s="2">
        <v>0.27088000000000001</v>
      </c>
      <c r="O35" s="53" t="s">
        <v>188</v>
      </c>
      <c r="P35" s="53" t="s">
        <v>189</v>
      </c>
      <c r="Q35" s="269">
        <f t="shared" ref="Q35:Q41" si="16">IFERROR(1-J35/D35,"")</f>
        <v>0.2790999671606279</v>
      </c>
      <c r="R35" s="269">
        <f t="shared" ref="R35:S41" si="17">IFERROR(1-(K35+M35)/E35,"")</f>
        <v>0.28069592736059223</v>
      </c>
      <c r="S35" s="269">
        <f t="shared" si="17"/>
        <v>0.28615337735535629</v>
      </c>
      <c r="T35" s="269">
        <f t="shared" si="8"/>
        <v>0.28198309062552546</v>
      </c>
      <c r="U35" s="269">
        <f t="shared" ref="U35:U41" si="18">IFERROR(LARGE(Q35:S35,1),"")</f>
        <v>0.28615337735535629</v>
      </c>
      <c r="V35" s="269"/>
    </row>
    <row r="36" spans="2:31">
      <c r="B36" s="21">
        <v>43586</v>
      </c>
      <c r="C36">
        <f t="shared" si="15"/>
        <v>5</v>
      </c>
      <c r="D36" s="9">
        <v>16.0790434</v>
      </c>
      <c r="E36" s="9">
        <v>2.2890587</v>
      </c>
      <c r="F36" s="9">
        <v>0.59720499999999999</v>
      </c>
      <c r="G36" s="10">
        <v>0.45750619999999997</v>
      </c>
      <c r="H36" s="11">
        <v>741.75</v>
      </c>
      <c r="J36" s="2">
        <v>11.31</v>
      </c>
      <c r="K36" s="2">
        <v>1.1124000000000001</v>
      </c>
      <c r="L36" s="2">
        <v>0.10686</v>
      </c>
      <c r="M36" s="2">
        <v>0.49095</v>
      </c>
      <c r="N36" s="2">
        <v>0.30643999999999999</v>
      </c>
      <c r="O36" s="53" t="s">
        <v>190</v>
      </c>
      <c r="P36" s="53" t="s">
        <v>191</v>
      </c>
      <c r="Q36" s="269">
        <f t="shared" si="16"/>
        <v>0.29659994574055315</v>
      </c>
      <c r="R36" s="269">
        <f t="shared" si="17"/>
        <v>0.29955924677685197</v>
      </c>
      <c r="S36" s="269">
        <f t="shared" si="17"/>
        <v>0.30794283370032061</v>
      </c>
      <c r="T36" s="269">
        <f t="shared" si="8"/>
        <v>0.30136734207257526</v>
      </c>
      <c r="U36" s="269">
        <f t="shared" si="18"/>
        <v>0.30794283370032061</v>
      </c>
      <c r="V36" s="269"/>
    </row>
    <row r="37" spans="2:31">
      <c r="B37" s="21">
        <v>43952</v>
      </c>
      <c r="C37">
        <f t="shared" si="15"/>
        <v>5</v>
      </c>
      <c r="D37" s="9">
        <v>17.140454900000002</v>
      </c>
      <c r="E37" s="9">
        <v>2.2483263</v>
      </c>
      <c r="F37" s="9">
        <v>0.51271509999999998</v>
      </c>
      <c r="G37" s="10">
        <v>0.37938650000000002</v>
      </c>
      <c r="H37" s="11">
        <v>766.75</v>
      </c>
      <c r="J37" s="2">
        <v>12.24</v>
      </c>
      <c r="K37" s="2">
        <v>1.17466</v>
      </c>
      <c r="L37" s="2">
        <v>0.10975</v>
      </c>
      <c r="M37" s="2">
        <v>0.43086999999999998</v>
      </c>
      <c r="N37" s="2">
        <v>0.25638</v>
      </c>
      <c r="O37" s="53" t="s">
        <v>192</v>
      </c>
      <c r="P37" s="53" t="s">
        <v>193</v>
      </c>
      <c r="Q37" s="269">
        <f t="shared" si="16"/>
        <v>0.2858999325624666</v>
      </c>
      <c r="R37" s="269">
        <f t="shared" si="17"/>
        <v>0.28589991586185692</v>
      </c>
      <c r="S37" s="269">
        <f t="shared" si="17"/>
        <v>0.28589971311552942</v>
      </c>
      <c r="T37" s="269">
        <f t="shared" si="8"/>
        <v>0.28589985384661765</v>
      </c>
      <c r="U37" s="269">
        <f t="shared" si="18"/>
        <v>0.2858999325624666</v>
      </c>
      <c r="V37" s="269"/>
    </row>
    <row r="38" spans="2:31">
      <c r="B38" s="22">
        <v>44317</v>
      </c>
      <c r="C38">
        <f t="shared" si="15"/>
        <v>5</v>
      </c>
      <c r="D38" s="9">
        <v>21.777595099999999</v>
      </c>
      <c r="E38" s="9">
        <v>2.34599</v>
      </c>
      <c r="F38" s="9">
        <v>0.52561429999999998</v>
      </c>
      <c r="G38" s="10">
        <v>0.33062459999999999</v>
      </c>
      <c r="H38" s="11">
        <v>766.75</v>
      </c>
      <c r="J38" s="2">
        <v>16</v>
      </c>
      <c r="K38" s="2">
        <v>1.30555</v>
      </c>
      <c r="L38" s="2">
        <v>0.11298</v>
      </c>
      <c r="M38" s="2">
        <v>0.37569000000000002</v>
      </c>
      <c r="N38" s="2">
        <v>0.23083000000000001</v>
      </c>
      <c r="O38" s="53" t="s">
        <v>194</v>
      </c>
      <c r="P38" s="53" t="s">
        <v>195</v>
      </c>
      <c r="Q38" s="269">
        <f t="shared" si="16"/>
        <v>0.2652999595901202</v>
      </c>
      <c r="R38" s="269">
        <f t="shared" si="17"/>
        <v>0.28335585403177332</v>
      </c>
      <c r="S38" s="269">
        <f t="shared" si="17"/>
        <v>0.34588918147774894</v>
      </c>
      <c r="T38" s="269">
        <f t="shared" si="8"/>
        <v>0.29818166503321414</v>
      </c>
      <c r="U38" s="269">
        <f t="shared" si="18"/>
        <v>0.34588918147774894</v>
      </c>
      <c r="V38" s="269"/>
    </row>
    <row r="39" spans="2:31">
      <c r="B39" s="21">
        <v>44682</v>
      </c>
      <c r="C39">
        <f t="shared" si="15"/>
        <v>5</v>
      </c>
      <c r="D39" s="9">
        <v>15.595204900000001</v>
      </c>
      <c r="E39" s="9">
        <v>2.3892533999999999</v>
      </c>
      <c r="F39" s="9">
        <v>0.56351110000000004</v>
      </c>
      <c r="G39" s="10">
        <v>0.41254410000000002</v>
      </c>
      <c r="H39" s="11">
        <v>895.03</v>
      </c>
      <c r="J39" s="2">
        <v>11.45</v>
      </c>
      <c r="K39" s="2">
        <v>1.2948</v>
      </c>
      <c r="L39" s="2">
        <v>0.12506999999999999</v>
      </c>
      <c r="M39" s="2">
        <v>0.45939000000000002</v>
      </c>
      <c r="N39" s="2">
        <v>0.28866000000000003</v>
      </c>
      <c r="O39" s="53" t="s">
        <v>196</v>
      </c>
      <c r="P39" s="53" t="s">
        <v>197</v>
      </c>
      <c r="Q39" s="269">
        <f t="shared" si="16"/>
        <v>0.26579996393635075</v>
      </c>
      <c r="R39" s="269">
        <f t="shared" si="17"/>
        <v>0.26579993566191007</v>
      </c>
      <c r="S39" s="269">
        <f t="shared" si="17"/>
        <v>0.26579973313746608</v>
      </c>
      <c r="T39" s="269">
        <f t="shared" si="8"/>
        <v>0.26579987757857565</v>
      </c>
      <c r="U39" s="269">
        <f t="shared" si="18"/>
        <v>0.26579996393635075</v>
      </c>
      <c r="V39" s="269"/>
      <c r="AE39" s="269">
        <v>2.7000000000000001E-3</v>
      </c>
    </row>
    <row r="40" spans="2:31">
      <c r="B40" s="22">
        <v>45047</v>
      </c>
      <c r="C40">
        <f t="shared" si="15"/>
        <v>5</v>
      </c>
      <c r="D40" s="9">
        <v>15.884152</v>
      </c>
      <c r="E40" s="9">
        <v>2.4708084000000001</v>
      </c>
      <c r="F40" s="9">
        <v>0.67475099999999999</v>
      </c>
      <c r="G40" s="10">
        <v>0.45040809999999998</v>
      </c>
      <c r="H40" s="11">
        <v>948.46</v>
      </c>
      <c r="J40" s="2">
        <v>12.45</v>
      </c>
      <c r="K40" s="2">
        <v>1.39354</v>
      </c>
      <c r="L40" s="2">
        <v>0.19312000000000001</v>
      </c>
      <c r="M40" s="2">
        <v>0.54308000000000001</v>
      </c>
      <c r="N40" s="2">
        <v>0.33574999999999999</v>
      </c>
      <c r="O40" s="53" t="s">
        <v>198</v>
      </c>
      <c r="P40" s="53" t="s">
        <v>199</v>
      </c>
      <c r="Q40" s="269">
        <f t="shared" si="16"/>
        <v>0.21619989534222539</v>
      </c>
      <c r="R40" s="269">
        <f t="shared" si="17"/>
        <v>0.21619984779070689</v>
      </c>
      <c r="S40" s="269">
        <f t="shared" si="17"/>
        <v>0.21619975368691569</v>
      </c>
      <c r="T40" s="269">
        <f t="shared" si="8"/>
        <v>0.21619983227328265</v>
      </c>
      <c r="U40" s="269">
        <f t="shared" si="18"/>
        <v>0.21619989534222539</v>
      </c>
      <c r="V40" s="269"/>
    </row>
    <row r="41" spans="2:31" ht="15.75" thickBot="1">
      <c r="B41" s="21">
        <v>45413</v>
      </c>
      <c r="C41">
        <f t="shared" si="15"/>
        <v>5</v>
      </c>
      <c r="D41" s="9">
        <v>19.2852444</v>
      </c>
      <c r="E41" s="9">
        <v>2.8238197999999999</v>
      </c>
      <c r="F41" s="9">
        <v>0.7419232</v>
      </c>
      <c r="G41" s="10">
        <v>0.53661479999999995</v>
      </c>
      <c r="H41" s="11">
        <v>984.98</v>
      </c>
      <c r="J41" s="2">
        <v>14.84</v>
      </c>
      <c r="K41" s="2">
        <v>1.55124</v>
      </c>
      <c r="L41" s="2">
        <v>0.17693999999999999</v>
      </c>
      <c r="M41" s="2">
        <v>0.62168999999999996</v>
      </c>
      <c r="N41" s="2">
        <v>0.39396999999999999</v>
      </c>
      <c r="O41" s="53" t="s">
        <v>200</v>
      </c>
      <c r="P41" s="53" t="s">
        <v>201</v>
      </c>
      <c r="Q41" s="269">
        <f t="shared" si="16"/>
        <v>0.23049977007291644</v>
      </c>
      <c r="R41" s="269">
        <f t="shared" si="17"/>
        <v>0.23049976489292978</v>
      </c>
      <c r="S41" s="269">
        <f t="shared" si="17"/>
        <v>0.23049986844999582</v>
      </c>
      <c r="T41" s="269">
        <f t="shared" si="8"/>
        <v>0.23049980113861401</v>
      </c>
      <c r="U41" s="269">
        <f t="shared" si="18"/>
        <v>0.23049986844999582</v>
      </c>
      <c r="V41" s="269"/>
    </row>
    <row r="42" spans="2:31" ht="15.75" thickBot="1">
      <c r="B42" s="24">
        <v>45778</v>
      </c>
      <c r="C42" s="270">
        <f t="shared" si="15"/>
        <v>5</v>
      </c>
      <c r="D42" s="271">
        <f>_xlfn.FORECAST.ETS(DATE(2025,1,1),D$35:D$41,$B$35:$B$41,1,1)+_xlfn.FORECAST.ETS.CONFINT(DATE(2025,1,1),D$35:D$41,$B$35:$B$41,$A$2,1)</f>
        <v>21.472775264409385</v>
      </c>
      <c r="E42" s="271">
        <f>_xlfn.FORECAST.ETS(DATE(2025,1,1),E$35:E$41,$B$35:$B$41,1,1)+_xlfn.FORECAST.ETS.CONFINT(DATE(2025,1,1),E$35:E$41,$B$35:$B$41,$A$2,1)</f>
        <v>2.8764808786481808</v>
      </c>
      <c r="F42" s="271">
        <f>_xlfn.FORECAST.ETS(DATE(2025,1,1),F$35:F$41,$B$35:$B$41,1,1)+_xlfn.FORECAST.ETS.CONFINT(DATE(2025,1,1),F$35:F$41,$B$35:$B$41,$A$2,1)</f>
        <v>0.79586418626934285</v>
      </c>
      <c r="G42" s="271">
        <f>_xlfn.FORECAST.ETS(DATE(2025,1,1),G$35:G$41,$B$35:$B$41,1,1)+_xlfn.FORECAST.ETS.CONFINT(DATE(2025,1,1),G$35:G$41,$B$35:$B$41,$A$2,1)</f>
        <v>0.58786604389808617</v>
      </c>
      <c r="H42" s="271">
        <f>_xlfn.FORECAST.ETS(DATE(2025,1,1),H$35:H$41,$B$35:$B$41,1,1)+_xlfn.FORECAST.ETS.CONFINT(DATE(2025,1,1),H$35:H$41,$B$35:$B$41,$A$2,1)</f>
        <v>1073.6212214275063</v>
      </c>
      <c r="I42" s="272"/>
      <c r="J42" s="271">
        <f>_xlfn.FORECAST.ETS(DATE(2025,1,1),J$35:J$41,$B$35:$B$41,1,1)+_xlfn.FORECAST.ETS.CONFINT(DATE(2025,1,1),J$35:J$41,$B$35:$B$41,$A$2,1)</f>
        <v>16.942654854086456</v>
      </c>
      <c r="K42" s="271">
        <f>_xlfn.FORECAST.ETS(DATE(2025,1,1),K$35:K$41,$B$35:$B$41,1,1)+_xlfn.FORECAST.ETS.CONFINT(DATE(2025,1,1),K$35:K$41,$B$35:$B$41,$A$2,1)</f>
        <v>1.6245606191620285</v>
      </c>
      <c r="L42" s="271">
        <f>_xlfn.FORECAST.ETS(DATE(2025,1,1),L$35:L$41,$B$35:$B$41,1,1)+_xlfn.FORECAST.ETS.CONFINT(DATE(2025,1,1),L$35:L$41,$B$35:$B$41,$A$2,1)</f>
        <v>0.21748340386474385</v>
      </c>
      <c r="M42" s="271">
        <f>_xlfn.FORECAST.ETS(DATE(2025,1,1),M$35:M$41,$B$35:$B$41,1,1)+_xlfn.FORECAST.ETS.CONFINT(DATE(2025,1,1),M$35:M$41,$B$35:$B$41,$A$2,1)</f>
        <v>0.73094288529932472</v>
      </c>
      <c r="N42" s="271">
        <f>_xlfn.FORECAST.ETS(DATE(2025,1,1),N$35:N$41,$B$35:$B$41,1,1)+_xlfn.FORECAST.ETS.CONFINT(DATE(2025,1,1),N$35:N$41,$B$35:$B$41,$A$2,1)</f>
        <v>0.46544651416360622</v>
      </c>
      <c r="O42" s="272"/>
      <c r="P42" s="272"/>
      <c r="Q42" s="273">
        <f>_xlfn.FORECAST.ETS(DATE(2025,1,1),Q$35:Q$41,$B$35:$B$41,1,1)+_xlfn.FORECAST.ETS.CONFINT(DATE(2025,1,1),Q$35:Q$41,$B$35:$B$41,$A$2,1)</f>
        <v>0.23265130005047835</v>
      </c>
      <c r="R42" s="273">
        <f>_xlfn.FORECAST.ETS(DATE(2025,1,1),R$35:R$41,$B$35:$B$41,1,1)+_xlfn.FORECAST.ETS.CONFINT(DATE(2025,1,1),R$35:R$41,$B$35:$B$41,$A$2,1)</f>
        <v>0.25050061750445479</v>
      </c>
      <c r="S42" s="273">
        <f>_xlfn.FORECAST.ETS(DATE(2025,1,1),S$35:S$41,$B$35:$B$41,1,1)+_xlfn.FORECAST.ETS.CONFINT(DATE(2025,1,1),S$35:S$41,$B$35:$B$41,$A$2,1)</f>
        <v>0.28461737317308422</v>
      </c>
      <c r="T42" s="273">
        <f>_xlfn.FORECAST.ETS(DATE(2025,1,1),T$35:T$41,$B$35:$B$41,1,1)+_xlfn.FORECAST.ETS.CONFINT(DATE(2025,1,1),T$35:T$41,$B$35:$B$41,$A$2,1)</f>
        <v>0.25612112897196981</v>
      </c>
      <c r="U42" s="273">
        <f>_xlfn.FORECAST.ETS(DATE(2025,1,1),U$35:U$41,$B$35:$B$41,1,1)+_xlfn.FORECAST.ETS.CONFINT(DATE(2025,1,1),U$35:U$41,$B$35:$B$41,$A$2,1)</f>
        <v>0.28461745523388754</v>
      </c>
      <c r="V42" s="269"/>
    </row>
    <row r="43" spans="2:31" ht="15.75" thickBot="1">
      <c r="B43" s="21">
        <v>43252</v>
      </c>
      <c r="C43">
        <f t="shared" si="15"/>
        <v>6</v>
      </c>
      <c r="D43" s="9">
        <v>16.979827400000001</v>
      </c>
      <c r="E43" s="9">
        <v>2.1072438</v>
      </c>
      <c r="F43" s="9">
        <v>0.49771090000000001</v>
      </c>
      <c r="G43" s="10">
        <v>0.43201865</v>
      </c>
      <c r="H43" s="11">
        <v>716.25</v>
      </c>
      <c r="J43" s="2">
        <v>12.23</v>
      </c>
      <c r="K43" s="2">
        <v>1.0820000000000001</v>
      </c>
      <c r="L43" s="2">
        <v>7.4480000000000005E-2</v>
      </c>
      <c r="M43" s="2">
        <v>0.49232999999999999</v>
      </c>
      <c r="N43" s="2">
        <v>0.30288999999999999</v>
      </c>
      <c r="O43" s="53" t="s">
        <v>202</v>
      </c>
      <c r="P43" s="53" t="s">
        <v>203</v>
      </c>
      <c r="Q43" s="269">
        <f t="shared" ref="Q43:Q49" si="19">IFERROR(1-J43/D43,"")</f>
        <v>0.27973355017731216</v>
      </c>
      <c r="R43" s="269">
        <f t="shared" ref="R43:S49" si="20">IFERROR(1-(K43+M43)/E43,"")</f>
        <v>0.25289612905730219</v>
      </c>
      <c r="S43" s="269">
        <f t="shared" si="20"/>
        <v>0.24178875728861882</v>
      </c>
      <c r="T43" s="269">
        <f t="shared" si="8"/>
        <v>0.25813947884107774</v>
      </c>
      <c r="U43" s="269">
        <f t="shared" ref="U43:U49" si="21">IFERROR(LARGE(Q43:S43,1),"")</f>
        <v>0.27973355017731216</v>
      </c>
      <c r="V43" s="269"/>
    </row>
    <row r="44" spans="2:31">
      <c r="B44" s="22">
        <v>43617</v>
      </c>
      <c r="C44">
        <f t="shared" si="15"/>
        <v>6</v>
      </c>
      <c r="D44" s="13">
        <v>16.063058600000002</v>
      </c>
      <c r="E44" s="13">
        <v>2.2842633999999999</v>
      </c>
      <c r="F44" s="13">
        <v>0.5940917</v>
      </c>
      <c r="G44" s="10">
        <v>0.4570514</v>
      </c>
      <c r="H44" s="14">
        <v>741.75</v>
      </c>
      <c r="J44" s="2">
        <v>11.31</v>
      </c>
      <c r="K44" s="2">
        <v>1.1124000000000001</v>
      </c>
      <c r="L44" s="2">
        <v>0.10686</v>
      </c>
      <c r="M44" s="2">
        <v>0.49095</v>
      </c>
      <c r="N44" s="2">
        <v>0.30643999999999999</v>
      </c>
      <c r="O44" s="53" t="s">
        <v>190</v>
      </c>
      <c r="P44" s="53" t="s">
        <v>191</v>
      </c>
      <c r="Q44" s="269">
        <f t="shared" si="19"/>
        <v>0.29589997262414269</v>
      </c>
      <c r="R44" s="269">
        <f t="shared" si="20"/>
        <v>0.29808882810975301</v>
      </c>
      <c r="S44" s="269">
        <f t="shared" si="20"/>
        <v>0.30431615186679095</v>
      </c>
      <c r="T44" s="269">
        <f t="shared" si="8"/>
        <v>0.2994349842002289</v>
      </c>
      <c r="U44" s="269">
        <f t="shared" si="21"/>
        <v>0.30431615186679095</v>
      </c>
      <c r="V44" s="269"/>
    </row>
    <row r="45" spans="2:31">
      <c r="B45" s="21">
        <v>43983</v>
      </c>
      <c r="C45">
        <f t="shared" si="15"/>
        <v>6</v>
      </c>
      <c r="D45" s="9">
        <v>17.0236427</v>
      </c>
      <c r="E45" s="9">
        <v>2.2330038999999999</v>
      </c>
      <c r="F45" s="9">
        <v>0.50922100000000003</v>
      </c>
      <c r="G45" s="10">
        <v>0.376801</v>
      </c>
      <c r="H45" s="11">
        <v>766.75</v>
      </c>
      <c r="J45" s="2">
        <v>12.24</v>
      </c>
      <c r="K45" s="2">
        <v>1.17466</v>
      </c>
      <c r="L45" s="2">
        <v>0.10975</v>
      </c>
      <c r="M45" s="2">
        <v>0.43086999999999998</v>
      </c>
      <c r="N45" s="2">
        <v>0.25638</v>
      </c>
      <c r="O45" s="53" t="s">
        <v>192</v>
      </c>
      <c r="P45" s="53" t="s">
        <v>193</v>
      </c>
      <c r="Q45" s="269">
        <f t="shared" si="19"/>
        <v>0.28099994720871346</v>
      </c>
      <c r="R45" s="269">
        <f t="shared" si="20"/>
        <v>0.28099991227064136</v>
      </c>
      <c r="S45" s="269">
        <f t="shared" si="20"/>
        <v>0.28099980165782634</v>
      </c>
      <c r="T45" s="269">
        <f t="shared" si="8"/>
        <v>0.28099988704572704</v>
      </c>
      <c r="U45" s="269">
        <f t="shared" si="21"/>
        <v>0.28099994720871346</v>
      </c>
      <c r="V45" s="269"/>
    </row>
    <row r="46" spans="2:31">
      <c r="B46" s="22">
        <v>44348</v>
      </c>
      <c r="C46">
        <f t="shared" si="15"/>
        <v>6</v>
      </c>
      <c r="D46" s="9">
        <v>22.139199399999999</v>
      </c>
      <c r="E46" s="9">
        <v>2.4142146000000002</v>
      </c>
      <c r="F46" s="9">
        <v>0.56361269999999997</v>
      </c>
      <c r="G46" s="15">
        <v>0.33611449999999998</v>
      </c>
      <c r="H46" s="11">
        <v>766.75</v>
      </c>
      <c r="J46" s="2">
        <v>16</v>
      </c>
      <c r="K46" s="2">
        <v>1.30555</v>
      </c>
      <c r="L46" s="2">
        <v>0.11298</v>
      </c>
      <c r="M46" s="2">
        <v>0.37569000000000002</v>
      </c>
      <c r="N46" s="2">
        <v>0.23083000000000001</v>
      </c>
      <c r="O46" s="53" t="s">
        <v>194</v>
      </c>
      <c r="P46" s="53" t="s">
        <v>195</v>
      </c>
      <c r="Q46" s="269">
        <f t="shared" si="19"/>
        <v>0.27729997318692556</v>
      </c>
      <c r="R46" s="269">
        <f t="shared" si="20"/>
        <v>0.30360788970458552</v>
      </c>
      <c r="S46" s="269">
        <f t="shared" si="20"/>
        <v>0.38998890550195187</v>
      </c>
      <c r="T46" s="269">
        <f t="shared" si="8"/>
        <v>0.32363225613115432</v>
      </c>
      <c r="U46" s="269">
        <f t="shared" si="21"/>
        <v>0.38998890550195187</v>
      </c>
      <c r="V46" s="269"/>
    </row>
    <row r="47" spans="2:31">
      <c r="B47" s="21">
        <v>44713</v>
      </c>
      <c r="C47">
        <f t="shared" si="15"/>
        <v>6</v>
      </c>
      <c r="D47" s="9">
        <v>14.1901081</v>
      </c>
      <c r="E47" s="9">
        <v>2.1739864</v>
      </c>
      <c r="F47" s="9">
        <v>0.51273990000000003</v>
      </c>
      <c r="G47" s="10">
        <v>0.37537470000000001</v>
      </c>
      <c r="H47" s="11">
        <v>895.03</v>
      </c>
      <c r="J47" s="2">
        <v>11.45</v>
      </c>
      <c r="K47" s="2">
        <v>1.2948</v>
      </c>
      <c r="L47" s="2">
        <v>0.12506999999999999</v>
      </c>
      <c r="M47" s="2">
        <v>0.45939000000000002</v>
      </c>
      <c r="N47" s="2">
        <v>0.28866000000000003</v>
      </c>
      <c r="O47" s="53" t="s">
        <v>196</v>
      </c>
      <c r="P47" s="53" t="s">
        <v>197</v>
      </c>
      <c r="Q47" s="269">
        <f t="shared" si="19"/>
        <v>0.19309987497558245</v>
      </c>
      <c r="R47" s="269">
        <f t="shared" si="20"/>
        <v>0.19309982803940262</v>
      </c>
      <c r="S47" s="269">
        <f t="shared" si="20"/>
        <v>0.19309965930094375</v>
      </c>
      <c r="T47" s="269">
        <f t="shared" si="8"/>
        <v>0.19309978743864295</v>
      </c>
      <c r="U47" s="269">
        <f t="shared" si="21"/>
        <v>0.19309987497558245</v>
      </c>
      <c r="V47" s="269"/>
    </row>
    <row r="48" spans="2:31">
      <c r="B48" s="21">
        <v>45078</v>
      </c>
      <c r="C48">
        <f t="shared" si="15"/>
        <v>6</v>
      </c>
      <c r="D48" s="9">
        <v>16.054155600000001</v>
      </c>
      <c r="E48" s="9">
        <v>2.4972525000000001</v>
      </c>
      <c r="F48" s="9">
        <v>0.68197260000000004</v>
      </c>
      <c r="G48" s="10">
        <v>0.45521460000000002</v>
      </c>
      <c r="H48" s="11">
        <v>948.46</v>
      </c>
      <c r="J48" s="2">
        <v>12.45</v>
      </c>
      <c r="K48" s="2">
        <v>1.39354</v>
      </c>
      <c r="L48" s="2">
        <v>0.19312000000000001</v>
      </c>
      <c r="M48" s="2">
        <v>0.54308000000000001</v>
      </c>
      <c r="N48" s="2">
        <v>0.33574999999999999</v>
      </c>
      <c r="O48" s="53" t="s">
        <v>198</v>
      </c>
      <c r="P48" s="53" t="s">
        <v>199</v>
      </c>
      <c r="Q48" s="269">
        <f t="shared" si="19"/>
        <v>0.22449985472920186</v>
      </c>
      <c r="R48" s="269">
        <f t="shared" si="20"/>
        <v>0.22449972519799266</v>
      </c>
      <c r="S48" s="269">
        <f t="shared" si="20"/>
        <v>0.22449963532259221</v>
      </c>
      <c r="T48" s="269">
        <f t="shared" si="8"/>
        <v>0.22449973841659557</v>
      </c>
      <c r="U48" s="269">
        <f t="shared" si="21"/>
        <v>0.22449985472920186</v>
      </c>
      <c r="V48" s="269"/>
    </row>
    <row r="49" spans="2:31" ht="15.75" thickBot="1">
      <c r="B49" s="22">
        <v>45444</v>
      </c>
      <c r="C49">
        <f t="shared" si="15"/>
        <v>6</v>
      </c>
      <c r="D49" s="6"/>
      <c r="E49" s="6"/>
      <c r="F49" s="6"/>
      <c r="G49" s="18"/>
      <c r="H49" s="7"/>
      <c r="J49" s="2">
        <v>14.84</v>
      </c>
      <c r="K49" s="2">
        <v>1.55124</v>
      </c>
      <c r="L49" s="2">
        <v>0.17693999999999999</v>
      </c>
      <c r="M49" s="2">
        <v>0.62168999999999996</v>
      </c>
      <c r="N49" s="2">
        <v>0.39396999999999999</v>
      </c>
      <c r="O49" s="53" t="s">
        <v>200</v>
      </c>
      <c r="P49" s="53" t="s">
        <v>201</v>
      </c>
      <c r="Q49" s="269" t="str">
        <f t="shared" si="19"/>
        <v/>
      </c>
      <c r="R49" s="269" t="str">
        <f t="shared" si="20"/>
        <v/>
      </c>
      <c r="S49" s="269" t="str">
        <f t="shared" si="20"/>
        <v/>
      </c>
      <c r="T49" s="269" t="str">
        <f t="shared" si="8"/>
        <v/>
      </c>
      <c r="U49" s="269" t="str">
        <f t="shared" si="21"/>
        <v/>
      </c>
      <c r="V49" s="269"/>
    </row>
    <row r="50" spans="2:31" ht="15.75" thickBot="1">
      <c r="B50" s="24">
        <v>45809</v>
      </c>
      <c r="C50" s="270">
        <f t="shared" si="15"/>
        <v>6</v>
      </c>
      <c r="D50" s="271">
        <f>_xlfn.FORECAST.ETS(DATE(2025,1,1),D$43:D$49,$B$43:$B$49,1,1)+_xlfn.FORECAST.ETS.CONFINT(DATE(2025,1,1),D$43:D$49,$B$43:$B$49,$A$2,1)</f>
        <v>20.631463794694497</v>
      </c>
      <c r="E50" s="271">
        <f>_xlfn.FORECAST.ETS(DATE(2025,1,1),E$43:E$49,$B$43:$B$49,1,1)+_xlfn.FORECAST.ETS.CONFINT(DATE(2025,1,1),E$43:E$49,$B$43:$B$49,$A$2,1)</f>
        <v>2.5465037775652957</v>
      </c>
      <c r="F50" s="271">
        <f>_xlfn.FORECAST.ETS(DATE(2025,1,1),F$43:F$49,$B$43:$B$49,1,1)+_xlfn.FORECAST.ETS.CONFINT(DATE(2025,1,1),F$43:F$49,$B$43:$B$49,$A$2,1)</f>
        <v>0.70312719751670394</v>
      </c>
      <c r="G50" s="271">
        <f>_xlfn.FORECAST.ETS(DATE(2025,1,1),G$43:G$49,$B$43:$B$49,1,1)+_xlfn.FORECAST.ETS.CONFINT(DATE(2025,1,1),G$43:G$49,$B$43:$B$49,$A$2,1)</f>
        <v>0.50447624074246045</v>
      </c>
      <c r="H50" s="271">
        <f>_xlfn.FORECAST.ETS(DATE(2025,1,1),H$43:H$49,$B$43:$B$49,1,1)+_xlfn.FORECAST.ETS.CONFINT(DATE(2025,1,1),H$43:H$49,$B$43:$B$49,$A$2,1)</f>
        <v>1094.7505810707773</v>
      </c>
      <c r="I50" s="272"/>
      <c r="J50" s="271">
        <f>_xlfn.FORECAST.ETS(DATE(2025,1,1),J$43:J$49,$B$43:$B$49,1,1)+_xlfn.FORECAST.ETS.CONFINT(DATE(2025,1,1),J$43:J$49,$B$43:$B$49,$A$2,1)</f>
        <v>16.723858222078672</v>
      </c>
      <c r="K50" s="271">
        <f>_xlfn.FORECAST.ETS(DATE(2025,1,1),K$43:K$49,$B$43:$B$49,1,1)+_xlfn.FORECAST.ETS.CONFINT(DATE(2025,1,1),K$43:K$49,$B$43:$B$49,$A$2,1)</f>
        <v>1.6148182493277154</v>
      </c>
      <c r="L50" s="271">
        <f>_xlfn.FORECAST.ETS(DATE(2025,1,1),L$43:L$49,$B$43:$B$49,1,1)+_xlfn.FORECAST.ETS.CONFINT(DATE(2025,1,1),L$43:L$49,$B$43:$B$49,$A$2,1)</f>
        <v>0.21483452337880557</v>
      </c>
      <c r="M50" s="271">
        <f>_xlfn.FORECAST.ETS(DATE(2025,1,1),M$43:M$49,$B$43:$B$49,1,1)+_xlfn.FORECAST.ETS.CONFINT(DATE(2025,1,1),M$43:M$49,$B$43:$B$49,$A$2,1)</f>
        <v>0.71972818847862463</v>
      </c>
      <c r="N50" s="271">
        <f>_xlfn.FORECAST.ETS(DATE(2025,1,1),N$43:N$49,$B$43:$B$49,1,1)+_xlfn.FORECAST.ETS.CONFINT(DATE(2025,1,1),N$43:N$49,$B$43:$B$49,$A$2,1)</f>
        <v>0.46066655133706813</v>
      </c>
      <c r="O50" s="272"/>
      <c r="P50" s="272"/>
      <c r="Q50" s="273">
        <f>_xlfn.FORECAST.ETS(DATE(2025,1,1),Q$43:Q$49,$B$43:$B$49,1,1)+_xlfn.FORECAST.ETS.CONFINT(DATE(2025,1,1),Q$43:Q$49,$B$43:$B$49,$A$2,1)</f>
        <v>0.22350397706004851</v>
      </c>
      <c r="R50" s="273">
        <f>_xlfn.FORECAST.ETS(DATE(2025,1,1),R$43:R$49,$B$43:$B$49,1,1)+_xlfn.FORECAST.ETS.CONFINT(DATE(2025,1,1),R$43:R$49,$B$43:$B$49,$A$2,1)</f>
        <v>0.24973711841459045</v>
      </c>
      <c r="S50" s="273">
        <f>_xlfn.FORECAST.ETS(DATE(2025,1,1),S$43:S$49,$B$43:$B$49,1,1)+_xlfn.FORECAST.ETS.CONFINT(DATE(2025,1,1),S$43:S$49,$B$43:$B$49,$A$2,1)</f>
        <v>0.33061040850831058</v>
      </c>
      <c r="T50" s="273">
        <f>_xlfn.FORECAST.ETS(DATE(2025,1,1),T$43:T$49,$B$43:$B$49,1,1)+_xlfn.FORECAST.ETS.CONFINT(DATE(2025,1,1),T$43:T$49,$B$43:$B$49,$A$2,1)</f>
        <v>0.26024523845465808</v>
      </c>
      <c r="U50" s="273">
        <f>_xlfn.FORECAST.ETS(DATE(2025,1,1),U$43:U$49,$B$43:$B$49,1,1)+_xlfn.FORECAST.ETS.CONFINT(DATE(2025,1,1),U$43:U$49,$B$43:$B$49,$A$2,1)</f>
        <v>0.3083845742058442</v>
      </c>
      <c r="V50" s="269"/>
    </row>
    <row r="51" spans="2:31" ht="15.75" thickBot="1">
      <c r="B51" s="21">
        <v>43282</v>
      </c>
      <c r="C51">
        <f t="shared" si="15"/>
        <v>7</v>
      </c>
      <c r="D51" s="9">
        <v>17.3026397</v>
      </c>
      <c r="E51" s="9">
        <v>2.2566391000000001</v>
      </c>
      <c r="F51" s="9">
        <v>0.58281629999999995</v>
      </c>
      <c r="G51" s="10">
        <v>0.43529468999999998</v>
      </c>
      <c r="H51" s="11">
        <v>716.25</v>
      </c>
      <c r="J51" s="2">
        <v>12.23</v>
      </c>
      <c r="K51" s="2">
        <v>1.0820000000000001</v>
      </c>
      <c r="L51" s="2">
        <v>7.4480000000000005E-2</v>
      </c>
      <c r="M51" s="2">
        <v>0.49232999999999999</v>
      </c>
      <c r="N51" s="2">
        <v>0.30288999999999999</v>
      </c>
      <c r="O51" s="53" t="s">
        <v>202</v>
      </c>
      <c r="P51" s="53" t="s">
        <v>203</v>
      </c>
      <c r="Q51" s="269">
        <f t="shared" ref="Q51:Q57" si="22">IFERROR(1-J51/D51,"")</f>
        <v>0.2931714344141374</v>
      </c>
      <c r="R51" s="269">
        <f t="shared" ref="R51:S57" si="23">IFERROR(1-(K51+M51)/E51,"")</f>
        <v>0.30235632272790103</v>
      </c>
      <c r="S51" s="269">
        <f t="shared" si="23"/>
        <v>0.35250609840527791</v>
      </c>
      <c r="T51" s="269">
        <f t="shared" si="8"/>
        <v>0.31601128518243876</v>
      </c>
      <c r="U51" s="269">
        <f t="shared" ref="U51:U57" si="24">IFERROR(LARGE(Q51:S51,1),"")</f>
        <v>0.35250609840527791</v>
      </c>
      <c r="V51" s="269"/>
      <c r="AE51" s="269">
        <v>0.111</v>
      </c>
    </row>
    <row r="52" spans="2:31">
      <c r="B52" s="22">
        <v>43647</v>
      </c>
      <c r="C52">
        <f t="shared" si="15"/>
        <v>7</v>
      </c>
      <c r="D52" s="9">
        <v>15.958797000000001</v>
      </c>
      <c r="E52" s="9">
        <v>2.2949264</v>
      </c>
      <c r="F52" s="9">
        <v>0.61572510000000003</v>
      </c>
      <c r="G52" s="10">
        <v>0.45408490000000001</v>
      </c>
      <c r="H52" s="11">
        <v>741.75</v>
      </c>
      <c r="J52" s="2">
        <v>11.31</v>
      </c>
      <c r="K52" s="2">
        <v>1.1124000000000001</v>
      </c>
      <c r="L52" s="2">
        <v>0.10686</v>
      </c>
      <c r="M52" s="2">
        <v>0.49095</v>
      </c>
      <c r="N52" s="2">
        <v>0.30643999999999999</v>
      </c>
      <c r="O52" s="53" t="s">
        <v>190</v>
      </c>
      <c r="P52" s="53" t="s">
        <v>191</v>
      </c>
      <c r="Q52" s="269">
        <f t="shared" si="22"/>
        <v>0.29129996452740137</v>
      </c>
      <c r="R52" s="269">
        <f t="shared" si="23"/>
        <v>0.30135014351658507</v>
      </c>
      <c r="S52" s="269">
        <f t="shared" si="23"/>
        <v>0.32875888931602759</v>
      </c>
      <c r="T52" s="269">
        <f t="shared" si="8"/>
        <v>0.30713633245333799</v>
      </c>
      <c r="U52" s="269">
        <f t="shared" si="24"/>
        <v>0.32875888931602759</v>
      </c>
      <c r="V52" s="269"/>
    </row>
    <row r="53" spans="2:31">
      <c r="B53" s="21">
        <v>44013</v>
      </c>
      <c r="C53">
        <f t="shared" si="15"/>
        <v>7</v>
      </c>
      <c r="D53" s="9">
        <v>16.9811309</v>
      </c>
      <c r="E53" s="9">
        <v>2.2274276</v>
      </c>
      <c r="F53" s="9">
        <v>0.5079494</v>
      </c>
      <c r="G53" s="10">
        <v>0.37586009999999997</v>
      </c>
      <c r="H53" s="11">
        <v>766.75</v>
      </c>
      <c r="J53" s="2">
        <v>12.24</v>
      </c>
      <c r="K53" s="2">
        <v>1.17466</v>
      </c>
      <c r="L53" s="2">
        <v>0.10975</v>
      </c>
      <c r="M53" s="2">
        <v>0.43086999999999998</v>
      </c>
      <c r="N53" s="2">
        <v>0.25638</v>
      </c>
      <c r="O53" s="53" t="s">
        <v>192</v>
      </c>
      <c r="P53" s="53" t="s">
        <v>193</v>
      </c>
      <c r="Q53" s="269">
        <f t="shared" si="22"/>
        <v>0.27919995010461873</v>
      </c>
      <c r="R53" s="269">
        <f t="shared" si="23"/>
        <v>0.27919991653151832</v>
      </c>
      <c r="S53" s="269">
        <f t="shared" si="23"/>
        <v>0.27919985730862162</v>
      </c>
      <c r="T53" s="269">
        <f t="shared" si="8"/>
        <v>0.27919990798158623</v>
      </c>
      <c r="U53" s="269">
        <f t="shared" si="24"/>
        <v>0.27919995010461873</v>
      </c>
      <c r="V53" s="269"/>
    </row>
    <row r="54" spans="2:31">
      <c r="B54" s="21">
        <v>44378</v>
      </c>
      <c r="C54">
        <f t="shared" si="15"/>
        <v>7</v>
      </c>
      <c r="D54" s="9">
        <v>23.158196700000001</v>
      </c>
      <c r="E54" s="9">
        <v>2.5707914000000001</v>
      </c>
      <c r="F54" s="9">
        <v>0.63501209999999997</v>
      </c>
      <c r="G54" s="10">
        <v>0.35158469999999997</v>
      </c>
      <c r="H54" s="11">
        <v>766.75</v>
      </c>
      <c r="J54" s="2">
        <v>16</v>
      </c>
      <c r="K54" s="2">
        <v>1.30555</v>
      </c>
      <c r="L54" s="2">
        <v>0.11298</v>
      </c>
      <c r="M54" s="2">
        <v>0.37569000000000002</v>
      </c>
      <c r="N54" s="2">
        <v>0.23083000000000001</v>
      </c>
      <c r="O54" s="53" t="s">
        <v>194</v>
      </c>
      <c r="P54" s="53" t="s">
        <v>195</v>
      </c>
      <c r="Q54" s="269">
        <f t="shared" si="22"/>
        <v>0.30909991795691072</v>
      </c>
      <c r="R54" s="269">
        <f t="shared" si="23"/>
        <v>0.34602239606060603</v>
      </c>
      <c r="S54" s="269">
        <f t="shared" si="23"/>
        <v>0.45857724600838312</v>
      </c>
      <c r="T54" s="269">
        <f t="shared" si="8"/>
        <v>0.37123318667529998</v>
      </c>
      <c r="U54" s="269">
        <f t="shared" si="24"/>
        <v>0.45857724600838312</v>
      </c>
      <c r="V54" s="269"/>
    </row>
    <row r="55" spans="2:31">
      <c r="B55" s="22">
        <v>44743</v>
      </c>
      <c r="C55">
        <f t="shared" si="15"/>
        <v>7</v>
      </c>
      <c r="D55" s="9">
        <v>14.2892776</v>
      </c>
      <c r="E55" s="9">
        <v>2.1891797</v>
      </c>
      <c r="F55" s="9">
        <v>0.51632330000000004</v>
      </c>
      <c r="G55" s="10">
        <v>0.3779981</v>
      </c>
      <c r="H55" s="11">
        <v>895.03</v>
      </c>
      <c r="J55" s="2">
        <v>11.45</v>
      </c>
      <c r="K55" s="2">
        <v>1.2948</v>
      </c>
      <c r="L55" s="2">
        <v>0.12506999999999999</v>
      </c>
      <c r="M55" s="2">
        <v>0.45939000000000002</v>
      </c>
      <c r="N55" s="2">
        <v>0.28866000000000003</v>
      </c>
      <c r="O55" s="53" t="s">
        <v>196</v>
      </c>
      <c r="P55" s="53" t="s">
        <v>197</v>
      </c>
      <c r="Q55" s="269">
        <f t="shared" si="22"/>
        <v>0.19869986989405264</v>
      </c>
      <c r="R55" s="269">
        <f t="shared" si="23"/>
        <v>0.1986998600434674</v>
      </c>
      <c r="S55" s="269">
        <f t="shared" si="23"/>
        <v>0.19869972941372194</v>
      </c>
      <c r="T55" s="269">
        <f t="shared" si="8"/>
        <v>0.19869981978374732</v>
      </c>
      <c r="U55" s="269">
        <f t="shared" si="24"/>
        <v>0.19869986989405264</v>
      </c>
      <c r="V55" s="269"/>
    </row>
    <row r="56" spans="2:31">
      <c r="B56" s="21">
        <v>45108</v>
      </c>
      <c r="C56">
        <f t="shared" si="15"/>
        <v>7</v>
      </c>
      <c r="D56" s="9">
        <v>15.6662556</v>
      </c>
      <c r="E56" s="9">
        <v>2.4372258000000002</v>
      </c>
      <c r="F56" s="9">
        <v>0.66557980000000005</v>
      </c>
      <c r="G56" s="10">
        <v>0.44428570000000001</v>
      </c>
      <c r="H56" s="11">
        <v>948.46</v>
      </c>
      <c r="J56" s="2">
        <v>12.45</v>
      </c>
      <c r="K56" s="2">
        <v>1.39354</v>
      </c>
      <c r="L56" s="2">
        <v>0.19312000000000001</v>
      </c>
      <c r="M56" s="2">
        <v>0.54308000000000001</v>
      </c>
      <c r="N56" s="2">
        <v>0.33574999999999999</v>
      </c>
      <c r="O56" s="53" t="s">
        <v>198</v>
      </c>
      <c r="P56" s="53" t="s">
        <v>199</v>
      </c>
      <c r="Q56" s="269">
        <f t="shared" si="22"/>
        <v>0.20529829731617555</v>
      </c>
      <c r="R56" s="269">
        <f t="shared" si="23"/>
        <v>0.20539984436403069</v>
      </c>
      <c r="S56" s="269">
        <f t="shared" si="23"/>
        <v>0.20539956290740813</v>
      </c>
      <c r="T56" s="269">
        <f t="shared" si="8"/>
        <v>0.20536590152920478</v>
      </c>
      <c r="U56" s="269">
        <f t="shared" si="24"/>
        <v>0.20539984436403069</v>
      </c>
      <c r="V56" s="269"/>
    </row>
    <row r="57" spans="2:31" ht="15.75" thickBot="1">
      <c r="B57" s="22">
        <v>45474</v>
      </c>
      <c r="C57">
        <f t="shared" si="15"/>
        <v>7</v>
      </c>
      <c r="D57" s="4"/>
      <c r="E57" s="4"/>
      <c r="F57" s="4"/>
      <c r="G57" s="18"/>
      <c r="H57" s="5"/>
      <c r="J57" s="2">
        <v>14.84</v>
      </c>
      <c r="K57" s="2">
        <v>1.55124</v>
      </c>
      <c r="L57" s="2">
        <v>0.17693999999999999</v>
      </c>
      <c r="M57" s="2">
        <v>0.62168999999999996</v>
      </c>
      <c r="N57" s="2">
        <v>0.39396999999999999</v>
      </c>
      <c r="O57" s="53" t="s">
        <v>200</v>
      </c>
      <c r="P57" s="53" t="s">
        <v>201</v>
      </c>
      <c r="Q57" s="269" t="str">
        <f t="shared" si="22"/>
        <v/>
      </c>
      <c r="R57" s="269" t="str">
        <f t="shared" si="23"/>
        <v/>
      </c>
      <c r="S57" s="269" t="str">
        <f t="shared" si="23"/>
        <v/>
      </c>
      <c r="T57" s="269" t="str">
        <f t="shared" si="8"/>
        <v/>
      </c>
      <c r="U57" s="269" t="str">
        <f t="shared" si="24"/>
        <v/>
      </c>
      <c r="V57" s="269"/>
    </row>
    <row r="58" spans="2:31" ht="15.75" thickBot="1">
      <c r="B58" s="24">
        <v>45839</v>
      </c>
      <c r="C58" s="270">
        <f t="shared" si="15"/>
        <v>7</v>
      </c>
      <c r="D58" s="271">
        <f>_xlfn.FORECAST.ETS(DATE(2025,1,1),D$51:D$57,$B$51:$B$57,1,1)+_xlfn.FORECAST.ETS.CONFINT(DATE(2025,1,1),D$51:D$57,$B$51:$B$57,$A$2,1)</f>
        <v>21.329780425796141</v>
      </c>
      <c r="E58" s="271">
        <f>_xlfn.FORECAST.ETS(DATE(2025,1,1),E$51:E$57,$B$51:$B$57,1,1)+_xlfn.FORECAST.ETS.CONFINT(DATE(2025,1,1),E$51:E$57,$B$51:$B$57,$A$2,1)</f>
        <v>2.5873369990187074</v>
      </c>
      <c r="F58" s="271">
        <f>_xlfn.FORECAST.ETS(DATE(2025,1,1),F$51:F$57,$B$51:$B$57,1,1)+_xlfn.FORECAST.ETS.CONFINT(DATE(2025,1,1),F$51:F$57,$B$51:$B$57,$A$2,1)</f>
        <v>0.68425419669054932</v>
      </c>
      <c r="G58" s="271">
        <f>_xlfn.FORECAST.ETS(DATE(2025,1,1),G$51:G$57,$B$51:$B$57,1,1)+_xlfn.FORECAST.ETS.CONFINT(DATE(2025,1,1),G$51:G$57,$B$51:$B$57,$A$2,1)</f>
        <v>0.48819749669451451</v>
      </c>
      <c r="H58" s="271">
        <f>_xlfn.FORECAST.ETS(DATE(2025,1,1),H$51:H$57,$B$51:$B$57,1,1)+_xlfn.FORECAST.ETS.CONFINT(DATE(2025,1,1),H$51:H$57,$B$51:$B$57,$A$2,1)</f>
        <v>1089.9762914738476</v>
      </c>
      <c r="I58" s="272"/>
      <c r="J58" s="271">
        <f>_xlfn.FORECAST.ETS(DATE(2025,1,1),J$51:J$57,$B$51:$B$57,1,1)+_xlfn.FORECAST.ETS.CONFINT(DATE(2025,1,1),J$51:J$57,$B$51:$B$57,$A$2,1)</f>
        <v>16.5284189717635</v>
      </c>
      <c r="K58" s="271">
        <f>_xlfn.FORECAST.ETS(DATE(2025,1,1),K$51:K$57,$B$51:$B$57,1,1)+_xlfn.FORECAST.ETS.CONFINT(DATE(2025,1,1),K$51:K$57,$B$51:$B$57,$A$2,1)</f>
        <v>1.6038225189851907</v>
      </c>
      <c r="L58" s="271">
        <f>_xlfn.FORECAST.ETS(DATE(2025,1,1),L$51:L$57,$B$51:$B$57,1,1)+_xlfn.FORECAST.ETS.CONFINT(DATE(2025,1,1),L$51:L$57,$B$51:$B$57,$A$2,1)</f>
        <v>0.21164687015191763</v>
      </c>
      <c r="M58" s="271">
        <f>_xlfn.FORECAST.ETS(DATE(2025,1,1),M$51:M$57,$B$51:$B$57,1,1)+_xlfn.FORECAST.ETS.CONFINT(DATE(2025,1,1),M$51:M$57,$B$51:$B$57,$A$2,1)</f>
        <v>0.71186137629764867</v>
      </c>
      <c r="N58" s="271">
        <f>_xlfn.FORECAST.ETS(DATE(2025,1,1),N$51:N$57,$B$51:$B$57,1,1)+_xlfn.FORECAST.ETS.CONFINT(DATE(2025,1,1),N$51:N$57,$B$51:$B$57,$A$2,1)</f>
        <v>0.45530083457985937</v>
      </c>
      <c r="O58" s="272"/>
      <c r="P58" s="272"/>
      <c r="Q58" s="273">
        <f>_xlfn.FORECAST.ETS(DATE(2025,1,1),Q$51:Q$57,$B$51:$B$57,1,1)+_xlfn.FORECAST.ETS.CONFINT(DATE(2025,1,1),Q$51:Q$57,$B$51:$B$57,$A$2,1)</f>
        <v>0.2412058246243311</v>
      </c>
      <c r="R58" s="273">
        <f>_xlfn.FORECAST.ETS(DATE(2025,1,1),R$51:R$57,$B$51:$B$57,1,1)+_xlfn.FORECAST.ETS.CONFINT(DATE(2025,1,1),R$51:R$57,$B$51:$B$57,$A$2,1)</f>
        <v>0.24602152203306565</v>
      </c>
      <c r="S58" s="273">
        <f>_xlfn.FORECAST.ETS(DATE(2025,1,1),S$51:S$57,$B$51:$B$57,1,1)+_xlfn.FORECAST.ETS.CONFINT(DATE(2025,1,1),S$51:S$57,$B$51:$B$57,$A$2,1)</f>
        <v>0.32244824972573488</v>
      </c>
      <c r="T58" s="273">
        <f>_xlfn.FORECAST.ETS(DATE(2025,1,1),T$51:T$57,$B$51:$B$57,1,1)+_xlfn.FORECAST.ETS.CONFINT(DATE(2025,1,1),T$51:T$57,$B$51:$B$57,$A$2,1)</f>
        <v>0.25343536458422028</v>
      </c>
      <c r="U58" s="273">
        <f>_xlfn.FORECAST.ETS(DATE(2025,1,1),U$51:U$57,$B$51:$B$57,1,1)+_xlfn.FORECAST.ETS.CONFINT(DATE(2025,1,1),U$51:U$57,$B$51:$B$57,$A$2,1)</f>
        <v>0.32244848237310286</v>
      </c>
      <c r="V58" s="269"/>
    </row>
    <row r="59" spans="2:31" ht="15.75" thickBot="1">
      <c r="B59" s="21">
        <v>43313</v>
      </c>
      <c r="C59">
        <f t="shared" si="15"/>
        <v>8</v>
      </c>
      <c r="D59" s="9">
        <v>16.7053674</v>
      </c>
      <c r="E59" s="9">
        <v>2.2187266999999999</v>
      </c>
      <c r="F59" s="9">
        <v>0.58375889999999997</v>
      </c>
      <c r="G59" s="10">
        <v>0.44120127999999997</v>
      </c>
      <c r="H59" s="11">
        <v>716.25</v>
      </c>
      <c r="J59" s="2">
        <v>12.23</v>
      </c>
      <c r="K59" s="2">
        <v>1.0820000000000001</v>
      </c>
      <c r="L59" s="2">
        <v>7.4480000000000005E-2</v>
      </c>
      <c r="M59" s="2">
        <v>0.49232999999999999</v>
      </c>
      <c r="N59" s="2">
        <v>0.30288999999999999</v>
      </c>
      <c r="O59" s="53" t="s">
        <v>202</v>
      </c>
      <c r="P59" s="53" t="s">
        <v>203</v>
      </c>
      <c r="Q59" s="269">
        <f t="shared" ref="Q59:Q65" si="25">IFERROR(1-J59/D59,"")</f>
        <v>0.26789996848557784</v>
      </c>
      <c r="R59" s="269">
        <f t="shared" ref="R59:S65" si="26">IFERROR(1-(K59+M59)/E59,"")</f>
        <v>0.29043536547335913</v>
      </c>
      <c r="S59" s="269">
        <f t="shared" si="26"/>
        <v>0.35355161180411976</v>
      </c>
      <c r="T59" s="269">
        <f t="shared" si="8"/>
        <v>0.30396231525435224</v>
      </c>
      <c r="U59" s="269">
        <f t="shared" ref="U59:U65" si="27">IFERROR(LARGE(Q59:S59,1),"")</f>
        <v>0.35355161180411976</v>
      </c>
      <c r="V59" s="269"/>
    </row>
    <row r="60" spans="2:31">
      <c r="B60" s="21">
        <v>43678</v>
      </c>
      <c r="C60">
        <f t="shared" si="15"/>
        <v>8</v>
      </c>
      <c r="D60" s="9">
        <v>16.010758200000001</v>
      </c>
      <c r="E60" s="9">
        <v>2.3263729999999998</v>
      </c>
      <c r="F60" s="9">
        <v>0.64170430000000001</v>
      </c>
      <c r="G60" s="15">
        <v>0.4555633</v>
      </c>
      <c r="H60" s="11">
        <v>741.75</v>
      </c>
      <c r="J60" s="2">
        <v>11.31</v>
      </c>
      <c r="K60" s="2">
        <v>1.1124000000000001</v>
      </c>
      <c r="L60" s="2">
        <v>0.10686</v>
      </c>
      <c r="M60" s="2">
        <v>0.49095</v>
      </c>
      <c r="N60" s="2">
        <v>0.30643999999999999</v>
      </c>
      <c r="O60" s="53" t="s">
        <v>190</v>
      </c>
      <c r="P60" s="53" t="s">
        <v>191</v>
      </c>
      <c r="Q60" s="269">
        <f t="shared" si="25"/>
        <v>0.29359997454711428</v>
      </c>
      <c r="R60" s="269">
        <f t="shared" si="26"/>
        <v>0.31079409879671049</v>
      </c>
      <c r="S60" s="269">
        <f t="shared" si="26"/>
        <v>0.35593387795593701</v>
      </c>
      <c r="T60" s="269">
        <f t="shared" si="8"/>
        <v>0.32010931709992058</v>
      </c>
      <c r="U60" s="269">
        <f t="shared" si="27"/>
        <v>0.35593387795593701</v>
      </c>
      <c r="V60" s="269"/>
    </row>
    <row r="61" spans="2:31">
      <c r="B61" s="22">
        <v>44044</v>
      </c>
      <c r="C61">
        <f t="shared" si="15"/>
        <v>8</v>
      </c>
      <c r="D61" s="9">
        <v>16.957603899999999</v>
      </c>
      <c r="E61" s="9">
        <v>2.2243415</v>
      </c>
      <c r="F61" s="9">
        <v>0.50724550000000002</v>
      </c>
      <c r="G61" s="17">
        <v>0.37533929999999999</v>
      </c>
      <c r="H61" s="11">
        <v>766.75</v>
      </c>
      <c r="J61" s="2">
        <v>12.24</v>
      </c>
      <c r="K61" s="2">
        <v>1.17466</v>
      </c>
      <c r="L61" s="2">
        <v>0.10975</v>
      </c>
      <c r="M61" s="2">
        <v>0.43086999999999998</v>
      </c>
      <c r="N61" s="2">
        <v>0.25638</v>
      </c>
      <c r="O61" s="53" t="s">
        <v>192</v>
      </c>
      <c r="P61" s="53" t="s">
        <v>193</v>
      </c>
      <c r="Q61" s="269">
        <f t="shared" si="25"/>
        <v>0.27819991125043309</v>
      </c>
      <c r="R61" s="269">
        <f t="shared" si="26"/>
        <v>0.27819986274589581</v>
      </c>
      <c r="S61" s="269">
        <f t="shared" si="26"/>
        <v>0.27819960945932487</v>
      </c>
      <c r="T61" s="269">
        <f t="shared" si="8"/>
        <v>0.27819979448521792</v>
      </c>
      <c r="U61" s="269">
        <f t="shared" si="27"/>
        <v>0.27819991125043309</v>
      </c>
      <c r="V61" s="269"/>
    </row>
    <row r="62" spans="2:31">
      <c r="B62" s="21">
        <v>44409</v>
      </c>
      <c r="C62">
        <f t="shared" si="15"/>
        <v>8</v>
      </c>
      <c r="D62" s="9">
        <v>22.9555215</v>
      </c>
      <c r="E62" s="9">
        <v>2.5504712</v>
      </c>
      <c r="F62" s="9">
        <v>0.63163349999999996</v>
      </c>
      <c r="G62" s="10">
        <v>0.34850779999999998</v>
      </c>
      <c r="H62" s="11">
        <v>766.75</v>
      </c>
      <c r="J62" s="2">
        <v>16</v>
      </c>
      <c r="K62" s="2">
        <v>1.30555</v>
      </c>
      <c r="L62" s="2">
        <v>0.11298</v>
      </c>
      <c r="M62" s="2">
        <v>0.37569000000000002</v>
      </c>
      <c r="N62" s="2">
        <v>0.23083000000000001</v>
      </c>
      <c r="O62" s="53" t="s">
        <v>194</v>
      </c>
      <c r="P62" s="53" t="s">
        <v>195</v>
      </c>
      <c r="Q62" s="269">
        <f t="shared" si="25"/>
        <v>0.30299993402458747</v>
      </c>
      <c r="R62" s="269">
        <f t="shared" si="26"/>
        <v>0.34081200367994746</v>
      </c>
      <c r="S62" s="269">
        <f t="shared" si="26"/>
        <v>0.45568118220455367</v>
      </c>
      <c r="T62" s="269">
        <f t="shared" si="8"/>
        <v>0.36649770663636289</v>
      </c>
      <c r="U62" s="269">
        <f t="shared" si="27"/>
        <v>0.45568118220455367</v>
      </c>
      <c r="V62" s="269"/>
    </row>
    <row r="63" spans="2:31">
      <c r="B63" s="22">
        <v>44774</v>
      </c>
      <c r="C63">
        <f t="shared" si="15"/>
        <v>8</v>
      </c>
      <c r="D63" s="9">
        <v>14.144531499999999</v>
      </c>
      <c r="E63" s="9">
        <v>2.1670039000000001</v>
      </c>
      <c r="F63" s="9">
        <v>0.51109309999999997</v>
      </c>
      <c r="G63" s="10">
        <v>0.37416909999999998</v>
      </c>
      <c r="H63" s="11">
        <v>895.03</v>
      </c>
      <c r="J63" s="2">
        <v>11.45</v>
      </c>
      <c r="K63" s="2">
        <v>1.2948</v>
      </c>
      <c r="L63" s="2">
        <v>0.12506999999999999</v>
      </c>
      <c r="M63" s="2">
        <v>0.45939000000000002</v>
      </c>
      <c r="N63" s="2">
        <v>0.28866000000000003</v>
      </c>
      <c r="O63" s="53" t="s">
        <v>196</v>
      </c>
      <c r="P63" s="53" t="s">
        <v>197</v>
      </c>
      <c r="Q63" s="269">
        <f t="shared" si="25"/>
        <v>0.19049987622424969</v>
      </c>
      <c r="R63" s="269">
        <f t="shared" si="26"/>
        <v>0.19049984174001722</v>
      </c>
      <c r="S63" s="269">
        <f t="shared" si="26"/>
        <v>0.19049973478413218</v>
      </c>
      <c r="T63" s="269">
        <f t="shared" si="8"/>
        <v>0.19049981758279969</v>
      </c>
      <c r="U63" s="269">
        <f t="shared" si="27"/>
        <v>0.19049987622424969</v>
      </c>
      <c r="V63" s="269"/>
    </row>
    <row r="64" spans="2:31">
      <c r="B64" s="21">
        <v>45139</v>
      </c>
      <c r="C64">
        <f t="shared" si="15"/>
        <v>8</v>
      </c>
      <c r="D64" s="9">
        <v>15.8538111</v>
      </c>
      <c r="E64" s="9">
        <v>2.4660885000000001</v>
      </c>
      <c r="F64" s="9">
        <v>0.67346209999999995</v>
      </c>
      <c r="G64" s="10">
        <v>0.44953490000000002</v>
      </c>
      <c r="H64" s="11">
        <v>948.46</v>
      </c>
      <c r="J64" s="2">
        <v>12.45</v>
      </c>
      <c r="K64" s="2">
        <v>1.39354</v>
      </c>
      <c r="L64" s="2">
        <v>0.19312000000000001</v>
      </c>
      <c r="M64" s="2">
        <v>0.54308000000000001</v>
      </c>
      <c r="N64" s="2">
        <v>0.33574999999999999</v>
      </c>
      <c r="O64" s="53" t="s">
        <v>198</v>
      </c>
      <c r="P64" s="53" t="s">
        <v>199</v>
      </c>
      <c r="Q64" s="269">
        <f t="shared" si="25"/>
        <v>0.21469986481673164</v>
      </c>
      <c r="R64" s="269">
        <f t="shared" si="26"/>
        <v>0.21469971576445857</v>
      </c>
      <c r="S64" s="269">
        <f t="shared" si="26"/>
        <v>0.21469968391688266</v>
      </c>
      <c r="T64" s="269">
        <f t="shared" si="8"/>
        <v>0.21469975483269096</v>
      </c>
      <c r="U64" s="269">
        <f t="shared" si="27"/>
        <v>0.21469986481673164</v>
      </c>
      <c r="V64" s="269"/>
      <c r="AE64" s="269">
        <v>0.22500000000000001</v>
      </c>
    </row>
    <row r="65" spans="2:31" ht="15.75" thickBot="1">
      <c r="B65" s="21">
        <v>45505</v>
      </c>
      <c r="C65">
        <f t="shared" si="15"/>
        <v>8</v>
      </c>
      <c r="D65" s="6"/>
      <c r="E65" s="6"/>
      <c r="F65" s="6"/>
      <c r="G65" s="18"/>
      <c r="H65" s="7"/>
      <c r="J65" s="2">
        <v>14.84</v>
      </c>
      <c r="K65" s="2">
        <v>1.55124</v>
      </c>
      <c r="L65" s="2">
        <v>0.17693999999999999</v>
      </c>
      <c r="M65" s="2">
        <v>0.62168999999999996</v>
      </c>
      <c r="N65" s="2">
        <v>0.39396999999999999</v>
      </c>
      <c r="O65" s="53" t="s">
        <v>200</v>
      </c>
      <c r="P65" s="53" t="s">
        <v>201</v>
      </c>
      <c r="Q65" s="269" t="str">
        <f t="shared" si="25"/>
        <v/>
      </c>
      <c r="R65" s="269" t="str">
        <f t="shared" si="26"/>
        <v/>
      </c>
      <c r="S65" s="269" t="str">
        <f t="shared" si="26"/>
        <v/>
      </c>
      <c r="T65" s="269" t="str">
        <f t="shared" si="8"/>
        <v/>
      </c>
      <c r="U65" s="269" t="str">
        <f t="shared" si="27"/>
        <v/>
      </c>
      <c r="V65" s="269"/>
    </row>
    <row r="66" spans="2:31" ht="15.75" thickBot="1">
      <c r="B66" s="24">
        <v>45870</v>
      </c>
      <c r="C66" s="270">
        <f t="shared" si="15"/>
        <v>8</v>
      </c>
      <c r="D66" s="271">
        <f>_xlfn.FORECAST.ETS(DATE(2025,1,1),D$59:D$65,$B$59:$B$65,1,1)+_xlfn.FORECAST.ETS.CONFINT(DATE(2025,1,1),D$59:D$65,$B$59:$B$65,$A$2,1)</f>
        <v>21.236592392278595</v>
      </c>
      <c r="E66" s="271">
        <f>_xlfn.FORECAST.ETS(DATE(2025,1,1),E$59:E$65,$B$59:$B$65,1,1)+_xlfn.FORECAST.ETS.CONFINT(DATE(2025,1,1),E$59:E$65,$B$59:$B$65,$A$2,1)</f>
        <v>2.5295136306528314</v>
      </c>
      <c r="F66" s="271">
        <f>_xlfn.FORECAST.ETS(DATE(2025,1,1),F$59:F$65,$B$59:$B$65,1,1)+_xlfn.FORECAST.ETS.CONFINT(DATE(2025,1,1),F$59:F$65,$B$59:$B$65,$A$2,1)</f>
        <v>0.68091023289306174</v>
      </c>
      <c r="G66" s="271">
        <f>_xlfn.FORECAST.ETS(DATE(2025,1,1),G$59:G$65,$B$59:$B$65,1,1)+_xlfn.FORECAST.ETS.CONFINT(DATE(2025,1,1),G$59:G$65,$B$59:$B$65,$A$2,1)</f>
        <v>0.49148642483589833</v>
      </c>
      <c r="H66" s="271">
        <f>_xlfn.FORECAST.ETS(DATE(2025,1,1),H$59:H$65,$B$59:$B$65,1,1)+_xlfn.FORECAST.ETS.CONFINT(DATE(2025,1,1),H$59:H$65,$B$59:$B$65,$A$2,1)</f>
        <v>1085.0356896638102</v>
      </c>
      <c r="I66" s="272"/>
      <c r="J66" s="271">
        <f>_xlfn.FORECAST.ETS(DATE(2025,1,1),J$59:J$65,$B$59:$B$65,1,1)+_xlfn.FORECAST.ETS.CONFINT(DATE(2025,1,1),J$59:J$65,$B$59:$B$65,$A$2,1)</f>
        <v>16.311318205629398</v>
      </c>
      <c r="K66" s="271">
        <f>_xlfn.FORECAST.ETS(DATE(2025,1,1),K$59:K$65,$B$59:$B$65,1,1)+_xlfn.FORECAST.ETS.CONFINT(DATE(2025,1,1),K$59:K$65,$B$59:$B$65,$A$2,1)</f>
        <v>1.5920219650532108</v>
      </c>
      <c r="L66" s="271">
        <f>_xlfn.FORECAST.ETS(DATE(2025,1,1),L$59:L$65,$B$59:$B$65,1,1)+_xlfn.FORECAST.ETS.CONFINT(DATE(2025,1,1),L$59:L$65,$B$59:$B$65,$A$2,1)</f>
        <v>0.20819690531810911</v>
      </c>
      <c r="M66" s="271">
        <f>_xlfn.FORECAST.ETS(DATE(2025,1,1),M$59:M$65,$B$59:$B$65,1,1)+_xlfn.FORECAST.ETS.CONFINT(DATE(2025,1,1),M$59:M$65,$B$59:$B$65,$A$2,1)</f>
        <v>0.70316176312005885</v>
      </c>
      <c r="N66" s="271">
        <f>_xlfn.FORECAST.ETS(DATE(2025,1,1),N$59:N$65,$B$59:$B$65,1,1)+_xlfn.FORECAST.ETS.CONFINT(DATE(2025,1,1),N$59:N$65,$B$59:$B$65,$A$2,1)</f>
        <v>0.44936943510783162</v>
      </c>
      <c r="O66" s="272"/>
      <c r="P66" s="272"/>
      <c r="Q66" s="273">
        <f>_xlfn.FORECAST.ETS(DATE(2025,1,1),Q$59:Q$65,$B$59:$B$65,1,1)+_xlfn.FORECAST.ETS.CONFINT(DATE(2025,1,1),Q$59:Q$65,$B$59:$B$65,$A$2,1)</f>
        <v>0.23329032378412384</v>
      </c>
      <c r="R66" s="273">
        <f>_xlfn.FORECAST.ETS(DATE(2025,1,1),R$59:R$65,$B$59:$B$65,1,1)+_xlfn.FORECAST.ETS.CONFINT(DATE(2025,1,1),R$59:R$65,$B$59:$B$65,$A$2,1)</f>
        <v>0.24540072717789727</v>
      </c>
      <c r="S66" s="273">
        <f>_xlfn.FORECAST.ETS(DATE(2025,1,1),S$59:S$65,$B$59:$B$65,1,1)+_xlfn.FORECAST.ETS.CONFINT(DATE(2025,1,1),S$59:S$65,$B$59:$B$65,$A$2,1)</f>
        <v>0.27677512065281645</v>
      </c>
      <c r="T66" s="273">
        <f>_xlfn.FORECAST.ETS(DATE(2025,1,1),T$59:T$65,$B$59:$B$65,1,1)+_xlfn.FORECAST.ETS.CONFINT(DATE(2025,1,1),T$59:T$65,$B$59:$B$65,$A$2,1)</f>
        <v>0.24820507613975595</v>
      </c>
      <c r="U66" s="273">
        <f>_xlfn.FORECAST.ETS(DATE(2025,1,1),U$59:U$65,$B$59:$B$65,1,1)+_xlfn.FORECAST.ETS.CONFINT(DATE(2025,1,1),U$59:U$65,$B$59:$B$65,$A$2,1)</f>
        <v>0.27677532026009521</v>
      </c>
      <c r="V66" s="269"/>
    </row>
    <row r="67" spans="2:31" ht="15.75" thickBot="1">
      <c r="B67" s="22">
        <v>43344</v>
      </c>
      <c r="C67">
        <f t="shared" ref="C67:C98" si="28">MONTH(DATE(YEAR(B67),MONTH(B67),DAY(B67)))</f>
        <v>9</v>
      </c>
      <c r="D67" s="9">
        <v>16.932021899999999</v>
      </c>
      <c r="E67" s="9">
        <v>2.2488299</v>
      </c>
      <c r="F67" s="9">
        <v>0.59167930000000002</v>
      </c>
      <c r="G67" s="10">
        <v>0.43624878</v>
      </c>
      <c r="H67" s="11">
        <v>716.25</v>
      </c>
      <c r="J67" s="2">
        <v>12.23</v>
      </c>
      <c r="K67" s="2">
        <v>1.0820000000000001</v>
      </c>
      <c r="L67" s="2">
        <v>7.4480000000000005E-2</v>
      </c>
      <c r="M67" s="2">
        <v>0.49232999999999999</v>
      </c>
      <c r="N67" s="2">
        <v>0.30288999999999999</v>
      </c>
      <c r="O67" s="53" t="s">
        <v>202</v>
      </c>
      <c r="P67" s="53" t="s">
        <v>203</v>
      </c>
      <c r="Q67" s="269">
        <f t="shared" ref="Q67:Q73" si="29">IFERROR(1-J67/D67,"")</f>
        <v>0.27769996564911126</v>
      </c>
      <c r="R67" s="269">
        <f t="shared" ref="R67:S73" si="30">IFERROR(1-(K67+M67)/E67,"")</f>
        <v>0.29993371219406151</v>
      </c>
      <c r="S67" s="269">
        <f t="shared" si="30"/>
        <v>0.36220516756290111</v>
      </c>
      <c r="T67" s="269">
        <f t="shared" si="8"/>
        <v>0.31327961513535796</v>
      </c>
      <c r="U67" s="269">
        <f t="shared" ref="U67:U73" si="31">IFERROR(LARGE(Q67:S67,1),"")</f>
        <v>0.36220516756290111</v>
      </c>
      <c r="V67" s="269"/>
    </row>
    <row r="68" spans="2:31">
      <c r="B68" s="21">
        <v>43709</v>
      </c>
      <c r="C68">
        <f t="shared" si="28"/>
        <v>9</v>
      </c>
      <c r="D68" s="9">
        <v>15.880369</v>
      </c>
      <c r="E68" s="9">
        <v>2.2957263999999999</v>
      </c>
      <c r="F68" s="9">
        <v>0.62477740000000004</v>
      </c>
      <c r="G68" s="10">
        <v>0.45185330000000001</v>
      </c>
      <c r="H68" s="11">
        <v>741.75</v>
      </c>
      <c r="J68" s="2">
        <v>11.31</v>
      </c>
      <c r="K68" s="2">
        <v>1.1124000000000001</v>
      </c>
      <c r="L68" s="2">
        <v>0.10686</v>
      </c>
      <c r="M68" s="2">
        <v>0.49095</v>
      </c>
      <c r="N68" s="2">
        <v>0.30643999999999999</v>
      </c>
      <c r="O68" s="53" t="s">
        <v>190</v>
      </c>
      <c r="P68" s="53" t="s">
        <v>191</v>
      </c>
      <c r="Q68" s="269">
        <f t="shared" si="29"/>
        <v>0.28779992454835268</v>
      </c>
      <c r="R68" s="269">
        <f t="shared" si="30"/>
        <v>0.30159360453405937</v>
      </c>
      <c r="S68" s="269">
        <f t="shared" si="30"/>
        <v>0.33848439460198143</v>
      </c>
      <c r="T68" s="269">
        <f t="shared" si="8"/>
        <v>0.30929264122813116</v>
      </c>
      <c r="U68" s="269">
        <f t="shared" si="31"/>
        <v>0.33848439460198143</v>
      </c>
      <c r="V68" s="269"/>
    </row>
    <row r="69" spans="2:31">
      <c r="B69" s="22">
        <v>44075</v>
      </c>
      <c r="C69">
        <f t="shared" si="28"/>
        <v>9</v>
      </c>
      <c r="D69" s="9">
        <v>16.8874165</v>
      </c>
      <c r="E69" s="9">
        <v>2.2151350000000001</v>
      </c>
      <c r="F69" s="9">
        <v>0.50514610000000004</v>
      </c>
      <c r="G69" s="10">
        <v>0.3737858</v>
      </c>
      <c r="H69" s="11">
        <v>766.75</v>
      </c>
      <c r="J69" s="2">
        <v>12.24</v>
      </c>
      <c r="K69" s="2">
        <v>1.17466</v>
      </c>
      <c r="L69" s="2">
        <v>0.10975</v>
      </c>
      <c r="M69" s="2">
        <v>0.43086999999999998</v>
      </c>
      <c r="N69" s="2">
        <v>0.25638</v>
      </c>
      <c r="O69" s="53" t="s">
        <v>192</v>
      </c>
      <c r="P69" s="53" t="s">
        <v>193</v>
      </c>
      <c r="Q69" s="269">
        <f t="shared" si="29"/>
        <v>0.27519996916046929</v>
      </c>
      <c r="R69" s="269">
        <f t="shared" si="30"/>
        <v>0.27519993138115739</v>
      </c>
      <c r="S69" s="269">
        <f t="shared" si="30"/>
        <v>0.275199788734388</v>
      </c>
      <c r="T69" s="269">
        <f t="shared" si="8"/>
        <v>0.27519989642533821</v>
      </c>
      <c r="U69" s="269">
        <f t="shared" si="31"/>
        <v>0.27519996916046929</v>
      </c>
      <c r="V69" s="269"/>
    </row>
    <row r="70" spans="2:31">
      <c r="B70" s="21">
        <v>44440</v>
      </c>
      <c r="C70">
        <f t="shared" si="28"/>
        <v>9</v>
      </c>
      <c r="D70" s="9">
        <v>21.718471900000001</v>
      </c>
      <c r="E70" s="9">
        <v>2.4748739999999998</v>
      </c>
      <c r="F70" s="9">
        <v>0.65944060000000004</v>
      </c>
      <c r="G70" s="10">
        <v>0.32972699999999999</v>
      </c>
      <c r="H70" s="11">
        <v>766.75</v>
      </c>
      <c r="J70" s="2">
        <v>16</v>
      </c>
      <c r="K70" s="2">
        <v>1.30555</v>
      </c>
      <c r="L70" s="2">
        <v>0.11298</v>
      </c>
      <c r="M70" s="2">
        <v>0.37569000000000002</v>
      </c>
      <c r="N70" s="2">
        <v>0.23083000000000001</v>
      </c>
      <c r="O70" s="53" t="s">
        <v>194</v>
      </c>
      <c r="P70" s="53" t="s">
        <v>195</v>
      </c>
      <c r="Q70" s="269">
        <f t="shared" si="29"/>
        <v>0.26329991936495312</v>
      </c>
      <c r="R70" s="269">
        <f t="shared" si="30"/>
        <v>0.3206765273706863</v>
      </c>
      <c r="S70" s="269">
        <f t="shared" si="30"/>
        <v>0.47863386027490573</v>
      </c>
      <c r="T70" s="269">
        <f t="shared" si="8"/>
        <v>0.35420343567018175</v>
      </c>
      <c r="U70" s="269">
        <f t="shared" si="31"/>
        <v>0.47863386027490573</v>
      </c>
      <c r="V70" s="269"/>
    </row>
    <row r="71" spans="2:31">
      <c r="B71" s="21">
        <v>44805</v>
      </c>
      <c r="C71">
        <f t="shared" si="28"/>
        <v>9</v>
      </c>
      <c r="D71" s="13">
        <v>14.613910300000001</v>
      </c>
      <c r="E71" s="13">
        <v>2.2389147999999999</v>
      </c>
      <c r="F71" s="25">
        <v>0.52805340000000001</v>
      </c>
      <c r="G71" s="10">
        <v>0.38658569999999998</v>
      </c>
      <c r="H71" s="14">
        <v>895.03</v>
      </c>
      <c r="J71" s="2">
        <v>11.45</v>
      </c>
      <c r="K71" s="2">
        <v>1.2948</v>
      </c>
      <c r="L71" s="2">
        <v>0.12506999999999999</v>
      </c>
      <c r="M71" s="2">
        <v>0.45939000000000002</v>
      </c>
      <c r="N71" s="2">
        <v>0.28866000000000003</v>
      </c>
      <c r="O71" s="53" t="s">
        <v>196</v>
      </c>
      <c r="P71" s="53" t="s">
        <v>197</v>
      </c>
      <c r="Q71" s="269">
        <f t="shared" si="29"/>
        <v>0.21649991241563871</v>
      </c>
      <c r="R71" s="269">
        <f t="shared" si="30"/>
        <v>0.21649988646285245</v>
      </c>
      <c r="S71" s="269">
        <f t="shared" si="30"/>
        <v>0.21649969491721854</v>
      </c>
      <c r="T71" s="269">
        <f t="shared" si="8"/>
        <v>0.21649983126523656</v>
      </c>
      <c r="U71" s="269">
        <f t="shared" si="31"/>
        <v>0.21649991241563871</v>
      </c>
      <c r="V71" s="269"/>
    </row>
    <row r="72" spans="2:31">
      <c r="B72" s="22">
        <v>45170</v>
      </c>
      <c r="C72">
        <f t="shared" si="28"/>
        <v>9</v>
      </c>
      <c r="D72" s="9">
        <v>16.152044400000001</v>
      </c>
      <c r="E72" s="9">
        <v>2.5124792</v>
      </c>
      <c r="F72" s="9">
        <v>0.68613109999999999</v>
      </c>
      <c r="G72" s="10">
        <v>0.4580034</v>
      </c>
      <c r="H72" s="11">
        <v>948.46</v>
      </c>
      <c r="J72" s="2">
        <v>12.45</v>
      </c>
      <c r="K72" s="2">
        <v>1.39354</v>
      </c>
      <c r="L72" s="2">
        <v>0.19312000000000001</v>
      </c>
      <c r="M72" s="2">
        <v>0.54308000000000001</v>
      </c>
      <c r="N72" s="2">
        <v>0.33574999999999999</v>
      </c>
      <c r="O72" s="53" t="s">
        <v>198</v>
      </c>
      <c r="P72" s="53" t="s">
        <v>199</v>
      </c>
      <c r="Q72" s="269">
        <f t="shared" si="29"/>
        <v>0.2291997414271596</v>
      </c>
      <c r="R72" s="269">
        <f t="shared" si="30"/>
        <v>0.22919958899560244</v>
      </c>
      <c r="S72" s="269">
        <f t="shared" si="30"/>
        <v>0.22919978412288855</v>
      </c>
      <c r="T72" s="269">
        <f t="shared" si="8"/>
        <v>0.22919970484855021</v>
      </c>
      <c r="U72" s="269">
        <f t="shared" si="31"/>
        <v>0.22919978412288855</v>
      </c>
      <c r="V72" s="269"/>
    </row>
    <row r="73" spans="2:31" ht="15.75" thickBot="1">
      <c r="B73" s="21">
        <v>45536</v>
      </c>
      <c r="C73">
        <f t="shared" si="28"/>
        <v>9</v>
      </c>
      <c r="D73" s="6"/>
      <c r="E73" s="6"/>
      <c r="F73" s="6"/>
      <c r="G73" s="8"/>
      <c r="H73" s="7"/>
      <c r="J73" s="2">
        <v>14.84</v>
      </c>
      <c r="K73" s="2">
        <v>1.55124</v>
      </c>
      <c r="L73" s="2">
        <v>0.17693999999999999</v>
      </c>
      <c r="M73" s="2">
        <v>0.62168999999999996</v>
      </c>
      <c r="N73" s="2">
        <v>0.39396999999999999</v>
      </c>
      <c r="O73" s="53" t="s">
        <v>200</v>
      </c>
      <c r="P73" s="53" t="s">
        <v>201</v>
      </c>
      <c r="Q73" s="269" t="str">
        <f t="shared" si="29"/>
        <v/>
      </c>
      <c r="R73" s="269" t="str">
        <f t="shared" si="30"/>
        <v/>
      </c>
      <c r="S73" s="269" t="str">
        <f t="shared" si="30"/>
        <v/>
      </c>
      <c r="T73" s="269" t="str">
        <f t="shared" si="8"/>
        <v/>
      </c>
      <c r="U73" s="269" t="str">
        <f t="shared" si="31"/>
        <v/>
      </c>
      <c r="V73" s="269"/>
    </row>
    <row r="74" spans="2:31" ht="15.75" thickBot="1">
      <c r="B74" s="24">
        <v>45901</v>
      </c>
      <c r="C74" s="270">
        <f t="shared" si="28"/>
        <v>9</v>
      </c>
      <c r="D74" s="271">
        <f>_xlfn.FORECAST.ETS(DATE(2025,1,1),D$67:D$73,$B$67:$B$73,1,1)+_xlfn.FORECAST.ETS.CONFINT(DATE(2025,1,1),D$67:D$73,$B$67:$B$73,$A$2,1)</f>
        <v>20.661330343662783</v>
      </c>
      <c r="E74" s="271">
        <f>_xlfn.FORECAST.ETS(DATE(2025,1,1),E$67:E$73,$B$67:$B$73,1,1)+_xlfn.FORECAST.ETS.CONFINT(DATE(2025,1,1),E$67:E$73,$B$67:$B$73,$A$2,1)</f>
        <v>2.5950744233082856</v>
      </c>
      <c r="F74" s="271">
        <f>_xlfn.FORECAST.ETS(DATE(2025,1,1),F$67:F$73,$B$67:$B$73,1,1)+_xlfn.FORECAST.ETS.CONFINT(DATE(2025,1,1),F$67:F$73,$B$67:$B$73,$A$2,1)</f>
        <v>0.69986554376321519</v>
      </c>
      <c r="G74" s="271">
        <f>_xlfn.FORECAST.ETS(DATE(2025,1,1),G$67:G$73,$B$67:$B$73,1,1)+_xlfn.FORECAST.ETS.CONFINT(DATE(2025,1,1),G$67:G$73,$B$67:$B$73,$A$2,1)</f>
        <v>0.51700477368782616</v>
      </c>
      <c r="H74" s="271">
        <f>_xlfn.FORECAST.ETS(DATE(2025,1,1),H$67:H$73,$B$67:$B$73,1,1)+_xlfn.FORECAST.ETS.CONFINT(DATE(2025,1,1),H$67:H$73,$B$67:$B$73,$A$2,1)</f>
        <v>1080.0875914895498</v>
      </c>
      <c r="I74" s="272"/>
      <c r="J74" s="271">
        <f>_xlfn.FORECAST.ETS(DATE(2025,1,1),J$67:J$73,$B$67:$B$73,1,1)+_xlfn.FORECAST.ETS.CONFINT(DATE(2025,1,1),J$67:J$73,$B$67:$B$73,$A$2,1)</f>
        <v>16.073881482097409</v>
      </c>
      <c r="K74" s="271">
        <f>_xlfn.FORECAST.ETS(DATE(2025,1,1),K$67:K$73,$B$67:$B$73,1,1)+_xlfn.FORECAST.ETS.CONFINT(DATE(2025,1,1),K$67:K$73,$B$67:$B$73,$A$2,1)</f>
        <v>1.5796329573792629</v>
      </c>
      <c r="L74" s="271">
        <f>_xlfn.FORECAST.ETS(DATE(2025,1,1),L$67:L$73,$B$67:$B$73,1,1)+_xlfn.FORECAST.ETS.CONFINT(DATE(2025,1,1),L$67:L$73,$B$67:$B$73,$A$2,1)</f>
        <v>0.20453742145793918</v>
      </c>
      <c r="M74" s="271">
        <f>_xlfn.FORECAST.ETS(DATE(2025,1,1),M$67:M$73,$B$67:$B$73,1,1)+_xlfn.FORECAST.ETS.CONFINT(DATE(2025,1,1),M$67:M$73,$B$67:$B$73,$A$2,1)</f>
        <v>0.69369610627560552</v>
      </c>
      <c r="N74" s="271">
        <f>_xlfn.FORECAST.ETS(DATE(2025,1,1),N$67:N$73,$B$67:$B$73,1,1)+_xlfn.FORECAST.ETS.CONFINT(DATE(2025,1,1),N$67:N$73,$B$67:$B$73,$A$2,1)</f>
        <v>0.44291868975606208</v>
      </c>
      <c r="O74" s="272"/>
      <c r="P74" s="272"/>
      <c r="Q74" s="273">
        <f>_xlfn.FORECAST.ETS(DATE(2025,1,1),Q$67:Q$73,$B$67:$B$73,1,1)+_xlfn.FORECAST.ETS.CONFINT(DATE(2025,1,1),Q$67:Q$73,$B$67:$B$73,$A$2,1)</f>
        <v>0.22358350283748935</v>
      </c>
      <c r="R74" s="273">
        <f>_xlfn.FORECAST.ETS(DATE(2025,1,1),R$67:R$73,$B$67:$B$73,1,1)+_xlfn.FORECAST.ETS.CONFINT(DATE(2025,1,1),R$67:R$73,$B$67:$B$73,$A$2,1)</f>
        <v>0.23929338326677868</v>
      </c>
      <c r="S74" s="273">
        <f>_xlfn.FORECAST.ETS(DATE(2025,1,1),S$67:S$73,$B$67:$B$73,1,1)+_xlfn.FORECAST.ETS.CONFINT(DATE(2025,1,1),S$67:S$73,$B$67:$B$73,$A$2,1)</f>
        <v>0.36443370709483647</v>
      </c>
      <c r="T74" s="273">
        <f>_xlfn.FORECAST.ETS(DATE(2025,1,1),T$67:T$73,$B$67:$B$73,1,1)+_xlfn.FORECAST.ETS.CONFINT(DATE(2025,1,1),T$67:T$73,$B$67:$B$73,$A$2,1)</f>
        <v>0.25571739338795474</v>
      </c>
      <c r="U74" s="273">
        <f>_xlfn.FORECAST.ETS(DATE(2025,1,1),U$67:U$73,$B$67:$B$73,1,1)+_xlfn.FORECAST.ETS.CONFINT(DATE(2025,1,1),U$67:U$73,$B$67:$B$73,$A$2,1)</f>
        <v>0.36443369428746164</v>
      </c>
      <c r="V74" s="269"/>
    </row>
    <row r="75" spans="2:31" ht="15.75" thickBot="1">
      <c r="B75" s="22">
        <v>43009</v>
      </c>
      <c r="C75">
        <f t="shared" si="28"/>
        <v>10</v>
      </c>
      <c r="D75" s="6"/>
      <c r="E75" s="6"/>
      <c r="F75" s="6"/>
      <c r="G75" s="27"/>
      <c r="H75" s="7"/>
      <c r="J75" s="2">
        <v>12.29</v>
      </c>
      <c r="K75" s="2">
        <v>1.07572</v>
      </c>
      <c r="L75" s="2">
        <v>6.6460000000000005E-2</v>
      </c>
      <c r="M75" s="2">
        <v>0.42659999999999998</v>
      </c>
      <c r="N75" s="2">
        <v>0.27088000000000001</v>
      </c>
      <c r="O75" s="53" t="s">
        <v>188</v>
      </c>
      <c r="P75" s="53" t="s">
        <v>189</v>
      </c>
      <c r="Q75" s="269" t="str">
        <f t="shared" ref="Q75:Q82" si="32">IFERROR(1-J75/D75,"")</f>
        <v/>
      </c>
      <c r="R75" s="269" t="str">
        <f t="shared" ref="R75:S82" si="33">IFERROR(1-(K75+M75)/E75,"")</f>
        <v/>
      </c>
      <c r="S75" s="269" t="str">
        <f t="shared" si="33"/>
        <v/>
      </c>
      <c r="T75" s="269" t="str">
        <f t="shared" si="8"/>
        <v/>
      </c>
      <c r="U75" s="269" t="str">
        <f>IFERROR(AVERAGE(Q75:S75),"")</f>
        <v/>
      </c>
      <c r="V75" s="269"/>
    </row>
    <row r="76" spans="2:31">
      <c r="B76" s="21">
        <v>43374</v>
      </c>
      <c r="C76">
        <f t="shared" si="28"/>
        <v>10</v>
      </c>
      <c r="D76" s="9">
        <v>16.741956299999998</v>
      </c>
      <c r="E76" s="9">
        <v>2.2235863</v>
      </c>
      <c r="F76" s="9">
        <v>0.58503749999999999</v>
      </c>
      <c r="G76" s="10">
        <v>0.44424277000000001</v>
      </c>
      <c r="H76" s="11">
        <v>716.25</v>
      </c>
      <c r="J76" s="2">
        <v>11.31</v>
      </c>
      <c r="K76" s="2">
        <v>1.1124000000000001</v>
      </c>
      <c r="L76" s="2">
        <v>0.10686</v>
      </c>
      <c r="M76" s="2">
        <v>0.49095</v>
      </c>
      <c r="N76" s="2">
        <v>0.30643999999999999</v>
      </c>
      <c r="O76" s="53" t="s">
        <v>190</v>
      </c>
      <c r="P76" s="53" t="s">
        <v>191</v>
      </c>
      <c r="Q76" s="269">
        <f t="shared" si="32"/>
        <v>0.3244517069967503</v>
      </c>
      <c r="R76" s="269">
        <f t="shared" si="33"/>
        <v>0.27893511486376754</v>
      </c>
      <c r="S76" s="269">
        <f t="shared" si="33"/>
        <v>0.29354955878896649</v>
      </c>
      <c r="T76" s="269">
        <f t="shared" ref="T76:T100" si="34">IFERROR(AVERAGE(Q76:S76),"")</f>
        <v>0.29897879354982809</v>
      </c>
      <c r="U76" s="269">
        <f t="shared" ref="U76:U82" si="35">IFERROR(LARGE(Q76:S76,1),"")</f>
        <v>0.3244517069967503</v>
      </c>
      <c r="V76" s="269"/>
      <c r="AE76" s="269">
        <v>9.3200000000000005E-2</v>
      </c>
    </row>
    <row r="77" spans="2:31">
      <c r="B77" s="21">
        <v>43739</v>
      </c>
      <c r="C77">
        <f t="shared" si="28"/>
        <v>10</v>
      </c>
      <c r="D77" s="9">
        <v>16.845825699999999</v>
      </c>
      <c r="E77" s="9">
        <v>2.3024338000000002</v>
      </c>
      <c r="F77" s="9">
        <v>0.57416140000000004</v>
      </c>
      <c r="G77" s="10">
        <v>0.40873779999999998</v>
      </c>
      <c r="H77" s="11">
        <v>741.75</v>
      </c>
      <c r="J77" s="2">
        <v>12.24</v>
      </c>
      <c r="K77" s="2">
        <v>1.17466</v>
      </c>
      <c r="L77" s="2">
        <v>0.10975</v>
      </c>
      <c r="M77" s="2">
        <v>0.43086999999999998</v>
      </c>
      <c r="N77" s="2">
        <v>0.25638</v>
      </c>
      <c r="O77" s="53" t="s">
        <v>192</v>
      </c>
      <c r="P77" s="53" t="s">
        <v>193</v>
      </c>
      <c r="Q77" s="269">
        <f t="shared" si="32"/>
        <v>0.27341050430077751</v>
      </c>
      <c r="R77" s="269">
        <f t="shared" si="33"/>
        <v>0.3026813626519903</v>
      </c>
      <c r="S77" s="269">
        <f t="shared" si="33"/>
        <v>0.36232216237455184</v>
      </c>
      <c r="T77" s="269">
        <f t="shared" si="34"/>
        <v>0.31280467644243987</v>
      </c>
      <c r="U77" s="269">
        <f t="shared" si="35"/>
        <v>0.36232216237455184</v>
      </c>
      <c r="V77" s="269"/>
    </row>
    <row r="78" spans="2:31">
      <c r="B78" s="22">
        <v>44105</v>
      </c>
      <c r="C78">
        <f t="shared" si="28"/>
        <v>10</v>
      </c>
      <c r="D78" s="9">
        <v>20.284867200000001</v>
      </c>
      <c r="E78" s="9">
        <v>2.2939503999999999</v>
      </c>
      <c r="F78" s="9">
        <v>0.48833779999999999</v>
      </c>
      <c r="G78" s="10">
        <v>0.35124889999999998</v>
      </c>
      <c r="H78" s="11">
        <v>766.75</v>
      </c>
      <c r="J78" s="2">
        <v>16</v>
      </c>
      <c r="K78" s="2">
        <v>1.30555</v>
      </c>
      <c r="L78" s="2">
        <v>0.11298</v>
      </c>
      <c r="M78" s="2">
        <v>0.37569000000000002</v>
      </c>
      <c r="N78" s="2">
        <v>0.23083000000000001</v>
      </c>
      <c r="O78" s="53" t="s">
        <v>194</v>
      </c>
      <c r="P78" s="53" t="s">
        <v>195</v>
      </c>
      <c r="Q78" s="269">
        <f t="shared" si="32"/>
        <v>0.21123466857106177</v>
      </c>
      <c r="R78" s="269">
        <f t="shared" si="33"/>
        <v>0.26709836446332924</v>
      </c>
      <c r="S78" s="269">
        <f t="shared" si="33"/>
        <v>0.29595865812558431</v>
      </c>
      <c r="T78" s="269">
        <f t="shared" si="34"/>
        <v>0.25809723038665844</v>
      </c>
      <c r="U78" s="269">
        <f t="shared" si="35"/>
        <v>0.29595865812558431</v>
      </c>
      <c r="V78" s="269"/>
    </row>
    <row r="79" spans="2:31">
      <c r="B79" s="21">
        <v>44470</v>
      </c>
      <c r="C79">
        <f t="shared" si="28"/>
        <v>10</v>
      </c>
      <c r="D79" s="9">
        <v>20.0299117</v>
      </c>
      <c r="E79" s="9">
        <v>2.5746661999999998</v>
      </c>
      <c r="F79" s="9">
        <v>0.7109721</v>
      </c>
      <c r="G79" s="10">
        <v>0.36785449999999997</v>
      </c>
      <c r="H79" s="11">
        <v>766.75</v>
      </c>
      <c r="J79" s="2">
        <v>11.45</v>
      </c>
      <c r="K79" s="2">
        <v>1.2948</v>
      </c>
      <c r="L79" s="2">
        <v>0.12506999999999999</v>
      </c>
      <c r="M79" s="2">
        <v>0.45939000000000002</v>
      </c>
      <c r="N79" s="2">
        <v>0.28866000000000003</v>
      </c>
      <c r="O79" s="53" t="s">
        <v>196</v>
      </c>
      <c r="P79" s="53" t="s">
        <v>197</v>
      </c>
      <c r="Q79" s="269">
        <f t="shared" si="32"/>
        <v>0.42835494377141969</v>
      </c>
      <c r="R79" s="269">
        <f t="shared" si="33"/>
        <v>0.31867284388166506</v>
      </c>
      <c r="S79" s="269">
        <f t="shared" si="33"/>
        <v>0.41807843092577046</v>
      </c>
      <c r="T79" s="269">
        <f t="shared" si="34"/>
        <v>0.38836873952628509</v>
      </c>
      <c r="U79" s="269">
        <f t="shared" si="35"/>
        <v>0.42835494377141969</v>
      </c>
      <c r="V79" s="269"/>
    </row>
    <row r="80" spans="2:31">
      <c r="B80" s="22">
        <v>44835</v>
      </c>
      <c r="C80">
        <f t="shared" si="28"/>
        <v>10</v>
      </c>
      <c r="D80" s="9">
        <v>15.089613</v>
      </c>
      <c r="E80" s="9">
        <v>2.3117945</v>
      </c>
      <c r="F80" s="9">
        <v>0.54524229999999996</v>
      </c>
      <c r="G80" s="10">
        <v>0.39916960000000001</v>
      </c>
      <c r="H80" s="11">
        <v>895.03</v>
      </c>
      <c r="J80" s="2">
        <v>11.45</v>
      </c>
      <c r="K80" s="2">
        <v>1.2948</v>
      </c>
      <c r="L80" s="2">
        <v>0.12506999999999999</v>
      </c>
      <c r="M80" s="2">
        <v>0.45939000000000002</v>
      </c>
      <c r="N80" s="2">
        <v>0.28866000000000003</v>
      </c>
      <c r="O80" s="53" t="s">
        <v>204</v>
      </c>
      <c r="P80" s="53" t="s">
        <v>205</v>
      </c>
      <c r="Q80" s="269">
        <f t="shared" si="32"/>
        <v>0.24119989028214317</v>
      </c>
      <c r="R80" s="269">
        <f t="shared" si="33"/>
        <v>0.24119985578302916</v>
      </c>
      <c r="S80" s="269">
        <f t="shared" si="33"/>
        <v>0.24119973817145135</v>
      </c>
      <c r="T80" s="269">
        <f t="shared" si="34"/>
        <v>0.24119982807887455</v>
      </c>
      <c r="U80" s="269">
        <f t="shared" si="35"/>
        <v>0.24119989028214317</v>
      </c>
      <c r="V80" s="269"/>
    </row>
    <row r="81" spans="2:22">
      <c r="B81" s="21">
        <v>45200</v>
      </c>
      <c r="C81">
        <f t="shared" si="28"/>
        <v>10</v>
      </c>
      <c r="D81" s="9">
        <v>16.818077800000001</v>
      </c>
      <c r="E81" s="9">
        <v>2.5552947000000001</v>
      </c>
      <c r="F81" s="9">
        <v>0.68772880000000003</v>
      </c>
      <c r="G81" s="18"/>
      <c r="H81" s="11">
        <v>948.46</v>
      </c>
      <c r="J81" s="2">
        <v>12.45</v>
      </c>
      <c r="K81" s="2">
        <v>1.39354</v>
      </c>
      <c r="L81" s="2">
        <v>0.19312000000000001</v>
      </c>
      <c r="M81" s="2">
        <v>0.54308000000000001</v>
      </c>
      <c r="N81" s="2">
        <v>0.33574999999999999</v>
      </c>
      <c r="O81" s="53" t="s">
        <v>198</v>
      </c>
      <c r="P81" s="53" t="s">
        <v>199</v>
      </c>
      <c r="Q81" s="269">
        <f t="shared" si="32"/>
        <v>0.25972515122982731</v>
      </c>
      <c r="R81" s="269">
        <f t="shared" si="33"/>
        <v>0.24211481360643061</v>
      </c>
      <c r="S81" s="269">
        <f t="shared" si="33"/>
        <v>0.23099047182552201</v>
      </c>
      <c r="T81" s="269">
        <f t="shared" si="34"/>
        <v>0.2442768122205933</v>
      </c>
      <c r="U81" s="269">
        <f t="shared" si="35"/>
        <v>0.25972515122982731</v>
      </c>
      <c r="V81" s="269"/>
    </row>
    <row r="82" spans="2:22" ht="15.75" thickBot="1">
      <c r="B82" s="21">
        <v>45566</v>
      </c>
      <c r="C82">
        <f t="shared" si="28"/>
        <v>10</v>
      </c>
      <c r="D82" s="6"/>
      <c r="E82" s="6"/>
      <c r="F82" s="6"/>
      <c r="G82" s="18"/>
      <c r="H82" s="7"/>
      <c r="J82" s="2">
        <v>14.84</v>
      </c>
      <c r="K82" s="2">
        <v>1.55124</v>
      </c>
      <c r="L82" s="2">
        <v>0.17693999999999999</v>
      </c>
      <c r="M82" s="2">
        <v>0.62168999999999996</v>
      </c>
      <c r="N82" s="2">
        <v>0.39396999999999999</v>
      </c>
      <c r="O82" s="53" t="s">
        <v>200</v>
      </c>
      <c r="P82" s="53" t="s">
        <v>201</v>
      </c>
      <c r="Q82" s="269" t="str">
        <f t="shared" si="32"/>
        <v/>
      </c>
      <c r="R82" s="269" t="str">
        <f t="shared" si="33"/>
        <v/>
      </c>
      <c r="S82" s="269" t="str">
        <f t="shared" si="33"/>
        <v/>
      </c>
      <c r="T82" s="269" t="str">
        <f t="shared" si="34"/>
        <v/>
      </c>
      <c r="U82" s="269" t="str">
        <f t="shared" si="35"/>
        <v/>
      </c>
      <c r="V82" s="269"/>
    </row>
    <row r="83" spans="2:22" ht="15.75" thickBot="1">
      <c r="B83" s="24">
        <v>45931</v>
      </c>
      <c r="C83" s="270">
        <f t="shared" si="28"/>
        <v>10</v>
      </c>
      <c r="D83" s="271">
        <f>_xlfn.FORECAST.ETS(DATE(2025,1,1),D$76:D$82,$B$76:$B$82,1,1)+_xlfn.FORECAST.ETS.CONFINT(DATE(2025,1,1),D$76:D$82,$B$76:$B$82,$A$2,1)</f>
        <v>20.817125643673002</v>
      </c>
      <c r="E83" s="271">
        <f>_xlfn.FORECAST.ETS(DATE(2025,1,1),E$76:E$82,$B$76:$B$82,1,1)+_xlfn.FORECAST.ETS.CONFINT(DATE(2025,1,1),E$76:E$82,$B$76:$B$82,$A$2,1)</f>
        <v>2.6694411515557062</v>
      </c>
      <c r="F83" s="271">
        <f>_xlfn.FORECAST.ETS(DATE(2025,1,1),F$76:F$82,$B$76:$B$82,1,1)+_xlfn.FORECAST.ETS.CONFINT(DATE(2025,1,1),F$76:F$82,$B$76:$B$82,$A$2,1)</f>
        <v>0.79106610731546623</v>
      </c>
      <c r="G83" s="271">
        <f>_xlfn.FORECAST.ETS(DATE(2025,1,1),G$76:G$82,$B$76:$B$82,1,1)+_xlfn.FORECAST.ETS.CONFINT(DATE(2025,1,1),G$76:G$82,$B$76:$B$82,$A$2,1)</f>
        <v>0.43192838217429175</v>
      </c>
      <c r="H83" s="271">
        <f>_xlfn.FORECAST.ETS(DATE(2025,1,1),H$76:H$82,$B$76:$B$82,1,1)+_xlfn.FORECAST.ETS.CONFINT(DATE(2025,1,1),H$76:H$82,$B$76:$B$82,$A$2,1)</f>
        <v>1075.291762571951</v>
      </c>
      <c r="I83" s="272"/>
      <c r="J83" s="271">
        <f>_xlfn.FORECAST.ETS(DATE(2025,1,1),J$76:J$82,$B$76:$B$82,1,1)+_xlfn.FORECAST.ETS.CONFINT(DATE(2025,1,1),J$76:J$82,$B$76:$B$82,$A$2,1)</f>
        <v>14.597349281023279</v>
      </c>
      <c r="K83" s="271">
        <f>_xlfn.FORECAST.ETS(DATE(2025,1,1),K$76:K$82,$B$76:$B$82,1,1)+_xlfn.FORECAST.ETS.CONFINT(DATE(2025,1,1),K$76:K$82,$B$76:$B$82,$A$2,1)</f>
        <v>1.5464757602610217</v>
      </c>
      <c r="L83" s="271">
        <f>_xlfn.FORECAST.ETS(DATE(2025,1,1),L$76:L$82,$B$76:$B$82,1,1)+_xlfn.FORECAST.ETS.CONFINT(DATE(2025,1,1),L$76:L$82,$B$76:$B$82,$A$2,1)</f>
        <v>0.20242491688946762</v>
      </c>
      <c r="M83" s="271">
        <f>_xlfn.FORECAST.ETS(DATE(2025,1,1),M$76:M$82,$B$76:$B$82,1,1)+_xlfn.FORECAST.ETS.CONFINT(DATE(2025,1,1),M$76:M$82,$B$76:$B$82,$A$2,1)</f>
        <v>0.68055365895867437</v>
      </c>
      <c r="N83" s="271">
        <f>_xlfn.FORECAST.ETS(DATE(2025,1,1),N$76:N$82,$B$76:$B$82,1,1)+_xlfn.FORECAST.ETS.CONFINT(DATE(2025,1,1),N$76:N$82,$B$76:$B$82,$A$2,1)</f>
        <v>0.43319635154853353</v>
      </c>
      <c r="O83" s="272"/>
      <c r="P83" s="272"/>
      <c r="Q83" s="273">
        <f>_xlfn.FORECAST.ETS(DATE(2025,1,1),Q$76:Q$82,$B$76:$B$82,1,1)+_xlfn.FORECAST.ETS.CONFINT(DATE(2025,1,1),Q$76:Q$82,$B$76:$B$82,$A$2,1)</f>
        <v>0.44738176624428244</v>
      </c>
      <c r="R83" s="273">
        <f>_xlfn.FORECAST.ETS(DATE(2025,1,1),R$76:R$82,$B$76:$B$82,1,1)+_xlfn.FORECAST.ETS.CONFINT(DATE(2025,1,1),R$76:R$82,$B$76:$B$82,$A$2,1)</f>
        <v>0.25825471053528076</v>
      </c>
      <c r="S83" s="273">
        <f>_xlfn.FORECAST.ETS(DATE(2025,1,1),S$76:S$82,$B$76:$B$82,1,1)+_xlfn.FORECAST.ETS.CONFINT(DATE(2025,1,1),S$76:S$82,$B$76:$B$82,$A$2,1)</f>
        <v>0.29011039771437475</v>
      </c>
      <c r="T83" s="273">
        <f>_xlfn.FORECAST.ETS(DATE(2025,1,1),T$76:T$82,$B$76:$B$82,1,1)+_xlfn.FORECAST.ETS.CONFINT(DATE(2025,1,1),T$76:T$82,$B$76:$B$82,$A$2,1)</f>
        <v>0.29749305216894006</v>
      </c>
      <c r="U83" s="273">
        <f>_xlfn.FORECAST.ETS(DATE(2025,1,1),U$76:U$82,$B$76:$B$82,1,1)+_xlfn.FORECAST.ETS.CONFINT(DATE(2025,1,1),U$76:U$82,$B$76:$B$82,$A$2,1)</f>
        <v>0.30392357340301146</v>
      </c>
    </row>
    <row r="84" spans="2:22" ht="15.75" thickBot="1">
      <c r="B84" s="22">
        <v>43040</v>
      </c>
      <c r="C84">
        <f t="shared" si="28"/>
        <v>11</v>
      </c>
      <c r="D84" s="6"/>
      <c r="E84" s="6"/>
      <c r="F84" s="6"/>
      <c r="G84" s="27"/>
      <c r="H84" s="7"/>
      <c r="J84" s="2">
        <v>12.29</v>
      </c>
      <c r="K84" s="2">
        <v>1.07572</v>
      </c>
      <c r="L84" s="2">
        <v>6.6460000000000005E-2</v>
      </c>
      <c r="M84" s="2">
        <v>0.42659999999999998</v>
      </c>
      <c r="N84" s="2">
        <v>0.27088000000000001</v>
      </c>
      <c r="O84" s="53" t="s">
        <v>188</v>
      </c>
      <c r="P84" s="53" t="s">
        <v>189</v>
      </c>
      <c r="Q84" s="269" t="str">
        <f t="shared" ref="Q84:Q90" si="36">IFERROR(1-J84/D84,"")</f>
        <v/>
      </c>
      <c r="R84" s="269" t="str">
        <f t="shared" ref="R84:S90" si="37">IFERROR(1-(K84+M84)/E84,"")</f>
        <v/>
      </c>
      <c r="S84" s="269" t="str">
        <f t="shared" si="37"/>
        <v/>
      </c>
      <c r="T84" s="269" t="str">
        <f t="shared" si="34"/>
        <v/>
      </c>
      <c r="U84" s="269" t="str">
        <f>IFERROR(AVERAGE(Q84:S84),"")</f>
        <v/>
      </c>
    </row>
    <row r="85" spans="2:22">
      <c r="B85" s="21">
        <v>43405</v>
      </c>
      <c r="C85">
        <f t="shared" si="28"/>
        <v>11</v>
      </c>
      <c r="D85" s="13">
        <v>16.1192001</v>
      </c>
      <c r="E85" s="13">
        <v>2.2581370000000001</v>
      </c>
      <c r="F85" s="13">
        <v>0.60624350000000005</v>
      </c>
      <c r="G85" s="10">
        <v>0.45058756</v>
      </c>
      <c r="H85" s="14">
        <v>716.25</v>
      </c>
      <c r="J85" s="2">
        <v>11.31</v>
      </c>
      <c r="K85" s="2">
        <v>1.1124000000000001</v>
      </c>
      <c r="L85" s="2">
        <v>0.10686</v>
      </c>
      <c r="M85" s="2">
        <v>0.49095</v>
      </c>
      <c r="N85" s="2">
        <v>0.30643999999999999</v>
      </c>
      <c r="O85" s="53" t="s">
        <v>190</v>
      </c>
      <c r="P85" s="53" t="s">
        <v>191</v>
      </c>
      <c r="Q85" s="269">
        <f t="shared" si="36"/>
        <v>0.29835227990004287</v>
      </c>
      <c r="R85" s="269">
        <f t="shared" si="37"/>
        <v>0.28996779203387568</v>
      </c>
      <c r="S85" s="269">
        <f t="shared" si="37"/>
        <v>0.3182607318676407</v>
      </c>
      <c r="T85" s="269">
        <f t="shared" si="34"/>
        <v>0.30219360126718642</v>
      </c>
      <c r="U85" s="269">
        <f t="shared" ref="U85:U90" si="38">IFERROR(LARGE(Q85:S85,1),"")</f>
        <v>0.3182607318676407</v>
      </c>
    </row>
    <row r="86" spans="2:22">
      <c r="B86" s="22">
        <v>43770</v>
      </c>
      <c r="C86">
        <f t="shared" si="28"/>
        <v>11</v>
      </c>
      <c r="D86" s="9">
        <v>17.334652999999999</v>
      </c>
      <c r="E86" s="9">
        <v>2.3186466000000001</v>
      </c>
      <c r="F86" s="9">
        <v>0.56337130000000002</v>
      </c>
      <c r="G86" s="10">
        <v>0.3836849</v>
      </c>
      <c r="H86" s="11">
        <v>741.75</v>
      </c>
      <c r="J86" s="2">
        <v>12.24</v>
      </c>
      <c r="K86" s="2">
        <v>1.17466</v>
      </c>
      <c r="L86" s="2">
        <v>0.10975</v>
      </c>
      <c r="M86" s="2">
        <v>0.43086999999999998</v>
      </c>
      <c r="N86" s="2">
        <v>0.25638</v>
      </c>
      <c r="O86" s="53" t="s">
        <v>192</v>
      </c>
      <c r="P86" s="53" t="s">
        <v>193</v>
      </c>
      <c r="Q86" s="269">
        <f t="shared" si="36"/>
        <v>0.29389991250473835</v>
      </c>
      <c r="R86" s="269">
        <f t="shared" si="37"/>
        <v>0.3075572620683118</v>
      </c>
      <c r="S86" s="269">
        <f t="shared" si="37"/>
        <v>0.35010888911096461</v>
      </c>
      <c r="T86" s="269">
        <f t="shared" si="34"/>
        <v>0.31718868789467158</v>
      </c>
      <c r="U86" s="269">
        <f t="shared" si="38"/>
        <v>0.35010888911096461</v>
      </c>
    </row>
    <row r="87" spans="2:22">
      <c r="B87" s="21">
        <v>44136</v>
      </c>
      <c r="C87">
        <f t="shared" si="28"/>
        <v>11</v>
      </c>
      <c r="D87" s="9">
        <v>22.352611700000001</v>
      </c>
      <c r="E87" s="9">
        <v>2.3768910000000001</v>
      </c>
      <c r="F87" s="9">
        <v>0.50845010000000002</v>
      </c>
      <c r="G87" s="15">
        <v>0.3393545</v>
      </c>
      <c r="H87" s="11">
        <v>766.75</v>
      </c>
      <c r="J87" s="2">
        <v>16</v>
      </c>
      <c r="K87" s="2">
        <v>1.30555</v>
      </c>
      <c r="L87" s="2">
        <v>0.11298</v>
      </c>
      <c r="M87" s="2">
        <v>0.37569000000000002</v>
      </c>
      <c r="N87" s="2">
        <v>0.23083000000000001</v>
      </c>
      <c r="O87" s="53" t="s">
        <v>194</v>
      </c>
      <c r="P87" s="53" t="s">
        <v>195</v>
      </c>
      <c r="Q87" s="269">
        <f t="shared" si="36"/>
        <v>0.28419997561179844</v>
      </c>
      <c r="R87" s="269">
        <f t="shared" si="37"/>
        <v>0.29267265516172181</v>
      </c>
      <c r="S87" s="269">
        <f t="shared" si="37"/>
        <v>0.32380778369401442</v>
      </c>
      <c r="T87" s="269">
        <f t="shared" si="34"/>
        <v>0.30022680482251157</v>
      </c>
      <c r="U87" s="269">
        <f t="shared" si="38"/>
        <v>0.32380778369401442</v>
      </c>
    </row>
    <row r="88" spans="2:22">
      <c r="B88" s="21">
        <v>44501</v>
      </c>
      <c r="C88">
        <f t="shared" si="28"/>
        <v>11</v>
      </c>
      <c r="D88" s="9">
        <v>16.273449400000001</v>
      </c>
      <c r="E88" s="9">
        <v>2.6949825000000001</v>
      </c>
      <c r="F88" s="9">
        <v>0.78983780000000003</v>
      </c>
      <c r="G88" s="10">
        <v>0.43048589999999998</v>
      </c>
      <c r="H88" s="11">
        <v>766.75</v>
      </c>
      <c r="J88" s="2">
        <v>11.45</v>
      </c>
      <c r="K88" s="2">
        <v>1.2948</v>
      </c>
      <c r="L88" s="2">
        <v>0.12506999999999999</v>
      </c>
      <c r="M88" s="2">
        <v>0.45939000000000002</v>
      </c>
      <c r="N88" s="2">
        <v>0.28866000000000003</v>
      </c>
      <c r="O88" s="53" t="s">
        <v>196</v>
      </c>
      <c r="P88" s="53" t="s">
        <v>197</v>
      </c>
      <c r="Q88" s="269">
        <f t="shared" si="36"/>
        <v>0.29639993841748147</v>
      </c>
      <c r="R88" s="269">
        <f t="shared" si="37"/>
        <v>0.34909039298028843</v>
      </c>
      <c r="S88" s="269">
        <f t="shared" si="37"/>
        <v>0.47618359111199793</v>
      </c>
      <c r="T88" s="269">
        <f t="shared" si="34"/>
        <v>0.37389130750325594</v>
      </c>
      <c r="U88" s="269">
        <f t="shared" si="38"/>
        <v>0.47618359111199793</v>
      </c>
    </row>
    <row r="89" spans="2:22">
      <c r="B89" s="22">
        <v>44866</v>
      </c>
      <c r="C89">
        <f t="shared" si="28"/>
        <v>11</v>
      </c>
      <c r="D89" s="9">
        <v>16.9187425</v>
      </c>
      <c r="E89" s="9">
        <v>2.6305200000000002</v>
      </c>
      <c r="F89" s="9">
        <v>0.71539969999999997</v>
      </c>
      <c r="G89" s="10">
        <v>0.47875529999999999</v>
      </c>
      <c r="H89" s="11">
        <v>895.03</v>
      </c>
      <c r="J89" s="2">
        <v>12.45</v>
      </c>
      <c r="K89" s="2">
        <v>1.39354</v>
      </c>
      <c r="L89" s="2">
        <v>0.19312000000000001</v>
      </c>
      <c r="M89" s="2">
        <v>0.54308000000000001</v>
      </c>
      <c r="N89" s="2">
        <v>0.33574999999999999</v>
      </c>
      <c r="O89" s="53" t="s">
        <v>198</v>
      </c>
      <c r="P89" s="53" t="s">
        <v>199</v>
      </c>
      <c r="Q89" s="269">
        <f t="shared" si="36"/>
        <v>0.26412970703939731</v>
      </c>
      <c r="R89" s="269">
        <f t="shared" si="37"/>
        <v>0.26378814835089648</v>
      </c>
      <c r="S89" s="269">
        <f t="shared" si="37"/>
        <v>0.26073494299759981</v>
      </c>
      <c r="T89" s="269">
        <f t="shared" si="34"/>
        <v>0.26288426612929788</v>
      </c>
      <c r="U89" s="269">
        <f t="shared" si="38"/>
        <v>0.26412970703939731</v>
      </c>
    </row>
    <row r="90" spans="2:22">
      <c r="B90" s="21">
        <v>45231</v>
      </c>
      <c r="C90">
        <f t="shared" si="28"/>
        <v>11</v>
      </c>
      <c r="D90" s="9">
        <v>19.015877799999998</v>
      </c>
      <c r="E90" s="9">
        <v>2.7843792000000001</v>
      </c>
      <c r="F90" s="9">
        <v>0.73156060000000001</v>
      </c>
      <c r="G90" s="10">
        <v>0.52912119999999996</v>
      </c>
      <c r="H90" s="11">
        <v>948.46</v>
      </c>
      <c r="J90" s="2">
        <v>14.84</v>
      </c>
      <c r="K90" s="2">
        <v>1.55124</v>
      </c>
      <c r="L90" s="2">
        <v>0.17693999999999999</v>
      </c>
      <c r="M90" s="2">
        <v>0.62168999999999996</v>
      </c>
      <c r="N90" s="2">
        <v>0.39396999999999999</v>
      </c>
      <c r="O90" s="53" t="s">
        <v>200</v>
      </c>
      <c r="P90" s="53" t="s">
        <v>201</v>
      </c>
      <c r="Q90" s="269">
        <f t="shared" si="36"/>
        <v>0.21959952855818199</v>
      </c>
      <c r="R90" s="269">
        <f t="shared" si="37"/>
        <v>0.21959983036793262</v>
      </c>
      <c r="S90" s="269">
        <f t="shared" si="37"/>
        <v>0.21959985269846405</v>
      </c>
      <c r="T90" s="269">
        <f t="shared" si="34"/>
        <v>0.2195997372081929</v>
      </c>
      <c r="U90" s="269">
        <f t="shared" si="38"/>
        <v>0.21959985269846405</v>
      </c>
    </row>
    <row r="91" spans="2:22" ht="15.75" thickBot="1">
      <c r="B91" s="22">
        <v>45597</v>
      </c>
      <c r="C91">
        <f t="shared" si="28"/>
        <v>11</v>
      </c>
      <c r="D91" s="6"/>
      <c r="E91" s="6"/>
      <c r="F91" s="6"/>
      <c r="G91" s="18"/>
      <c r="H91" s="7"/>
      <c r="O91" s="53"/>
      <c r="P91" s="53"/>
      <c r="T91" s="269" t="str">
        <f t="shared" si="34"/>
        <v/>
      </c>
    </row>
    <row r="92" spans="2:22" ht="15.75" thickBot="1">
      <c r="B92" s="24">
        <v>45962</v>
      </c>
      <c r="C92" s="270">
        <f t="shared" si="28"/>
        <v>11</v>
      </c>
      <c r="D92" s="271">
        <f>_xlfn.FORECAST.ETS(DATE(2025,1,1),D$85:D$91,$B$85:$B$91,1,1)+_xlfn.FORECAST.ETS.CONFINT(DATE(2025,1,1),D$85:D$91,$B$85:$B$91,$A$2,1)</f>
        <v>22.635255310285231</v>
      </c>
      <c r="E92" s="271">
        <f>_xlfn.FORECAST.ETS(DATE(2025,1,1),E$85:E$91,$B$85:$B$91,1,1)+_xlfn.FORECAST.ETS.CONFINT(DATE(2025,1,1),E$85:E$91,$B$85:$B$91,$A$2,1)</f>
        <v>3.1019973222488293</v>
      </c>
      <c r="F92" s="271">
        <f>_xlfn.FORECAST.ETS(DATE(2025,1,1),F$85:F$91,$B$85:$B$91,1,1)+_xlfn.FORECAST.ETS.CONFINT(DATE(2025,1,1),F$85:F$91,$B$85:$B$91,$A$2,1)</f>
        <v>1.0254388293330723</v>
      </c>
      <c r="G92" s="271">
        <f>_xlfn.FORECAST.ETS(DATE(2025,1,1),G$85:G$91,$B$85:$B$91,1,1)+_xlfn.FORECAST.ETS.CONFINT(DATE(2025,1,1),G$85:G$91,$B$85:$B$91,$A$2,1)</f>
        <v>0.68241515950856246</v>
      </c>
      <c r="H92" s="271">
        <f>_xlfn.FORECAST.ETS(DATE(2025,1,1),H$85:H$91,$B$85:$B$91,1,1)+_xlfn.FORECAST.ETS.CONFINT(DATE(2025,1,1),H$85:H$91,$B$85:$B$91,$A$2,1)</f>
        <v>1070.3282539215313</v>
      </c>
      <c r="I92" s="272"/>
      <c r="J92" s="271">
        <f>_xlfn.FORECAST.ETS(DATE(2025,1,1),J$85:J$91,$B$85:$B$91,1,1)+_xlfn.FORECAST.ETS.CONFINT(DATE(2025,1,1),J$85:J$91,$B$85:$B$91,$A$2,1)</f>
        <v>17.374938874706292</v>
      </c>
      <c r="K92" s="271">
        <f>_xlfn.FORECAST.ETS(DATE(2025,1,1),K$85:K$91,$B$85:$B$91,1,1)+_xlfn.FORECAST.ETS.CONFINT(DATE(2025,1,1),K$85:K$91,$B$85:$B$91,$A$2,1)</f>
        <v>1.692317938423868</v>
      </c>
      <c r="L92" s="271">
        <f>_xlfn.FORECAST.ETS(DATE(2025,1,1),L$85:L$91,$B$85:$B$91,1,1)+_xlfn.FORECAST.ETS.CONFINT(DATE(2025,1,1),L$85:L$91,$B$85:$B$91,$A$2,1)</f>
        <v>0.25160898169284107</v>
      </c>
      <c r="M92" s="271">
        <f>_xlfn.FORECAST.ETS(DATE(2025,1,1),M$85:M$91,$B$85:$B$91,1,1)+_xlfn.FORECAST.ETS.CONFINT(DATE(2025,1,1),M$85:M$91,$B$85:$B$91,$A$2,1)</f>
        <v>0.8010848525171107</v>
      </c>
      <c r="N92" s="271">
        <f>_xlfn.FORECAST.ETS(DATE(2025,1,1),N$85:N$91,$B$85:$B$91,1,1)+_xlfn.FORECAST.ETS.CONFINT(DATE(2025,1,1),N$85:N$91,$B$85:$B$91,$A$2,1)</f>
        <v>0.51486735049370902</v>
      </c>
      <c r="O92" s="272"/>
      <c r="P92" s="272"/>
      <c r="Q92" s="273">
        <f>_xlfn.FORECAST.ETS(DATE(2025,1,1),Q$85:Q$91,$B$85:$B$91,1,1)+_xlfn.FORECAST.ETS.CONFINT(DATE(2025,1,1),Q$85:Q$91,$B$85:$B$91,$A$2,1)</f>
        <v>0.24944246251652907</v>
      </c>
      <c r="R92" s="273">
        <f>_xlfn.FORECAST.ETS(DATE(2025,1,1),R$85:R$91,$B$85:$B$91,1,1)+_xlfn.FORECAST.ETS.CONFINT(DATE(2025,1,1),R$85:R$91,$B$85:$B$91,$A$2,1)</f>
        <v>0.30825245018728248</v>
      </c>
      <c r="S92" s="273">
        <f>_xlfn.FORECAST.ETS(DATE(2025,1,1),S$85:S$91,$B$85:$B$91,1,1)+_xlfn.FORECAST.ETS.CONFINT(DATE(2025,1,1),S$85:S$91,$B$85:$B$91,$A$2,1)</f>
        <v>0.40941874099847869</v>
      </c>
      <c r="T92" s="273">
        <f>_xlfn.FORECAST.ETS(DATE(2025,1,1),T$85:T$91,$B$85:$B$91,1,1)+_xlfn.FORECAST.ETS.CONFINT(DATE(2025,1,1),T$85:T$91,$B$85:$B$91,$A$2,1)</f>
        <v>0.32373527247609418</v>
      </c>
      <c r="U92" s="273">
        <f>_xlfn.FORECAST.ETS(DATE(2025,1,1),U$85:U$91,$B$85:$B$91,1,1)+_xlfn.FORECAST.ETS.CONFINT(DATE(2025,1,1),U$85:U$91,$B$85:$B$91,$A$2,1)</f>
        <v>0.4104238734971678</v>
      </c>
    </row>
    <row r="93" spans="2:22" ht="15.75" thickBot="1">
      <c r="B93" s="21">
        <v>43070</v>
      </c>
      <c r="C93">
        <f t="shared" si="28"/>
        <v>12</v>
      </c>
      <c r="D93" s="6"/>
      <c r="E93" s="6"/>
      <c r="F93" s="6"/>
      <c r="G93" s="18"/>
      <c r="H93" s="7"/>
      <c r="J93" s="2">
        <v>12.29</v>
      </c>
      <c r="K93" s="2">
        <v>1.07572</v>
      </c>
      <c r="L93" s="2">
        <v>6.6460000000000005E-2</v>
      </c>
      <c r="M93" s="2">
        <v>0.42659999999999998</v>
      </c>
      <c r="N93" s="2">
        <v>0.27088000000000001</v>
      </c>
      <c r="O93" s="53" t="s">
        <v>188</v>
      </c>
      <c r="P93" s="53" t="s">
        <v>189</v>
      </c>
      <c r="Q93" s="269" t="str">
        <f t="shared" ref="Q93:Q99" si="39">IFERROR(1-J93/D93,"")</f>
        <v/>
      </c>
      <c r="R93" s="269" t="str">
        <f t="shared" ref="R93:S99" si="40">IFERROR(1-(K93+M93)/E93,"")</f>
        <v/>
      </c>
      <c r="S93" s="269" t="str">
        <f t="shared" si="40"/>
        <v/>
      </c>
      <c r="T93" s="269" t="str">
        <f t="shared" si="34"/>
        <v/>
      </c>
      <c r="U93" s="269" t="str">
        <f>IFERROR(AVERAGE(Q93:S93),"")</f>
        <v/>
      </c>
    </row>
    <row r="94" spans="2:22">
      <c r="B94" s="21">
        <v>43435</v>
      </c>
      <c r="C94">
        <f t="shared" si="28"/>
        <v>12</v>
      </c>
      <c r="D94" s="9">
        <v>15.835899599999999</v>
      </c>
      <c r="E94" s="9">
        <v>2.2542935000000002</v>
      </c>
      <c r="F94" s="9">
        <v>0.58802370000000004</v>
      </c>
      <c r="G94" s="10">
        <v>0.44914104999999999</v>
      </c>
      <c r="H94" s="11">
        <v>716.25</v>
      </c>
      <c r="J94" s="2">
        <v>11.31</v>
      </c>
      <c r="K94" s="2">
        <v>1.1124000000000001</v>
      </c>
      <c r="L94" s="2">
        <v>0.10686</v>
      </c>
      <c r="M94" s="2">
        <v>0.49095</v>
      </c>
      <c r="N94" s="2">
        <v>0.30643999999999999</v>
      </c>
      <c r="O94" s="53" t="s">
        <v>190</v>
      </c>
      <c r="P94" s="53" t="s">
        <v>191</v>
      </c>
      <c r="Q94" s="269">
        <f t="shared" si="39"/>
        <v>0.28579996806749131</v>
      </c>
      <c r="R94" s="269">
        <f t="shared" si="40"/>
        <v>0.28875720929861182</v>
      </c>
      <c r="S94" s="269">
        <f t="shared" si="40"/>
        <v>0.29713717321257638</v>
      </c>
      <c r="T94" s="269">
        <f t="shared" si="34"/>
        <v>0.2905647835262265</v>
      </c>
      <c r="U94" s="269">
        <f t="shared" ref="U94:U99" si="41">IFERROR(LARGE(Q94:S94,1),"")</f>
        <v>0.29713717321257638</v>
      </c>
    </row>
    <row r="95" spans="2:22">
      <c r="B95" s="22">
        <v>43800</v>
      </c>
      <c r="C95">
        <f t="shared" si="28"/>
        <v>12</v>
      </c>
      <c r="D95" s="9">
        <v>17.450810600000001</v>
      </c>
      <c r="E95" s="9">
        <v>2.3104216000000002</v>
      </c>
      <c r="F95" s="9">
        <v>0.54338450000000005</v>
      </c>
      <c r="G95" s="10">
        <v>0.38625589999999999</v>
      </c>
      <c r="H95" s="11">
        <v>741.75</v>
      </c>
      <c r="J95" s="2">
        <v>12.24</v>
      </c>
      <c r="K95" s="2">
        <v>1.17466</v>
      </c>
      <c r="L95" s="2">
        <v>0.10975</v>
      </c>
      <c r="M95" s="2">
        <v>0.43086999999999998</v>
      </c>
      <c r="N95" s="2">
        <v>0.25638</v>
      </c>
      <c r="O95" s="53" t="s">
        <v>192</v>
      </c>
      <c r="P95" s="53" t="s">
        <v>193</v>
      </c>
      <c r="Q95" s="269">
        <f t="shared" si="39"/>
        <v>0.29859991718665491</v>
      </c>
      <c r="R95" s="269">
        <f t="shared" si="40"/>
        <v>0.3050921961602161</v>
      </c>
      <c r="S95" s="269">
        <f t="shared" si="40"/>
        <v>0.32620455681014093</v>
      </c>
      <c r="T95" s="269">
        <f t="shared" si="34"/>
        <v>0.309965556719004</v>
      </c>
      <c r="U95" s="269">
        <f t="shared" si="41"/>
        <v>0.32620455681014093</v>
      </c>
    </row>
    <row r="96" spans="2:22">
      <c r="B96" s="21">
        <v>44166</v>
      </c>
      <c r="C96">
        <f t="shared" si="28"/>
        <v>12</v>
      </c>
      <c r="D96" s="9">
        <v>21.721420200000001</v>
      </c>
      <c r="E96" s="9">
        <v>2.364163</v>
      </c>
      <c r="F96" s="9">
        <v>0.54848300000000005</v>
      </c>
      <c r="G96" s="10">
        <v>0</v>
      </c>
      <c r="H96" s="11">
        <v>766.75</v>
      </c>
      <c r="J96" s="2">
        <v>16</v>
      </c>
      <c r="K96" s="2">
        <v>1.30555</v>
      </c>
      <c r="L96" s="2">
        <v>0.11298</v>
      </c>
      <c r="M96" s="2">
        <v>0.37569000000000002</v>
      </c>
      <c r="N96" s="2">
        <v>0.23083000000000001</v>
      </c>
      <c r="O96" s="53" t="s">
        <v>194</v>
      </c>
      <c r="P96" s="53" t="s">
        <v>195</v>
      </c>
      <c r="Q96" s="269">
        <f t="shared" si="39"/>
        <v>0.26339991341818436</v>
      </c>
      <c r="R96" s="269">
        <f t="shared" si="40"/>
        <v>0.28886460028348293</v>
      </c>
      <c r="S96" s="269">
        <f t="shared" si="40"/>
        <v>0.37316197584975297</v>
      </c>
      <c r="T96" s="269">
        <f t="shared" si="34"/>
        <v>0.30847549651714007</v>
      </c>
      <c r="U96" s="269">
        <f t="shared" si="41"/>
        <v>0.37316197584975297</v>
      </c>
    </row>
    <row r="97" spans="2:21">
      <c r="B97" s="22">
        <v>44531</v>
      </c>
      <c r="C97">
        <f t="shared" si="28"/>
        <v>12</v>
      </c>
      <c r="D97" s="9">
        <v>16.273449400000001</v>
      </c>
      <c r="E97" s="9">
        <v>2.6949825000000001</v>
      </c>
      <c r="F97" s="9">
        <v>0.78983780000000003</v>
      </c>
      <c r="G97" s="10">
        <v>0.43048589999999998</v>
      </c>
      <c r="H97" s="11">
        <v>766.75</v>
      </c>
      <c r="J97" s="2">
        <v>11.45</v>
      </c>
      <c r="K97" s="2">
        <v>1.2948</v>
      </c>
      <c r="L97" s="2">
        <v>0.12506999999999999</v>
      </c>
      <c r="M97" s="2">
        <v>0.45939000000000002</v>
      </c>
      <c r="N97" s="2">
        <v>0.28866000000000003</v>
      </c>
      <c r="O97" s="53" t="s">
        <v>196</v>
      </c>
      <c r="P97" s="53" t="s">
        <v>197</v>
      </c>
      <c r="Q97" s="269">
        <f t="shared" si="39"/>
        <v>0.29639993841748147</v>
      </c>
      <c r="R97" s="269">
        <f t="shared" si="40"/>
        <v>0.34909039298028843</v>
      </c>
      <c r="S97" s="269">
        <f t="shared" si="40"/>
        <v>0.47618359111199793</v>
      </c>
      <c r="T97" s="269">
        <f t="shared" si="34"/>
        <v>0.37389130750325594</v>
      </c>
      <c r="U97" s="269">
        <f t="shared" si="41"/>
        <v>0.47618359111199793</v>
      </c>
    </row>
    <row r="98" spans="2:21">
      <c r="B98" s="21">
        <v>44896</v>
      </c>
      <c r="C98">
        <f t="shared" si="28"/>
        <v>12</v>
      </c>
      <c r="D98" s="9">
        <v>15.9064754</v>
      </c>
      <c r="E98" s="9">
        <v>2.4742809000000001</v>
      </c>
      <c r="F98" s="9">
        <v>0.6756993</v>
      </c>
      <c r="G98" s="10">
        <v>0.45104109999999997</v>
      </c>
      <c r="H98" s="11">
        <v>895.03</v>
      </c>
      <c r="J98" s="2">
        <v>12.45</v>
      </c>
      <c r="K98" s="2">
        <v>1.39354</v>
      </c>
      <c r="L98" s="2">
        <v>0.19312000000000001</v>
      </c>
      <c r="M98" s="2">
        <v>0.54308000000000001</v>
      </c>
      <c r="N98" s="2">
        <v>0.33574999999999999</v>
      </c>
      <c r="O98" s="53" t="s">
        <v>198</v>
      </c>
      <c r="P98" s="53" t="s">
        <v>199</v>
      </c>
      <c r="Q98" s="269">
        <f t="shared" si="39"/>
        <v>0.21729989284741236</v>
      </c>
      <c r="R98" s="269">
        <f t="shared" si="40"/>
        <v>0.21729986276012558</v>
      </c>
      <c r="S98" s="269">
        <f t="shared" si="40"/>
        <v>0.21729976633097003</v>
      </c>
      <c r="T98" s="269">
        <f t="shared" si="34"/>
        <v>0.21729984064616933</v>
      </c>
      <c r="U98" s="269">
        <f t="shared" si="41"/>
        <v>0.21729989284741236</v>
      </c>
    </row>
    <row r="99" spans="2:21">
      <c r="B99" s="21">
        <v>45261</v>
      </c>
      <c r="C99">
        <f t="shared" ref="C99:C101" si="42">MONTH(DATE(YEAR(B99),MONTH(B99),DAY(B99)))</f>
        <v>12</v>
      </c>
      <c r="D99" s="9">
        <v>18.5245222</v>
      </c>
      <c r="E99" s="9">
        <v>2.7124315000000001</v>
      </c>
      <c r="F99" s="9">
        <v>0.71265730000000005</v>
      </c>
      <c r="G99" s="10">
        <v>0.51544440000000002</v>
      </c>
      <c r="H99" s="11">
        <v>948.46</v>
      </c>
      <c r="J99" s="2">
        <v>14.84</v>
      </c>
      <c r="K99" s="2">
        <v>1.55124</v>
      </c>
      <c r="L99" s="2">
        <v>0.17693999999999999</v>
      </c>
      <c r="M99" s="2">
        <v>0.62168999999999996</v>
      </c>
      <c r="N99" s="2">
        <v>0.39396999999999999</v>
      </c>
      <c r="O99" s="53" t="s">
        <v>200</v>
      </c>
      <c r="P99" s="53" t="s">
        <v>201</v>
      </c>
      <c r="Q99" s="269">
        <f t="shared" si="39"/>
        <v>0.19889971575083321</v>
      </c>
      <c r="R99" s="269">
        <f t="shared" si="40"/>
        <v>0.19889958511394668</v>
      </c>
      <c r="S99" s="269">
        <f t="shared" si="40"/>
        <v>0.1988996674839365</v>
      </c>
      <c r="T99" s="269">
        <f t="shared" si="34"/>
        <v>0.1988996561162388</v>
      </c>
      <c r="U99" s="269">
        <f t="shared" si="41"/>
        <v>0.19889971575083321</v>
      </c>
    </row>
    <row r="100" spans="2:21" ht="15.75" thickBot="1">
      <c r="B100" s="22">
        <v>45627</v>
      </c>
      <c r="C100">
        <f t="shared" si="42"/>
        <v>12</v>
      </c>
      <c r="D100" s="6"/>
      <c r="E100" s="6"/>
      <c r="F100" s="6"/>
      <c r="G100" s="268"/>
      <c r="H100" s="7"/>
      <c r="T100" s="269" t="str">
        <f t="shared" si="34"/>
        <v/>
      </c>
    </row>
    <row r="101" spans="2:21" ht="15.75" thickBot="1">
      <c r="B101" s="24">
        <v>45992</v>
      </c>
      <c r="C101" s="270">
        <f t="shared" si="42"/>
        <v>12</v>
      </c>
      <c r="D101" s="271">
        <f>_xlfn.FORECAST.ETS(DATE(2025,1,1),D$94:D$100,$B$94:$B$100,1,1)+_xlfn.FORECAST.ETS.CONFINT(DATE(2025,1,1),D$94:D$100,$B$94:$B$100,$A$2,1)</f>
        <v>22.204703349739468</v>
      </c>
      <c r="E101" s="271">
        <f>_xlfn.FORECAST.ETS(DATE(2025,1,1),E$94:E$100,$B$94:$B$100,1,1)+_xlfn.FORECAST.ETS.CONFINT(DATE(2025,1,1),E$94:E$100,$B$94:$B$100,$A$2,1)</f>
        <v>2.9880972735695064</v>
      </c>
      <c r="F101" s="271">
        <f>_xlfn.FORECAST.ETS(DATE(2025,1,1),F$94:F$100,$B$94:$B$100,1,1)+_xlfn.FORECAST.ETS.CONFINT(DATE(2025,1,1),F$94:F$100,$B$94:$B$100,$A$2,1)</f>
        <v>0.96223513017074047</v>
      </c>
      <c r="G101" s="271">
        <f>_xlfn.FORECAST.ETS(DATE(2025,1,1),G$94:G$100,$B$94:$B$100,1,1)+_xlfn.FORECAST.ETS.CONFINT(DATE(2025,1,1),G$94:G$100,$B$94:$B$100,$A$2,1)</f>
        <v>0.97098257460090576</v>
      </c>
      <c r="H101" s="271">
        <f>_xlfn.FORECAST.ETS(DATE(2025,1,1),H$94:H$100,$B$94:$B$100,1,1)+_xlfn.FORECAST.ETS.CONFINT(DATE(2025,1,1),H$94:H$100,$B$94:$B$100,$A$2,1)</f>
        <v>1065.5170635621805</v>
      </c>
      <c r="I101" s="272"/>
      <c r="J101" s="271">
        <f>_xlfn.FORECAST.ETS(DATE(2025,1,1),J$94:J$100,$B$94:$B$100,1,1)+_xlfn.FORECAST.ETS.CONFINT(DATE(2025,1,1),J$94:J$100,$B$94:$B$100,$A$2,1)</f>
        <v>17.347454528640647</v>
      </c>
      <c r="K101" s="271">
        <f>_xlfn.FORECAST.ETS(DATE(2025,1,1),K$94:K$100,$B$94:$B$100,1,1)+_xlfn.FORECAST.ETS.CONFINT(DATE(2025,1,1),K$94:K$100,$B$94:$B$100,$A$2,1)</f>
        <v>1.6855673938567546</v>
      </c>
      <c r="L101" s="271">
        <f>_xlfn.FORECAST.ETS(DATE(2025,1,1),L$94:L$100,$B$94:$B$100,1,1)+_xlfn.FORECAST.ETS.CONFINT(DATE(2025,1,1),L$94:L$100,$B$94:$B$100,$A$2,1)</f>
        <v>0.2499502411723058</v>
      </c>
      <c r="M101" s="271">
        <f>_xlfn.FORECAST.ETS(DATE(2025,1,1),M$94:M$100,$B$94:$B$100,1,1)+_xlfn.FORECAST.ETS.CONFINT(DATE(2025,1,1),M$94:M$100,$B$94:$B$100,$A$2,1)</f>
        <v>0.79374305367725184</v>
      </c>
      <c r="N101" s="271">
        <f>_xlfn.FORECAST.ETS(DATE(2025,1,1),N$94:N$100,$B$94:$B$100,1,1)+_xlfn.FORECAST.ETS.CONFINT(DATE(2025,1,1),N$94:N$100,$B$94:$B$100,$A$2,1)</f>
        <v>0.50988300241312157</v>
      </c>
      <c r="O101" s="272"/>
      <c r="P101" s="272"/>
      <c r="Q101" s="273">
        <f>_xlfn.FORECAST.ETS(DATE(2025,1,1),Q$94:Q$100,$B$94:$B$100,1,1)+_xlfn.FORECAST.ETS.CONFINT(DATE(2025,1,1),Q$94:Q$100,$B$94:$B$100,$A$2,1)</f>
        <v>0.2073324767782096</v>
      </c>
      <c r="R101" s="273">
        <f>_xlfn.FORECAST.ETS(DATE(2025,1,1),R$94:R$100,$B$94:$B$100,1,1)+_xlfn.FORECAST.ETS.CONFINT(DATE(2025,1,1),R$94:R$100,$B$94:$B$100,$A$2,1)</f>
        <v>0.28851519061755093</v>
      </c>
      <c r="S101" s="273">
        <f>_xlfn.FORECAST.ETS(DATE(2025,1,1),S$94:S$100,$B$94:$B$100,1,1)+_xlfn.FORECAST.ETS.CONFINT(DATE(2025,1,1),S$94:S$100,$B$94:$B$100,$A$2,1)</f>
        <v>0.41406488465274571</v>
      </c>
      <c r="T101" s="273">
        <f>_xlfn.FORECAST.ETS(DATE(2025,1,1),T$94:T$100,$B$94:$B$100,1,1)+_xlfn.FORECAST.ETS.CONFINT(DATE(2025,1,1),T$94:T$100,$B$94:$B$100,$A$2,1)</f>
        <v>0.31362983413777534</v>
      </c>
      <c r="U101" s="273">
        <f>_xlfn.FORECAST.ETS(DATE(2025,1,1),U$94:U$100,$B$94:$B$100,1,1)+_xlfn.FORECAST.ETS.CONFINT(DATE(2025,1,1),U$94:U$100,$B$94:$B$100,$A$2,1)</f>
        <v>0.41406492001158068</v>
      </c>
    </row>
    <row r="102" spans="2:21">
      <c r="B102" s="3"/>
      <c r="C102" s="3"/>
    </row>
    <row r="103" spans="2:21">
      <c r="B103" s="3"/>
      <c r="C103" s="3"/>
    </row>
    <row r="104" spans="2:21">
      <c r="B104" s="3"/>
      <c r="C104" s="3"/>
    </row>
    <row r="105" spans="2:21">
      <c r="B105" s="3"/>
      <c r="C105" s="3"/>
    </row>
    <row r="106" spans="2:21" ht="45.75" thickBot="1">
      <c r="B106" s="22"/>
      <c r="C106"/>
      <c r="D106" s="3" t="s">
        <v>174</v>
      </c>
      <c r="E106" s="3" t="s">
        <v>175</v>
      </c>
      <c r="F106" s="3" t="s">
        <v>176</v>
      </c>
      <c r="G106" s="3" t="s">
        <v>177</v>
      </c>
      <c r="H106" s="3" t="s">
        <v>178</v>
      </c>
      <c r="J106" s="2" t="s">
        <v>179</v>
      </c>
      <c r="K106" s="2" t="s">
        <v>180</v>
      </c>
      <c r="L106" s="2" t="s">
        <v>181</v>
      </c>
      <c r="M106" s="2" t="s">
        <v>182</v>
      </c>
      <c r="N106" s="2" t="s">
        <v>183</v>
      </c>
      <c r="Q106" s="3" t="s">
        <v>174</v>
      </c>
      <c r="R106" s="3" t="s">
        <v>175</v>
      </c>
      <c r="S106" s="3" t="s">
        <v>176</v>
      </c>
      <c r="T106" s="3" t="s">
        <v>186</v>
      </c>
      <c r="U106" s="2" t="s">
        <v>206</v>
      </c>
    </row>
    <row r="107" spans="2:21" ht="15.75" thickBot="1">
      <c r="B107" s="22">
        <v>45658</v>
      </c>
      <c r="C107"/>
      <c r="D107" s="3">
        <f>D10</f>
        <v>21.992285340651325</v>
      </c>
      <c r="E107" s="3">
        <f>E10</f>
        <v>2.8670211895802717</v>
      </c>
      <c r="F107" s="3">
        <f>F10</f>
        <v>0.91440594984540291</v>
      </c>
      <c r="G107" s="3">
        <f>G10</f>
        <v>0.43203034038259602</v>
      </c>
      <c r="H107" s="3">
        <f>H10</f>
        <v>1082.1096125507404</v>
      </c>
      <c r="J107" s="3">
        <f>J10</f>
        <v>17.597990648384368</v>
      </c>
      <c r="K107" s="3">
        <f t="shared" ref="K107:N107" si="43">K10</f>
        <v>1.6645837019017484</v>
      </c>
      <c r="L107" s="3">
        <f t="shared" si="43"/>
        <v>0.22956905100987823</v>
      </c>
      <c r="M107" s="3">
        <f t="shared" si="43"/>
        <v>0.76099022814804573</v>
      </c>
      <c r="N107" s="3">
        <f t="shared" si="43"/>
        <v>0.485184212396084</v>
      </c>
      <c r="Q107" s="269">
        <f t="shared" ref="Q107:U107" si="44">Q10</f>
        <v>0.25847458698640108</v>
      </c>
      <c r="R107" s="269">
        <f t="shared" si="44"/>
        <v>0.30268719234686631</v>
      </c>
      <c r="S107" s="269">
        <f t="shared" si="44"/>
        <v>0.39443221179409649</v>
      </c>
      <c r="T107" s="269">
        <f t="shared" ref="T107" si="45">T10</f>
        <v>0.31644537352577229</v>
      </c>
      <c r="U107" s="269">
        <f t="shared" si="44"/>
        <v>0.39443219786363282</v>
      </c>
    </row>
    <row r="108" spans="2:21" ht="15.75" thickBot="1">
      <c r="B108" s="22">
        <v>45689</v>
      </c>
      <c r="C108"/>
      <c r="D108" s="3">
        <f>D18</f>
        <v>21.998632788671802</v>
      </c>
      <c r="E108" s="3">
        <f>E18</f>
        <v>2.8563463780413718</v>
      </c>
      <c r="F108" s="3">
        <f>F18</f>
        <v>0.89376463403287265</v>
      </c>
      <c r="G108" s="3">
        <f>G18</f>
        <v>0.59864636005666538</v>
      </c>
      <c r="H108" s="3">
        <f>H18</f>
        <v>1095.0659280922205</v>
      </c>
      <c r="J108" s="3">
        <f>J18</f>
        <v>17.439087401568617</v>
      </c>
      <c r="K108" s="3">
        <f t="shared" ref="K108:N108" si="46">K18</f>
        <v>1.6545493038167725</v>
      </c>
      <c r="L108" s="3">
        <f t="shared" si="46"/>
        <v>0.22656359588981115</v>
      </c>
      <c r="M108" s="3">
        <f t="shared" si="46"/>
        <v>0.75364009297706858</v>
      </c>
      <c r="N108" s="3">
        <f t="shared" si="46"/>
        <v>0.48035847259194231</v>
      </c>
      <c r="Q108" s="269">
        <f t="shared" ref="Q108:U108" si="47">Q18</f>
        <v>0.25684060972648975</v>
      </c>
      <c r="R108" s="269">
        <f t="shared" si="47"/>
        <v>0.29822038864809253</v>
      </c>
      <c r="S108" s="269">
        <f t="shared" si="47"/>
        <v>0.40782733199529941</v>
      </c>
      <c r="T108" s="269">
        <f t="shared" ref="T108" si="48">T18</f>
        <v>0.32070357078829614</v>
      </c>
      <c r="U108" s="269">
        <f t="shared" si="47"/>
        <v>0.40782728758754572</v>
      </c>
    </row>
    <row r="109" spans="2:21" ht="15.75" thickBot="1">
      <c r="B109" s="22">
        <v>45717</v>
      </c>
      <c r="C109"/>
      <c r="D109" s="3">
        <f>D26</f>
        <v>21.512626731961014</v>
      </c>
      <c r="E109" s="3">
        <f>E26</f>
        <v>2.8905676192361818</v>
      </c>
      <c r="F109" s="3">
        <f>F26</f>
        <v>0.89987442738742218</v>
      </c>
      <c r="G109" s="3">
        <f>G26</f>
        <v>0.58431168643487041</v>
      </c>
      <c r="H109" s="3">
        <f>H26</f>
        <v>1088.4627325205527</v>
      </c>
      <c r="J109" s="3">
        <f>J26</f>
        <v>17.289351658608453</v>
      </c>
      <c r="K109" s="3">
        <f t="shared" ref="K109:N109" si="49">K26</f>
        <v>1.6452837106163294</v>
      </c>
      <c r="L109" s="3">
        <f t="shared" si="49"/>
        <v>0.22377470811336486</v>
      </c>
      <c r="M109" s="3">
        <f t="shared" si="49"/>
        <v>0.7467510750757419</v>
      </c>
      <c r="N109" s="3">
        <f t="shared" si="49"/>
        <v>0.47583407231707908</v>
      </c>
      <c r="Q109" s="269">
        <f t="shared" ref="Q109:U109" si="50">Q26</f>
        <v>0.26852400316647912</v>
      </c>
      <c r="R109" s="269">
        <f t="shared" si="50"/>
        <v>0.30220286115109907</v>
      </c>
      <c r="S109" s="269">
        <f t="shared" si="50"/>
        <v>0.39138320941767335</v>
      </c>
      <c r="T109" s="269">
        <f t="shared" ref="T109" si="51">T26</f>
        <v>0.32355316300841203</v>
      </c>
      <c r="U109" s="269">
        <f t="shared" si="50"/>
        <v>0.39138313500855104</v>
      </c>
    </row>
    <row r="110" spans="2:21" ht="15.75" thickBot="1">
      <c r="B110" s="22">
        <v>45748</v>
      </c>
      <c r="C110"/>
      <c r="D110" s="3">
        <f>D34</f>
        <v>21.713148315446148</v>
      </c>
      <c r="E110" s="3">
        <f>E34</f>
        <v>2.9131301778178629</v>
      </c>
      <c r="F110" s="3">
        <f>F34</f>
        <v>0.84059739175887116</v>
      </c>
      <c r="G110" s="3">
        <f>G34</f>
        <v>0.60455642239078133</v>
      </c>
      <c r="H110" s="3">
        <f>H34</f>
        <v>1081.0147532422488</v>
      </c>
      <c r="J110" s="3">
        <f>J34</f>
        <v>17.117221505776318</v>
      </c>
      <c r="K110" s="3">
        <f t="shared" ref="K110:N110" si="52">K34</f>
        <v>1.6348654236513858</v>
      </c>
      <c r="L110" s="3">
        <f t="shared" si="52"/>
        <v>0.22062170576122034</v>
      </c>
      <c r="M110" s="3">
        <f t="shared" si="52"/>
        <v>0.73887723628446988</v>
      </c>
      <c r="N110" s="3">
        <f t="shared" si="52"/>
        <v>0.47066114871152864</v>
      </c>
      <c r="Q110" s="269">
        <f t="shared" ref="Q110:U110" si="53">Q34</f>
        <v>0.24123451432070864</v>
      </c>
      <c r="R110" s="269">
        <f t="shared" si="53"/>
        <v>0.26909034421673195</v>
      </c>
      <c r="S110" s="269">
        <f t="shared" si="53"/>
        <v>0.33295260659567172</v>
      </c>
      <c r="T110" s="269">
        <f t="shared" ref="T110" si="54">T34</f>
        <v>0.28154455693414121</v>
      </c>
      <c r="U110" s="269">
        <f t="shared" si="53"/>
        <v>0.33295257897539199</v>
      </c>
    </row>
    <row r="111" spans="2:21" ht="15.75" thickBot="1">
      <c r="B111" s="22">
        <v>45778</v>
      </c>
      <c r="C111"/>
      <c r="D111" s="3">
        <f>D42</f>
        <v>21.472775264409385</v>
      </c>
      <c r="E111" s="3">
        <f>E42</f>
        <v>2.8764808786481808</v>
      </c>
      <c r="F111" s="3">
        <f>F42</f>
        <v>0.79586418626934285</v>
      </c>
      <c r="G111" s="3">
        <f>G42</f>
        <v>0.58786604389808617</v>
      </c>
      <c r="H111" s="3">
        <f>H42</f>
        <v>1073.6212214275063</v>
      </c>
      <c r="J111" s="3">
        <f>J42</f>
        <v>16.942654854086456</v>
      </c>
      <c r="K111" s="3">
        <f t="shared" ref="K111:N111" si="55">K42</f>
        <v>1.6245606191620285</v>
      </c>
      <c r="L111" s="3">
        <f t="shared" si="55"/>
        <v>0.21748340386474385</v>
      </c>
      <c r="M111" s="3">
        <f t="shared" si="55"/>
        <v>0.73094288529932472</v>
      </c>
      <c r="N111" s="3">
        <f t="shared" si="55"/>
        <v>0.46544651416360622</v>
      </c>
      <c r="Q111" s="269">
        <f t="shared" ref="Q111:U111" si="56">Q42</f>
        <v>0.23265130005047835</v>
      </c>
      <c r="R111" s="269">
        <f t="shared" si="56"/>
        <v>0.25050061750445479</v>
      </c>
      <c r="S111" s="269">
        <f t="shared" si="56"/>
        <v>0.28461737317308422</v>
      </c>
      <c r="T111" s="269">
        <f t="shared" ref="T111" si="57">T42</f>
        <v>0.25612112897196981</v>
      </c>
      <c r="U111" s="269">
        <f t="shared" si="56"/>
        <v>0.28461745523388754</v>
      </c>
    </row>
    <row r="112" spans="2:21" ht="15.75" thickBot="1">
      <c r="B112" s="22">
        <v>45809</v>
      </c>
      <c r="C112"/>
      <c r="D112" s="3">
        <f>D50</f>
        <v>20.631463794694497</v>
      </c>
      <c r="E112" s="3">
        <f>E50</f>
        <v>2.5465037775652957</v>
      </c>
      <c r="F112" s="3">
        <f>F50</f>
        <v>0.70312719751670394</v>
      </c>
      <c r="G112" s="3">
        <f>G50</f>
        <v>0.50447624074246045</v>
      </c>
      <c r="H112" s="3">
        <f>H50</f>
        <v>1094.7505810707773</v>
      </c>
      <c r="J112" s="3">
        <f>J50</f>
        <v>16.723858222078672</v>
      </c>
      <c r="K112" s="3">
        <f t="shared" ref="K112:N112" si="58">K50</f>
        <v>1.6148182493277154</v>
      </c>
      <c r="L112" s="3">
        <f t="shared" si="58"/>
        <v>0.21483452337880557</v>
      </c>
      <c r="M112" s="3">
        <f t="shared" si="58"/>
        <v>0.71972818847862463</v>
      </c>
      <c r="N112" s="3">
        <f t="shared" si="58"/>
        <v>0.46066655133706813</v>
      </c>
      <c r="Q112" s="269">
        <f t="shared" ref="Q112:U112" si="59">Q50</f>
        <v>0.22350397706004851</v>
      </c>
      <c r="R112" s="269">
        <f t="shared" si="59"/>
        <v>0.24973711841459045</v>
      </c>
      <c r="S112" s="269">
        <f t="shared" si="59"/>
        <v>0.33061040850831058</v>
      </c>
      <c r="T112" s="269">
        <f t="shared" ref="T112" si="60">T50</f>
        <v>0.26024523845465808</v>
      </c>
      <c r="U112" s="269">
        <f t="shared" si="59"/>
        <v>0.3083845742058442</v>
      </c>
    </row>
    <row r="113" spans="2:21" ht="15.75" thickBot="1">
      <c r="B113" s="22">
        <v>45839</v>
      </c>
      <c r="C113"/>
      <c r="D113" s="3">
        <f>D58</f>
        <v>21.329780425796141</v>
      </c>
      <c r="E113" s="3">
        <f>E58</f>
        <v>2.5873369990187074</v>
      </c>
      <c r="F113" s="3">
        <f>F58</f>
        <v>0.68425419669054932</v>
      </c>
      <c r="G113" s="3">
        <f>G58</f>
        <v>0.48819749669451451</v>
      </c>
      <c r="H113" s="3">
        <f>H58</f>
        <v>1089.9762914738476</v>
      </c>
      <c r="J113" s="3">
        <f>J58</f>
        <v>16.5284189717635</v>
      </c>
      <c r="K113" s="3">
        <f t="shared" ref="K113:N113" si="61">K58</f>
        <v>1.6038225189851907</v>
      </c>
      <c r="L113" s="3">
        <f t="shared" si="61"/>
        <v>0.21164687015191763</v>
      </c>
      <c r="M113" s="3">
        <f t="shared" si="61"/>
        <v>0.71186137629764867</v>
      </c>
      <c r="N113" s="3">
        <f t="shared" si="61"/>
        <v>0.45530083457985937</v>
      </c>
      <c r="Q113" s="269">
        <f t="shared" ref="Q113:U113" si="62">Q58</f>
        <v>0.2412058246243311</v>
      </c>
      <c r="R113" s="269">
        <f t="shared" si="62"/>
        <v>0.24602152203306565</v>
      </c>
      <c r="S113" s="269">
        <f t="shared" si="62"/>
        <v>0.32244824972573488</v>
      </c>
      <c r="T113" s="269">
        <f t="shared" ref="T113" si="63">T58</f>
        <v>0.25343536458422028</v>
      </c>
      <c r="U113" s="269">
        <f t="shared" si="62"/>
        <v>0.32244848237310286</v>
      </c>
    </row>
    <row r="114" spans="2:21" ht="15.75" thickBot="1">
      <c r="B114" s="22">
        <v>45870</v>
      </c>
      <c r="C114"/>
      <c r="D114" s="3">
        <f>D66</f>
        <v>21.236592392278595</v>
      </c>
      <c r="E114" s="3">
        <f>E66</f>
        <v>2.5295136306528314</v>
      </c>
      <c r="F114" s="3">
        <f>F66</f>
        <v>0.68091023289306174</v>
      </c>
      <c r="G114" s="3">
        <f>G66</f>
        <v>0.49148642483589833</v>
      </c>
      <c r="H114" s="3">
        <f>H66</f>
        <v>1085.0356896638102</v>
      </c>
      <c r="J114" s="3">
        <f>J66</f>
        <v>16.311318205629398</v>
      </c>
      <c r="K114" s="3">
        <f t="shared" ref="K114:N114" si="64">K66</f>
        <v>1.5920219650532108</v>
      </c>
      <c r="L114" s="3">
        <f t="shared" si="64"/>
        <v>0.20819690531810911</v>
      </c>
      <c r="M114" s="3">
        <f t="shared" si="64"/>
        <v>0.70316176312005885</v>
      </c>
      <c r="N114" s="3">
        <f t="shared" si="64"/>
        <v>0.44936943510783162</v>
      </c>
      <c r="Q114" s="269">
        <f t="shared" ref="Q114:U114" si="65">Q66</f>
        <v>0.23329032378412384</v>
      </c>
      <c r="R114" s="269">
        <f t="shared" si="65"/>
        <v>0.24540072717789727</v>
      </c>
      <c r="S114" s="269">
        <f t="shared" si="65"/>
        <v>0.27677512065281645</v>
      </c>
      <c r="T114" s="269">
        <f t="shared" ref="T114" si="66">T66</f>
        <v>0.24820507613975595</v>
      </c>
      <c r="U114" s="269">
        <f t="shared" si="65"/>
        <v>0.27677532026009521</v>
      </c>
    </row>
    <row r="115" spans="2:21" ht="15.75" thickBot="1">
      <c r="B115" s="22">
        <v>45901</v>
      </c>
      <c r="C115"/>
      <c r="D115" s="3">
        <f>D74</f>
        <v>20.661330343662783</v>
      </c>
      <c r="E115" s="3">
        <f>E74</f>
        <v>2.5950744233082856</v>
      </c>
      <c r="F115" s="3">
        <f>F74</f>
        <v>0.69986554376321519</v>
      </c>
      <c r="G115" s="3">
        <f>G74</f>
        <v>0.51700477368782616</v>
      </c>
      <c r="H115" s="3">
        <f>H74</f>
        <v>1080.0875914895498</v>
      </c>
      <c r="J115" s="3">
        <f>J74</f>
        <v>16.073881482097409</v>
      </c>
      <c r="K115" s="3">
        <f t="shared" ref="K115:N115" si="67">K74</f>
        <v>1.5796329573792629</v>
      </c>
      <c r="L115" s="3">
        <f t="shared" si="67"/>
        <v>0.20453742145793918</v>
      </c>
      <c r="M115" s="3">
        <f t="shared" si="67"/>
        <v>0.69369610627560552</v>
      </c>
      <c r="N115" s="3">
        <f t="shared" si="67"/>
        <v>0.44291868975606208</v>
      </c>
      <c r="Q115" s="269">
        <f t="shared" ref="Q115:U115" si="68">Q74</f>
        <v>0.22358350283748935</v>
      </c>
      <c r="R115" s="269">
        <f t="shared" si="68"/>
        <v>0.23929338326677868</v>
      </c>
      <c r="S115" s="269">
        <f t="shared" si="68"/>
        <v>0.36443370709483647</v>
      </c>
      <c r="T115" s="269">
        <f t="shared" ref="T115" si="69">T74</f>
        <v>0.25571739338795474</v>
      </c>
      <c r="U115" s="269">
        <f t="shared" si="68"/>
        <v>0.36443369428746164</v>
      </c>
    </row>
    <row r="116" spans="2:21" ht="15.75" thickBot="1">
      <c r="B116" s="22">
        <v>45931</v>
      </c>
      <c r="C116"/>
      <c r="D116" s="3">
        <f>D83</f>
        <v>20.817125643673002</v>
      </c>
      <c r="E116" s="3">
        <f>E83</f>
        <v>2.6694411515557062</v>
      </c>
      <c r="F116" s="3">
        <f>F83</f>
        <v>0.79106610731546623</v>
      </c>
      <c r="G116" s="3">
        <f>G83</f>
        <v>0.43192838217429175</v>
      </c>
      <c r="H116" s="3">
        <f>H83</f>
        <v>1075.291762571951</v>
      </c>
      <c r="J116" s="3">
        <f>J83</f>
        <v>14.597349281023279</v>
      </c>
      <c r="K116" s="3">
        <f t="shared" ref="K116:N116" si="70">K83</f>
        <v>1.5464757602610217</v>
      </c>
      <c r="L116" s="3">
        <f t="shared" si="70"/>
        <v>0.20242491688946762</v>
      </c>
      <c r="M116" s="3">
        <f t="shared" si="70"/>
        <v>0.68055365895867437</v>
      </c>
      <c r="N116" s="3">
        <f t="shared" si="70"/>
        <v>0.43319635154853353</v>
      </c>
      <c r="Q116" s="269">
        <f t="shared" ref="Q116:U116" si="71">Q83</f>
        <v>0.44738176624428244</v>
      </c>
      <c r="R116" s="269">
        <f t="shared" si="71"/>
        <v>0.25825471053528076</v>
      </c>
      <c r="S116" s="269">
        <f t="shared" si="71"/>
        <v>0.29011039771437475</v>
      </c>
      <c r="T116" s="269">
        <f t="shared" ref="T116" si="72">T83</f>
        <v>0.29749305216894006</v>
      </c>
      <c r="U116" s="269">
        <f t="shared" si="71"/>
        <v>0.30392357340301146</v>
      </c>
    </row>
    <row r="117" spans="2:21" ht="15.75" thickBot="1">
      <c r="B117" s="22">
        <v>45962</v>
      </c>
      <c r="C117"/>
      <c r="D117" s="3">
        <f>D92</f>
        <v>22.635255310285231</v>
      </c>
      <c r="E117" s="3">
        <f>E92</f>
        <v>3.1019973222488293</v>
      </c>
      <c r="F117" s="3">
        <f>F92</f>
        <v>1.0254388293330723</v>
      </c>
      <c r="G117" s="3">
        <f>G92</f>
        <v>0.68241515950856246</v>
      </c>
      <c r="H117" s="3">
        <f>H92</f>
        <v>1070.3282539215313</v>
      </c>
      <c r="J117" s="3">
        <f>J92</f>
        <v>17.374938874706292</v>
      </c>
      <c r="K117" s="3">
        <f t="shared" ref="K117:N117" si="73">K92</f>
        <v>1.692317938423868</v>
      </c>
      <c r="L117" s="3">
        <f t="shared" si="73"/>
        <v>0.25160898169284107</v>
      </c>
      <c r="M117" s="3">
        <f t="shared" si="73"/>
        <v>0.8010848525171107</v>
      </c>
      <c r="N117" s="3">
        <f t="shared" si="73"/>
        <v>0.51486735049370902</v>
      </c>
      <c r="Q117" s="269">
        <f t="shared" ref="Q117:U117" si="74">Q92</f>
        <v>0.24944246251652907</v>
      </c>
      <c r="R117" s="269">
        <f t="shared" si="74"/>
        <v>0.30825245018728248</v>
      </c>
      <c r="S117" s="269">
        <f t="shared" si="74"/>
        <v>0.40941874099847869</v>
      </c>
      <c r="T117" s="269">
        <f t="shared" ref="T117" si="75">T92</f>
        <v>0.32373527247609418</v>
      </c>
      <c r="U117" s="269">
        <f t="shared" si="74"/>
        <v>0.4104238734971678</v>
      </c>
    </row>
    <row r="118" spans="2:21" ht="15.75" thickBot="1">
      <c r="B118" s="22">
        <v>45992</v>
      </c>
      <c r="C118"/>
      <c r="D118" s="3">
        <f>D101</f>
        <v>22.204703349739468</v>
      </c>
      <c r="E118" s="3">
        <f>E101</f>
        <v>2.9880972735695064</v>
      </c>
      <c r="F118" s="3">
        <f>F101</f>
        <v>0.96223513017074047</v>
      </c>
      <c r="G118" s="3">
        <f>G101</f>
        <v>0.97098257460090576</v>
      </c>
      <c r="H118" s="3">
        <f>H101</f>
        <v>1065.5170635621805</v>
      </c>
      <c r="J118" s="3">
        <f>J101</f>
        <v>17.347454528640647</v>
      </c>
      <c r="K118" s="3">
        <f t="shared" ref="K118:N118" si="76">K101</f>
        <v>1.6855673938567546</v>
      </c>
      <c r="L118" s="3">
        <f t="shared" si="76"/>
        <v>0.2499502411723058</v>
      </c>
      <c r="M118" s="3">
        <f t="shared" si="76"/>
        <v>0.79374305367725184</v>
      </c>
      <c r="N118" s="3">
        <f t="shared" si="76"/>
        <v>0.50988300241312157</v>
      </c>
      <c r="Q118" s="269">
        <f t="shared" ref="Q118:U118" si="77">Q101</f>
        <v>0.2073324767782096</v>
      </c>
      <c r="R118" s="269">
        <f t="shared" si="77"/>
        <v>0.28851519061755093</v>
      </c>
      <c r="S118" s="269">
        <f t="shared" si="77"/>
        <v>0.41406488465274571</v>
      </c>
      <c r="T118" s="269">
        <f t="shared" ref="T118" si="78">T101</f>
        <v>0.31362983413777534</v>
      </c>
      <c r="U118" s="269">
        <f t="shared" si="77"/>
        <v>0.41406492001158068</v>
      </c>
    </row>
    <row r="119" spans="2:21" ht="15.75" thickBot="1">
      <c r="B119" s="22"/>
      <c r="C119"/>
      <c r="J119" s="3"/>
      <c r="K119" s="3"/>
      <c r="L119" s="3"/>
      <c r="M119" s="3"/>
      <c r="N119" s="3"/>
      <c r="Q119" s="269"/>
      <c r="R119" s="269"/>
      <c r="S119" s="269"/>
      <c r="T119" s="269"/>
      <c r="U119" s="269"/>
    </row>
    <row r="120" spans="2:21" ht="15.75" thickBot="1">
      <c r="B120" s="22" t="s">
        <v>58</v>
      </c>
      <c r="C120"/>
      <c r="D120" s="3">
        <f>AVERAGE(D107:D118)</f>
        <v>21.517143308439113</v>
      </c>
      <c r="E120" s="3">
        <f>AVERAGE(E107:E118)</f>
        <v>2.7851259017702525</v>
      </c>
      <c r="F120" s="3">
        <f>AVERAGE(F107:F118)</f>
        <v>0.82428365224805999</v>
      </c>
      <c r="G120" s="3">
        <f>AVERAGE(G107:G118)</f>
        <v>0.5744918254506215</v>
      </c>
      <c r="H120" s="3">
        <f>AVERAGE(H107:H118)</f>
        <v>1081.7717901322428</v>
      </c>
      <c r="J120" s="3">
        <f>AVERAGE(J107:J118)</f>
        <v>16.778627136196949</v>
      </c>
      <c r="K120" s="3">
        <f t="shared" ref="K120:N120" si="79">AVERAGE(K107:K118)</f>
        <v>1.6282082952029409</v>
      </c>
      <c r="L120" s="3">
        <f t="shared" si="79"/>
        <v>0.22176769372503372</v>
      </c>
      <c r="M120" s="3">
        <f t="shared" si="79"/>
        <v>0.73625254309246879</v>
      </c>
      <c r="N120" s="3">
        <f t="shared" si="79"/>
        <v>0.4703072196180354</v>
      </c>
      <c r="Q120" s="269">
        <f t="shared" ref="Q120" si="80">AVERAGE(Q107:Q118)</f>
        <v>0.25695544567463091</v>
      </c>
      <c r="R120" s="269">
        <f t="shared" ref="R120" si="81">AVERAGE(R107:R118)</f>
        <v>0.27151470884164092</v>
      </c>
      <c r="S120" s="269">
        <f t="shared" ref="S120:T120" si="82">AVERAGE(S107:S118)</f>
        <v>0.35158952019359352</v>
      </c>
      <c r="T120" s="269">
        <f t="shared" si="82"/>
        <v>0.28756908538149922</v>
      </c>
      <c r="U120" s="269">
        <f t="shared" ref="U120" si="83">AVERAGE(U107:U118)</f>
        <v>0.35097225772560603</v>
      </c>
    </row>
    <row r="121" spans="2:21" ht="15.75" thickBot="1">
      <c r="B121" s="22" t="s">
        <v>59</v>
      </c>
      <c r="C121"/>
      <c r="D121" s="3">
        <f>MEDIAN(D107:D118)</f>
        <v>21.4927009981852</v>
      </c>
      <c r="E121" s="3">
        <f>MEDIAN(E107:E118)</f>
        <v>2.8616837838108218</v>
      </c>
      <c r="F121" s="3">
        <f>MEDIAN(F107:F118)</f>
        <v>0.81823078901410695</v>
      </c>
      <c r="G121" s="3">
        <f>MEDIAN(G107:G118)</f>
        <v>0.55065823006134829</v>
      </c>
      <c r="H121" s="3">
        <f>MEDIAN(H107:H118)</f>
        <v>1081.5621828964945</v>
      </c>
      <c r="J121" s="3">
        <f>MEDIAN(J107:J118)</f>
        <v>17.029938179931385</v>
      </c>
      <c r="K121" s="3">
        <f t="shared" ref="K121:N121" si="84">MEDIAN(K107:K118)</f>
        <v>1.6297130214067073</v>
      </c>
      <c r="L121" s="3">
        <f t="shared" si="84"/>
        <v>0.21905255481298208</v>
      </c>
      <c r="M121" s="3">
        <f t="shared" si="84"/>
        <v>0.73491006079189725</v>
      </c>
      <c r="N121" s="3">
        <f t="shared" si="84"/>
        <v>0.4680538314375674</v>
      </c>
      <c r="Q121" s="269">
        <f t="shared" ref="Q121:U121" si="85">MEDIAN(Q107:Q118)</f>
        <v>0.24122016947251987</v>
      </c>
      <c r="R121" s="269">
        <f t="shared" si="85"/>
        <v>0.26367252737600633</v>
      </c>
      <c r="S121" s="269">
        <f t="shared" si="85"/>
        <v>0.34869315684525409</v>
      </c>
      <c r="T121" s="269">
        <f t="shared" ref="T121" si="86">MEDIAN(T107:T118)</f>
        <v>0.28951880455154066</v>
      </c>
      <c r="U121" s="269">
        <f t="shared" si="85"/>
        <v>0.34869313663142681</v>
      </c>
    </row>
    <row r="122" spans="2:21" ht="15.75" thickBot="1">
      <c r="B122" s="22" t="s">
        <v>60</v>
      </c>
      <c r="C122"/>
      <c r="D122" s="3">
        <f>MAX(D107:D118)</f>
        <v>22.635255310285231</v>
      </c>
      <c r="E122" s="3">
        <f>MAX(E107:E118)</f>
        <v>3.1019973222488293</v>
      </c>
      <c r="F122" s="3">
        <f>MAX(F107:F118)</f>
        <v>1.0254388293330723</v>
      </c>
      <c r="G122" s="3">
        <f>MAX(G107:G118)</f>
        <v>0.97098257460090576</v>
      </c>
      <c r="H122" s="3">
        <f>MAX(H107:H118)</f>
        <v>1095.0659280922205</v>
      </c>
      <c r="J122" s="3">
        <f>MAX(J107:J118)</f>
        <v>17.597990648384368</v>
      </c>
      <c r="K122" s="3">
        <f t="shared" ref="K122:N122" si="87">MAX(K107:K118)</f>
        <v>1.692317938423868</v>
      </c>
      <c r="L122" s="3">
        <f t="shared" si="87"/>
        <v>0.25160898169284107</v>
      </c>
      <c r="M122" s="3">
        <f t="shared" si="87"/>
        <v>0.8010848525171107</v>
      </c>
      <c r="N122" s="3">
        <f t="shared" si="87"/>
        <v>0.51486735049370902</v>
      </c>
      <c r="Q122" s="269">
        <f t="shared" ref="Q122:U122" si="88">MAX(Q107:Q118)</f>
        <v>0.44738176624428244</v>
      </c>
      <c r="R122" s="269">
        <f t="shared" si="88"/>
        <v>0.30825245018728248</v>
      </c>
      <c r="S122" s="269">
        <f t="shared" si="88"/>
        <v>0.41406488465274571</v>
      </c>
      <c r="T122" s="269">
        <f t="shared" ref="T122" si="89">MAX(T107:T118)</f>
        <v>0.32373527247609418</v>
      </c>
      <c r="U122" s="269">
        <f t="shared" si="88"/>
        <v>0.41406492001158068</v>
      </c>
    </row>
    <row r="123" spans="2:21" ht="15.75" thickBot="1">
      <c r="B123" s="24" t="s">
        <v>61</v>
      </c>
      <c r="C123" s="270"/>
      <c r="D123" s="28">
        <f>QUARTILE(D107:D118,3)</f>
        <v>21.993872202656444</v>
      </c>
      <c r="E123" s="28">
        <f>QUARTILE(E107:E118,3)</f>
        <v>2.896208258881602</v>
      </c>
      <c r="F123" s="28">
        <f>QUARTILE(F107:F118,3)</f>
        <v>0.90350730800191736</v>
      </c>
      <c r="G123" s="28">
        <f>QUARTILE(G107:G118,3)</f>
        <v>0.60012387564019432</v>
      </c>
      <c r="H123" s="28">
        <f>QUARTILE(H107:H118,3)</f>
        <v>1088.8411222588763</v>
      </c>
      <c r="I123" s="272"/>
      <c r="J123" s="28">
        <f>QUARTILE(J107:J118,3)</f>
        <v>17.354325615157059</v>
      </c>
      <c r="K123" s="28">
        <f t="shared" ref="K123:N123" si="90">QUARTILE(K107:K118,3)</f>
        <v>1.6570579033380164</v>
      </c>
      <c r="L123" s="28">
        <f t="shared" si="90"/>
        <v>0.22731495966982793</v>
      </c>
      <c r="M123" s="28">
        <f t="shared" si="90"/>
        <v>0.75547762676981289</v>
      </c>
      <c r="N123" s="28">
        <f t="shared" si="90"/>
        <v>0.48156490754297776</v>
      </c>
      <c r="O123" s="272"/>
      <c r="P123" s="272"/>
      <c r="Q123" s="273">
        <f t="shared" ref="Q123:U123" si="91">QUARTILE(Q107:Q118,3)</f>
        <v>0.25724910404146761</v>
      </c>
      <c r="R123" s="273">
        <f t="shared" si="91"/>
        <v>0.29921600677384419</v>
      </c>
      <c r="S123" s="273">
        <f t="shared" si="91"/>
        <v>0.39778099184439719</v>
      </c>
      <c r="T123" s="273">
        <f t="shared" ref="T123" si="92">QUARTILE(T107:T118,3)</f>
        <v>0.31750992284140322</v>
      </c>
      <c r="U123" s="273">
        <f t="shared" si="91"/>
        <v>0.39778097029461101</v>
      </c>
    </row>
    <row r="124" spans="2:21" ht="15.75" thickBot="1">
      <c r="B124" s="22" t="s">
        <v>20</v>
      </c>
      <c r="C124"/>
      <c r="D124" s="3">
        <f>SUM(D107:D118)</f>
        <v>258.20571970126935</v>
      </c>
      <c r="E124" s="3">
        <f>SUM(E107:E118)</f>
        <v>33.421510821243032</v>
      </c>
      <c r="F124" s="3">
        <f>SUM(F107:F118)</f>
        <v>9.8914038269767204</v>
      </c>
      <c r="G124" s="3">
        <f>SUM(G107:G118)</f>
        <v>6.893901905407458</v>
      </c>
      <c r="H124" s="3">
        <f>SUM(H107:H118)</f>
        <v>12981.261481586915</v>
      </c>
      <c r="J124" s="3">
        <f>SUM(J107:J118)</f>
        <v>201.3435256343634</v>
      </c>
      <c r="K124" s="3">
        <f t="shared" ref="K124:N124" si="93">SUM(K107:K118)</f>
        <v>19.538499542435289</v>
      </c>
      <c r="L124" s="3">
        <f t="shared" si="93"/>
        <v>2.6612123247004047</v>
      </c>
      <c r="M124" s="3">
        <f t="shared" si="93"/>
        <v>8.8350305171096259</v>
      </c>
      <c r="N124" s="3">
        <f t="shared" si="93"/>
        <v>5.643686635416425</v>
      </c>
      <c r="Q124" s="269">
        <f t="shared" ref="Q124:U124" si="94">SUM(Q107:Q118)</f>
        <v>3.0834653480955709</v>
      </c>
      <c r="R124" s="269">
        <f t="shared" si="94"/>
        <v>3.2581765060996912</v>
      </c>
      <c r="S124" s="269">
        <f t="shared" si="94"/>
        <v>4.2190742423231224</v>
      </c>
      <c r="T124" s="269">
        <f t="shared" ref="T124" si="95">SUM(T107:T118)</f>
        <v>3.4508290245779905</v>
      </c>
      <c r="U124" s="269">
        <f t="shared" si="94"/>
        <v>4.2116670927072724</v>
      </c>
    </row>
    <row r="125" spans="2:21" ht="15.75" thickBot="1">
      <c r="B125" s="22" t="s">
        <v>62</v>
      </c>
      <c r="C125"/>
      <c r="D125" s="3">
        <f t="shared" ref="D125:H126" si="96">D122*12</f>
        <v>271.62306372342277</v>
      </c>
      <c r="E125" s="3">
        <f t="shared" si="96"/>
        <v>37.223967866985952</v>
      </c>
      <c r="F125" s="3">
        <f t="shared" si="96"/>
        <v>12.305265951996867</v>
      </c>
      <c r="G125" s="3">
        <f t="shared" si="96"/>
        <v>11.651790895210869</v>
      </c>
      <c r="H125" s="3">
        <f t="shared" si="96"/>
        <v>13140.791137106646</v>
      </c>
      <c r="J125" s="3">
        <f t="shared" ref="J125:N125" si="97">J122*12</f>
        <v>211.17588778061241</v>
      </c>
      <c r="K125" s="3">
        <f t="shared" si="97"/>
        <v>20.307815261086418</v>
      </c>
      <c r="L125" s="3">
        <f t="shared" si="97"/>
        <v>3.0193077803140929</v>
      </c>
      <c r="M125" s="3">
        <f t="shared" si="97"/>
        <v>9.6130182302053289</v>
      </c>
      <c r="N125" s="3">
        <f t="shared" si="97"/>
        <v>6.1784082059245087</v>
      </c>
      <c r="Q125" s="269">
        <f t="shared" ref="Q125:U125" si="98">Q122*12</f>
        <v>5.3685811949313891</v>
      </c>
      <c r="R125" s="269">
        <f t="shared" si="98"/>
        <v>3.6990294022473895</v>
      </c>
      <c r="S125" s="269">
        <f t="shared" si="98"/>
        <v>4.9687786158329486</v>
      </c>
      <c r="T125" s="269">
        <f t="shared" ref="T125" si="99">T122*12</f>
        <v>3.88482326971313</v>
      </c>
      <c r="U125" s="269">
        <f t="shared" si="98"/>
        <v>4.9687790401389682</v>
      </c>
    </row>
    <row r="126" spans="2:21" ht="15.75" thickBot="1">
      <c r="B126" s="22" t="s">
        <v>207</v>
      </c>
      <c r="C126"/>
      <c r="D126" s="3">
        <f t="shared" si="96"/>
        <v>263.92646643187732</v>
      </c>
      <c r="E126" s="3">
        <f t="shared" si="96"/>
        <v>34.754499106579225</v>
      </c>
      <c r="F126" s="3">
        <f t="shared" si="96"/>
        <v>10.842087696023007</v>
      </c>
      <c r="G126" s="3">
        <f t="shared" si="96"/>
        <v>7.2014865076823318</v>
      </c>
      <c r="H126" s="3">
        <f t="shared" si="96"/>
        <v>13066.093467106515</v>
      </c>
      <c r="J126" s="3">
        <f t="shared" ref="J126:N126" si="100">J123*12</f>
        <v>208.25190738188471</v>
      </c>
      <c r="K126" s="3">
        <f t="shared" si="100"/>
        <v>19.884694840056198</v>
      </c>
      <c r="L126" s="3">
        <f t="shared" si="100"/>
        <v>2.727779516037935</v>
      </c>
      <c r="M126" s="3">
        <f t="shared" si="100"/>
        <v>9.0657315212377547</v>
      </c>
      <c r="N126" s="3">
        <f t="shared" si="100"/>
        <v>5.7787788905157331</v>
      </c>
      <c r="Q126" s="269">
        <f t="shared" ref="Q126:U126" si="101">Q123*12</f>
        <v>3.0869892484976114</v>
      </c>
      <c r="R126" s="269">
        <f t="shared" si="101"/>
        <v>3.5905920812861303</v>
      </c>
      <c r="S126" s="269">
        <f t="shared" si="101"/>
        <v>4.7733719021327659</v>
      </c>
      <c r="T126" s="269">
        <f t="shared" ref="T126" si="102">T123*12</f>
        <v>3.8101190740968387</v>
      </c>
      <c r="U126" s="269">
        <f t="shared" si="101"/>
        <v>4.7733716435353326</v>
      </c>
    </row>
    <row r="127" spans="2:21">
      <c r="B127" s="33"/>
    </row>
  </sheetData>
  <autoFilter ref="B2:U101" xr:uid="{69D2BAB4-71C3-4490-AA2A-8E8BC3DC7B9F}">
    <sortState xmlns:xlrd2="http://schemas.microsoft.com/office/spreadsheetml/2017/richdata2" ref="B3:U101">
      <sortCondition ref="C2:C101"/>
    </sortState>
  </autoFilter>
  <mergeCells count="3">
    <mergeCell ref="D1:H1"/>
    <mergeCell ref="Q1:U1"/>
    <mergeCell ref="J1:N1"/>
  </mergeCells>
  <pageMargins left="0.511811024" right="0.511811024" top="0.78740157499999996" bottom="0.78740157499999996" header="0.31496062000000002" footer="0.31496062000000002"/>
  <pageSetup paperSize="9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06DC5D-8C87-4D34-9530-D03E750E34C7}">
  <dimension ref="A1:D118"/>
  <sheetViews>
    <sheetView workbookViewId="0">
      <selection activeCell="D36" sqref="D36"/>
    </sheetView>
  </sheetViews>
  <sheetFormatPr defaultRowHeight="15"/>
  <cols>
    <col min="1" max="1" width="24.42578125" customWidth="1"/>
    <col min="2" max="2" width="16.7109375" customWidth="1"/>
    <col min="3" max="3" width="14.140625" style="44" bestFit="1" customWidth="1"/>
  </cols>
  <sheetData>
    <row r="1" spans="1:3" ht="15.75" thickBot="1">
      <c r="A1">
        <v>0.9</v>
      </c>
    </row>
    <row r="2" spans="1:3" ht="15.75" thickBot="1">
      <c r="A2">
        <f t="shared" ref="A2:A8" si="0">MONTH(DATE(YEAR(B2),MONTH(B2),DAY(B2)))</f>
        <v>1</v>
      </c>
      <c r="B2" s="40">
        <v>43101</v>
      </c>
    </row>
    <row r="3" spans="1:3" ht="15.75" thickBot="1">
      <c r="A3">
        <f t="shared" si="0"/>
        <v>1</v>
      </c>
      <c r="B3" s="68">
        <v>43466</v>
      </c>
      <c r="C3" s="70">
        <v>0.79511960000000004</v>
      </c>
    </row>
    <row r="4" spans="1:3" ht="15.75" thickBot="1">
      <c r="A4">
        <f t="shared" si="0"/>
        <v>1</v>
      </c>
      <c r="B4" s="40">
        <v>43831</v>
      </c>
      <c r="C4" s="70">
        <v>0.73814230000000003</v>
      </c>
    </row>
    <row r="5" spans="1:3" ht="15.75" thickBot="1">
      <c r="A5">
        <f t="shared" si="0"/>
        <v>1</v>
      </c>
      <c r="B5" s="68">
        <v>44197</v>
      </c>
      <c r="C5" s="70">
        <v>0.714588</v>
      </c>
    </row>
    <row r="6" spans="1:3" ht="15.75" thickBot="1">
      <c r="A6">
        <f t="shared" si="0"/>
        <v>1</v>
      </c>
      <c r="B6" s="40">
        <v>44562</v>
      </c>
      <c r="C6" s="70">
        <v>0.99069879999999999</v>
      </c>
    </row>
    <row r="7" spans="1:3" ht="15.75" thickBot="1">
      <c r="A7">
        <f t="shared" si="0"/>
        <v>1</v>
      </c>
      <c r="B7" s="68">
        <v>44927</v>
      </c>
      <c r="C7" s="70">
        <v>0.89223549999999996</v>
      </c>
    </row>
    <row r="8" spans="1:3" ht="15.75" thickBot="1">
      <c r="A8">
        <f t="shared" si="0"/>
        <v>1</v>
      </c>
      <c r="B8" s="40">
        <v>45292</v>
      </c>
      <c r="C8" s="70">
        <v>0.97779439999999995</v>
      </c>
    </row>
    <row r="9" spans="1:3" ht="15.75" thickBot="1">
      <c r="B9" s="68"/>
      <c r="C9" s="70">
        <f>_xlfn.FORECAST.ETS(DATE(2025,1,1),C$2:C$8,$B$2:$B$8,1,1)+_xlfn.FORECAST.ETS.CONFINT(DATE(2025,1,1),C$2:C$8,$B$2:$B$8,$A$1,1)</f>
        <v>1.2067979705650336</v>
      </c>
    </row>
    <row r="10" spans="1:3" ht="15.75" thickBot="1">
      <c r="A10">
        <f t="shared" ref="A10:A16" si="1">MONTH(DATE(YEAR(B10),MONTH(B10),DAY(B10)))</f>
        <v>2</v>
      </c>
      <c r="B10" s="41">
        <v>43132</v>
      </c>
    </row>
    <row r="11" spans="1:3" ht="15.75" thickBot="1">
      <c r="A11">
        <f t="shared" si="1"/>
        <v>2</v>
      </c>
      <c r="B11" s="69">
        <v>43497</v>
      </c>
      <c r="C11" s="74">
        <v>0.79899600000000004</v>
      </c>
    </row>
    <row r="12" spans="1:3" ht="15.75" thickBot="1">
      <c r="A12">
        <f t="shared" si="1"/>
        <v>2</v>
      </c>
      <c r="B12" s="41">
        <v>43862</v>
      </c>
      <c r="C12" s="74">
        <v>0.72550409999999999</v>
      </c>
    </row>
    <row r="13" spans="1:3" ht="15.75" thickBot="1">
      <c r="A13">
        <f t="shared" si="1"/>
        <v>2</v>
      </c>
      <c r="B13" s="69">
        <v>44228</v>
      </c>
      <c r="C13" s="74">
        <v>0.72646089999999997</v>
      </c>
    </row>
    <row r="14" spans="1:3" ht="15.75" thickBot="1">
      <c r="A14">
        <f t="shared" si="1"/>
        <v>2</v>
      </c>
      <c r="B14" s="41">
        <v>44593</v>
      </c>
      <c r="C14" s="74">
        <v>1.5645993</v>
      </c>
    </row>
    <row r="15" spans="1:3" ht="15.75" thickBot="1">
      <c r="A15">
        <f t="shared" si="1"/>
        <v>2</v>
      </c>
      <c r="B15" s="69">
        <v>44958</v>
      </c>
      <c r="C15" s="71">
        <v>0.88815259999999996</v>
      </c>
    </row>
    <row r="16" spans="1:3" ht="15.75" thickBot="1">
      <c r="A16">
        <f t="shared" si="1"/>
        <v>2</v>
      </c>
      <c r="B16" s="41">
        <v>45323</v>
      </c>
      <c r="C16" s="46">
        <v>0.99017820000000001</v>
      </c>
    </row>
    <row r="17" spans="1:4" ht="15.75" thickBot="1">
      <c r="B17" s="41"/>
      <c r="C17" s="70">
        <f>_xlfn.FORECAST.ETS(DATE(2025,1,1),C$10:C$16,$B$10:$B$16,1,1)+_xlfn.FORECAST.ETS.CONFINT(DATE(2025,1,1),C$10:C$16,$B$10:$B$16,$A$1,1)</f>
        <v>1.6160369597815663</v>
      </c>
    </row>
    <row r="18" spans="1:4" ht="15.75" thickBot="1">
      <c r="A18">
        <f t="shared" ref="A18:A24" si="2">MONTH(DATE(YEAR(B18),MONTH(B18),DAY(B18)))</f>
        <v>3</v>
      </c>
      <c r="B18" s="40">
        <v>43160</v>
      </c>
      <c r="C18" s="72"/>
    </row>
    <row r="19" spans="1:4" ht="15.75" thickBot="1">
      <c r="A19">
        <f t="shared" si="2"/>
        <v>3</v>
      </c>
      <c r="B19" s="68">
        <v>43525</v>
      </c>
      <c r="C19" s="47">
        <v>0.79773760000000005</v>
      </c>
      <c r="D19" s="50"/>
    </row>
    <row r="20" spans="1:4" ht="15.75" thickBot="1">
      <c r="A20">
        <f t="shared" si="2"/>
        <v>3</v>
      </c>
      <c r="B20" s="40">
        <v>43891</v>
      </c>
      <c r="C20" s="47">
        <v>0.72378050000000005</v>
      </c>
      <c r="D20" s="43"/>
    </row>
    <row r="21" spans="1:4" ht="15.75" thickBot="1">
      <c r="A21">
        <f t="shared" si="2"/>
        <v>3</v>
      </c>
      <c r="B21" s="68">
        <v>44256</v>
      </c>
      <c r="C21" s="47">
        <v>0.72100699999999995</v>
      </c>
      <c r="D21" s="42"/>
    </row>
    <row r="22" spans="1:4" ht="15.75" thickBot="1">
      <c r="A22">
        <f t="shared" si="2"/>
        <v>3</v>
      </c>
      <c r="B22" s="40">
        <v>44621</v>
      </c>
      <c r="C22" s="47">
        <v>0.76657730000000002</v>
      </c>
      <c r="D22" s="43"/>
    </row>
    <row r="23" spans="1:4" ht="15.75" thickBot="1">
      <c r="A23">
        <f t="shared" si="2"/>
        <v>3</v>
      </c>
      <c r="B23" s="68">
        <v>44986</v>
      </c>
      <c r="C23" s="47">
        <v>0.8651681</v>
      </c>
      <c r="D23" s="42"/>
    </row>
    <row r="24" spans="1:4" ht="15.75" thickBot="1">
      <c r="A24">
        <f t="shared" si="2"/>
        <v>3</v>
      </c>
      <c r="B24" s="40">
        <v>45352</v>
      </c>
      <c r="C24" s="47">
        <v>0.98029670000000002</v>
      </c>
      <c r="D24" s="43"/>
    </row>
    <row r="25" spans="1:4" ht="15.75" thickBot="1">
      <c r="B25" s="68"/>
      <c r="C25" s="70">
        <f>_xlfn.FORECAST.ETS(DATE(2025,1,1),C$18:C$24,$B$18:$B$24,1,1)+_xlfn.FORECAST.ETS.CONFINT(DATE(2025,1,1),C$18:C$24,$B$18:$B$24,$A$1,1)</f>
        <v>1.1205195610549286</v>
      </c>
      <c r="D25" s="43"/>
    </row>
    <row r="26" spans="1:4" ht="15.75" thickBot="1">
      <c r="A26">
        <f t="shared" ref="A26:A32" si="3">MONTH(DATE(YEAR(B26),MONTH(B26),DAY(B26)))</f>
        <v>4</v>
      </c>
      <c r="B26" s="41">
        <v>43191</v>
      </c>
      <c r="C26" s="72"/>
      <c r="D26" s="42"/>
    </row>
    <row r="27" spans="1:4" ht="15.75" thickBot="1">
      <c r="A27">
        <f t="shared" si="3"/>
        <v>4</v>
      </c>
      <c r="B27" s="69">
        <v>43556</v>
      </c>
      <c r="C27" s="46">
        <v>0.79687980000000003</v>
      </c>
      <c r="D27" s="43"/>
    </row>
    <row r="28" spans="1:4" ht="15.75" thickBot="1">
      <c r="A28">
        <f t="shared" si="3"/>
        <v>4</v>
      </c>
      <c r="B28" s="41">
        <v>43922</v>
      </c>
      <c r="C28" s="46">
        <v>0.72469209999999995</v>
      </c>
      <c r="D28" s="42"/>
    </row>
    <row r="29" spans="1:4" ht="15.75" thickBot="1">
      <c r="A29">
        <f t="shared" si="3"/>
        <v>4</v>
      </c>
      <c r="B29" s="69">
        <v>44287</v>
      </c>
      <c r="C29" s="71">
        <v>0.72460610000000003</v>
      </c>
    </row>
    <row r="30" spans="1:4" ht="15.75" thickBot="1">
      <c r="A30">
        <f t="shared" si="3"/>
        <v>4</v>
      </c>
      <c r="B30" s="41">
        <v>44652</v>
      </c>
      <c r="C30" s="46">
        <v>0.82288729999999999</v>
      </c>
    </row>
    <row r="31" spans="1:4" ht="15.75" thickBot="1">
      <c r="A31">
        <f t="shared" si="3"/>
        <v>4</v>
      </c>
      <c r="B31" s="69">
        <v>45017</v>
      </c>
      <c r="C31" s="46">
        <v>0.88702499999999995</v>
      </c>
    </row>
    <row r="32" spans="1:4" ht="15.75" thickBot="1">
      <c r="A32">
        <f t="shared" si="3"/>
        <v>4</v>
      </c>
      <c r="B32" s="41">
        <v>45383</v>
      </c>
      <c r="C32" s="46">
        <v>1.0093529999999999</v>
      </c>
    </row>
    <row r="33" spans="1:3" ht="15.75" thickBot="1">
      <c r="B33" s="41"/>
      <c r="C33" s="70">
        <f>_xlfn.FORECAST.ETS(DATE(2025,1,1),C$26:C$32,$B$26:$B$32,1,1)+_xlfn.FORECAST.ETS.CONFINT(DATE(2025,1,1),C$26:C$32,$B$26:$B$32,$A$1,1)</f>
        <v>1.1412049968375071</v>
      </c>
    </row>
    <row r="34" spans="1:3" ht="15.75" thickBot="1">
      <c r="A34">
        <f t="shared" ref="A34:A40" si="4">MONTH(DATE(YEAR(B34),MONTH(B34),DAY(B34)))</f>
        <v>5</v>
      </c>
      <c r="B34" s="40">
        <v>43221</v>
      </c>
      <c r="C34" s="72"/>
    </row>
    <row r="35" spans="1:3" ht="15.75" thickBot="1">
      <c r="A35">
        <f t="shared" si="4"/>
        <v>5</v>
      </c>
      <c r="B35" s="68">
        <v>43586</v>
      </c>
      <c r="C35" s="47">
        <v>0.80181089999999999</v>
      </c>
    </row>
    <row r="36" spans="1:3" ht="15.75" thickBot="1">
      <c r="A36">
        <f t="shared" si="4"/>
        <v>5</v>
      </c>
      <c r="B36" s="40">
        <v>43952</v>
      </c>
      <c r="C36" s="47">
        <v>0.72540249999999995</v>
      </c>
    </row>
    <row r="37" spans="1:3" ht="15.75" thickBot="1">
      <c r="A37">
        <f t="shared" si="4"/>
        <v>5</v>
      </c>
      <c r="B37" s="68">
        <v>44317</v>
      </c>
      <c r="C37" s="47">
        <v>0.76682039999999996</v>
      </c>
    </row>
    <row r="38" spans="1:3" ht="15.75" thickBot="1">
      <c r="A38">
        <f t="shared" si="4"/>
        <v>5</v>
      </c>
      <c r="B38" s="40">
        <v>44682</v>
      </c>
      <c r="C38" s="47">
        <v>0.78298780000000001</v>
      </c>
    </row>
    <row r="39" spans="1:3" ht="15.75" thickBot="1">
      <c r="A39">
        <f t="shared" si="4"/>
        <v>5</v>
      </c>
      <c r="B39" s="68">
        <v>45047</v>
      </c>
      <c r="C39" s="47">
        <v>0.89143870000000003</v>
      </c>
    </row>
    <row r="40" spans="1:3" ht="15.75" thickBot="1">
      <c r="A40">
        <f t="shared" si="4"/>
        <v>5</v>
      </c>
      <c r="B40" s="40">
        <v>45413</v>
      </c>
      <c r="C40" s="47">
        <v>0.99571129999999997</v>
      </c>
    </row>
    <row r="41" spans="1:3" ht="15.75" thickBot="1">
      <c r="B41" s="68"/>
      <c r="C41" s="70">
        <f>_xlfn.FORECAST.ETS(DATE(2025,1,1),C$34:C$40,$B$34:$B$40,1,1)+_xlfn.FORECAST.ETS.CONFINT(DATE(2025,1,1),C$34:C$40,$B$34:$B$40,$A$1,1)</f>
        <v>1.1100608614774752</v>
      </c>
    </row>
    <row r="42" spans="1:3" ht="15.75" thickBot="1">
      <c r="A42">
        <f t="shared" ref="A42:A48" si="5">MONTH(DATE(YEAR(B42),MONTH(B42),DAY(B42)))</f>
        <v>6</v>
      </c>
      <c r="B42" s="41">
        <v>43252</v>
      </c>
      <c r="C42" s="72"/>
    </row>
    <row r="43" spans="1:3" ht="15.75" thickBot="1">
      <c r="A43">
        <f t="shared" si="5"/>
        <v>6</v>
      </c>
      <c r="B43" s="69">
        <v>43617</v>
      </c>
      <c r="C43" s="71">
        <v>0.79800450000000001</v>
      </c>
    </row>
    <row r="44" spans="1:3" ht="15.75" thickBot="1">
      <c r="A44">
        <f t="shared" si="5"/>
        <v>6</v>
      </c>
      <c r="B44" s="41">
        <v>43983</v>
      </c>
      <c r="C44" s="46">
        <v>0.72045859999999995</v>
      </c>
    </row>
    <row r="45" spans="1:3" ht="15.75" thickBot="1">
      <c r="A45">
        <f t="shared" si="5"/>
        <v>6</v>
      </c>
      <c r="B45" s="69">
        <v>44348</v>
      </c>
      <c r="C45" s="46">
        <v>0.79868519999999998</v>
      </c>
    </row>
    <row r="46" spans="1:3" ht="15.75" thickBot="1">
      <c r="A46">
        <f t="shared" si="5"/>
        <v>6</v>
      </c>
      <c r="B46" s="41">
        <v>44713</v>
      </c>
      <c r="C46" s="46">
        <v>0.71244229999999997</v>
      </c>
    </row>
    <row r="47" spans="1:3" ht="15.75" thickBot="1">
      <c r="A47">
        <f t="shared" si="5"/>
        <v>6</v>
      </c>
      <c r="B47" s="69">
        <v>45078</v>
      </c>
      <c r="C47" s="46">
        <v>0.90097959999999999</v>
      </c>
    </row>
    <row r="48" spans="1:3" ht="15.75" thickBot="1">
      <c r="A48">
        <f t="shared" si="5"/>
        <v>6</v>
      </c>
      <c r="B48" s="41">
        <v>45444</v>
      </c>
      <c r="C48" s="48"/>
    </row>
    <row r="49" spans="1:3" ht="15.75" thickBot="1">
      <c r="B49" s="41"/>
      <c r="C49" s="70">
        <f>_xlfn.FORECAST.ETS(DATE(2025,1,1),C$42:C$48,$B$42:$B$48,1,1)+_xlfn.FORECAST.ETS.CONFINT(DATE(2025,1,1),C$42:C$48,$B$42:$B$48,$A$1,1)</f>
        <v>0.89106770573835026</v>
      </c>
    </row>
    <row r="50" spans="1:3" ht="15.75" thickBot="1">
      <c r="A50">
        <f t="shared" ref="A50:A56" si="6">MONTH(DATE(YEAR(B50),MONTH(B50),DAY(B50)))</f>
        <v>7</v>
      </c>
      <c r="B50" s="40">
        <v>43282</v>
      </c>
      <c r="C50" s="72"/>
    </row>
    <row r="51" spans="1:3" ht="15.75" thickBot="1">
      <c r="A51">
        <f t="shared" si="6"/>
        <v>7</v>
      </c>
      <c r="B51" s="68">
        <v>43647</v>
      </c>
      <c r="C51" s="47">
        <v>0.81766300000000003</v>
      </c>
    </row>
    <row r="52" spans="1:3" ht="15.75" thickBot="1">
      <c r="A52">
        <f t="shared" si="6"/>
        <v>7</v>
      </c>
      <c r="B52" s="40">
        <v>44013</v>
      </c>
      <c r="C52" s="47">
        <v>0.7186593</v>
      </c>
    </row>
    <row r="53" spans="1:3" ht="15.75" thickBot="1">
      <c r="A53">
        <f t="shared" si="6"/>
        <v>7</v>
      </c>
      <c r="B53" s="68">
        <v>44378</v>
      </c>
      <c r="C53" s="47">
        <v>0.88247189999999998</v>
      </c>
    </row>
    <row r="54" spans="1:3" ht="15.75" thickBot="1">
      <c r="A54">
        <f t="shared" si="6"/>
        <v>7</v>
      </c>
      <c r="B54" s="40">
        <v>44743</v>
      </c>
      <c r="C54" s="47">
        <v>0.71742130000000004</v>
      </c>
    </row>
    <row r="55" spans="1:3" ht="15.75" thickBot="1">
      <c r="A55">
        <f t="shared" si="6"/>
        <v>7</v>
      </c>
      <c r="B55" s="68">
        <v>45108</v>
      </c>
      <c r="C55" s="47">
        <v>0.87932259999999995</v>
      </c>
    </row>
    <row r="56" spans="1:3" ht="15.75" thickBot="1">
      <c r="A56">
        <f t="shared" si="6"/>
        <v>7</v>
      </c>
      <c r="B56" s="40">
        <v>45474</v>
      </c>
      <c r="C56" s="73"/>
    </row>
    <row r="57" spans="1:3" ht="15.75" thickBot="1">
      <c r="B57" s="68"/>
      <c r="C57" s="70">
        <f>_xlfn.FORECAST.ETS(DATE(2025,1,1),C$50:C$56,$B$50:$B$56,1,1)+_xlfn.FORECAST.ETS.CONFINT(DATE(2025,1,1),C$50:C$56,$B$50:$B$56,$A$1,1)</f>
        <v>0.85737145433830175</v>
      </c>
    </row>
    <row r="58" spans="1:3" ht="15.75" thickBot="1">
      <c r="A58">
        <f t="shared" ref="A58:A64" si="7">MONTH(DATE(YEAR(B58),MONTH(B58),DAY(B58)))</f>
        <v>8</v>
      </c>
      <c r="B58" s="41">
        <v>43313</v>
      </c>
      <c r="C58" s="72"/>
    </row>
    <row r="59" spans="1:3" ht="15.75" thickBot="1">
      <c r="A59">
        <f t="shared" si="7"/>
        <v>8</v>
      </c>
      <c r="B59" s="69">
        <v>43678</v>
      </c>
      <c r="C59" s="46">
        <v>0.84544149999999996</v>
      </c>
    </row>
    <row r="60" spans="1:3" ht="15.75" thickBot="1">
      <c r="A60">
        <f t="shared" si="7"/>
        <v>8</v>
      </c>
      <c r="B60" s="41">
        <v>44044</v>
      </c>
      <c r="C60" s="46">
        <v>0.71766339999999995</v>
      </c>
    </row>
    <row r="61" spans="1:3" ht="15.75" thickBot="1">
      <c r="A61">
        <f t="shared" si="7"/>
        <v>8</v>
      </c>
      <c r="B61" s="69">
        <v>44409</v>
      </c>
      <c r="C61" s="46">
        <v>0.90135779999999999</v>
      </c>
    </row>
    <row r="62" spans="1:3" ht="15.75" thickBot="1">
      <c r="A62">
        <f t="shared" si="7"/>
        <v>8</v>
      </c>
      <c r="B62" s="41">
        <v>44774</v>
      </c>
      <c r="C62" s="46">
        <v>0.7101539</v>
      </c>
    </row>
    <row r="63" spans="1:3" ht="15.75" thickBot="1">
      <c r="A63">
        <f t="shared" si="7"/>
        <v>8</v>
      </c>
      <c r="B63" s="69">
        <v>45139</v>
      </c>
      <c r="C63" s="46">
        <v>0.88973599999999997</v>
      </c>
    </row>
    <row r="64" spans="1:3" ht="15.75" thickBot="1">
      <c r="A64">
        <f t="shared" si="7"/>
        <v>8</v>
      </c>
      <c r="B64" s="41">
        <v>45505</v>
      </c>
      <c r="C64" s="48"/>
    </row>
    <row r="65" spans="1:3" ht="15.75" thickBot="1">
      <c r="B65" s="41"/>
      <c r="C65" s="70">
        <f>_xlfn.FORECAST.ETS(DATE(2025,1,1),C$58:C$64,$B$58:$B$64,1,1)+_xlfn.FORECAST.ETS.CONFINT(DATE(2025,1,1),C$58:C$64,$B$58:$B$64,$A$1,1)</f>
        <v>0.8354565915642892</v>
      </c>
    </row>
    <row r="66" spans="1:3" ht="15.75" thickBot="1">
      <c r="A66">
        <f t="shared" ref="A66:A72" si="8">MONTH(DATE(YEAR(B66),MONTH(B66),DAY(B66)))</f>
        <v>9</v>
      </c>
      <c r="B66" s="40">
        <v>43344</v>
      </c>
      <c r="C66" s="72"/>
    </row>
    <row r="67" spans="1:3" ht="15.75" thickBot="1">
      <c r="A67">
        <f t="shared" si="8"/>
        <v>9</v>
      </c>
      <c r="B67" s="68">
        <v>43709</v>
      </c>
      <c r="C67" s="76">
        <v>0</v>
      </c>
    </row>
    <row r="68" spans="1:3" ht="15.75" thickBot="1">
      <c r="A68">
        <f t="shared" si="8"/>
        <v>9</v>
      </c>
      <c r="B68" s="40">
        <v>44075</v>
      </c>
      <c r="C68" s="47">
        <v>0.71469320000000003</v>
      </c>
    </row>
    <row r="69" spans="1:3" ht="15.75" thickBot="1">
      <c r="A69">
        <f t="shared" si="8"/>
        <v>9</v>
      </c>
      <c r="B69" s="68">
        <v>44440</v>
      </c>
      <c r="C69" s="47">
        <v>0.89151590000000003</v>
      </c>
    </row>
    <row r="70" spans="1:3" ht="15.75" thickBot="1">
      <c r="A70">
        <f t="shared" si="8"/>
        <v>9</v>
      </c>
      <c r="B70" s="40">
        <v>44805</v>
      </c>
      <c r="C70" s="45">
        <v>0.73372000000000004</v>
      </c>
    </row>
    <row r="71" spans="1:3" ht="15.75" thickBot="1">
      <c r="A71">
        <f t="shared" si="8"/>
        <v>9</v>
      </c>
      <c r="B71" s="68">
        <v>45170</v>
      </c>
      <c r="C71" s="47">
        <v>0.90647339999999998</v>
      </c>
    </row>
    <row r="72" spans="1:3" ht="15.75" thickBot="1">
      <c r="A72">
        <f t="shared" si="8"/>
        <v>9</v>
      </c>
      <c r="B72" s="40">
        <v>45536</v>
      </c>
      <c r="C72" s="49"/>
    </row>
    <row r="73" spans="1:3" ht="15.75" thickBot="1">
      <c r="B73" s="68"/>
      <c r="C73" s="70">
        <f>_xlfn.FORECAST.ETS(DATE(2025,1,1),C$66:C$72,$B$66:$B$72,1,1)+_xlfn.FORECAST.ETS.CONFINT(DATE(2025,1,1),C$66:C$72,$B$66:$B$72,$A$1,1)</f>
        <v>1.6769600650412428</v>
      </c>
    </row>
    <row r="74" spans="1:3" ht="15.75" thickBot="1">
      <c r="A74">
        <f t="shared" ref="A74:A80" si="9">MONTH(DATE(YEAR(B74),MONTH(B74),DAY(B74)))</f>
        <v>10</v>
      </c>
      <c r="B74" s="41">
        <v>43374</v>
      </c>
      <c r="C74" s="72"/>
    </row>
    <row r="75" spans="1:3" ht="15.75" thickBot="1">
      <c r="A75">
        <f t="shared" si="9"/>
        <v>10</v>
      </c>
      <c r="B75" s="69">
        <v>43739</v>
      </c>
      <c r="C75" s="46">
        <v>0.78585740000000004</v>
      </c>
    </row>
    <row r="76" spans="1:3" ht="15.75" thickBot="1">
      <c r="A76">
        <f t="shared" si="9"/>
        <v>10</v>
      </c>
      <c r="B76" s="41">
        <v>44105</v>
      </c>
      <c r="C76" s="46">
        <v>0.71580779999999999</v>
      </c>
    </row>
    <row r="77" spans="1:3" ht="15.75" thickBot="1">
      <c r="A77">
        <f t="shared" si="9"/>
        <v>10</v>
      </c>
      <c r="B77" s="69">
        <v>44470</v>
      </c>
      <c r="C77" s="46">
        <v>0.96929699999999996</v>
      </c>
    </row>
    <row r="78" spans="1:3" ht="15.75" thickBot="1">
      <c r="A78">
        <f t="shared" si="9"/>
        <v>10</v>
      </c>
      <c r="B78" s="41">
        <v>44835</v>
      </c>
      <c r="C78" s="75">
        <v>0.80112530000000004</v>
      </c>
    </row>
    <row r="79" spans="1:3" ht="15.75" thickBot="1">
      <c r="A79">
        <f t="shared" si="9"/>
        <v>10</v>
      </c>
      <c r="B79" s="69">
        <v>45200</v>
      </c>
      <c r="C79" s="46">
        <v>0.94056280000000003</v>
      </c>
    </row>
    <row r="80" spans="1:3" ht="15.75" thickBot="1">
      <c r="A80">
        <f t="shared" si="9"/>
        <v>10</v>
      </c>
      <c r="B80" s="41">
        <v>45566</v>
      </c>
      <c r="C80" s="48"/>
    </row>
    <row r="81" spans="1:3" ht="15.75" thickBot="1">
      <c r="B81" s="41"/>
      <c r="C81" s="70">
        <f>_xlfn.FORECAST.ETS(DATE(2025,1,1),C$74:C$80,$B$74:$B$80,1,1)+_xlfn.FORECAST.ETS.CONFINT(DATE(2025,1,1),C$74:C$80,$B$74:$B$80,$A$1,1)</f>
        <v>0.98383586697865111</v>
      </c>
    </row>
    <row r="82" spans="1:3" ht="15.75" thickBot="1">
      <c r="A82">
        <f t="shared" ref="A82:A88" si="10">MONTH(DATE(YEAR(B82),MONTH(B82),DAY(B82)))</f>
        <v>11</v>
      </c>
      <c r="B82" s="40">
        <v>43405</v>
      </c>
      <c r="C82" s="72"/>
    </row>
    <row r="83" spans="1:3" ht="15.75" thickBot="1">
      <c r="A83">
        <f t="shared" si="10"/>
        <v>11</v>
      </c>
      <c r="B83" s="68">
        <v>43770</v>
      </c>
      <c r="C83" s="47">
        <v>0.77806280000000005</v>
      </c>
    </row>
    <row r="84" spans="1:3" ht="15.75" thickBot="1">
      <c r="A84">
        <f t="shared" si="10"/>
        <v>11</v>
      </c>
      <c r="B84" s="40">
        <v>44136</v>
      </c>
      <c r="C84" s="45">
        <v>0.7472008</v>
      </c>
    </row>
    <row r="85" spans="1:3" ht="15.75" thickBot="1">
      <c r="A85">
        <f t="shared" si="10"/>
        <v>11</v>
      </c>
      <c r="B85" s="68">
        <v>44501</v>
      </c>
      <c r="C85" s="47">
        <v>1.0188596000000001</v>
      </c>
    </row>
    <row r="86" spans="1:3" ht="15.75" thickBot="1">
      <c r="A86">
        <f t="shared" si="10"/>
        <v>11</v>
      </c>
      <c r="B86" s="40">
        <v>44866</v>
      </c>
      <c r="C86" s="47">
        <v>0.95205039999999996</v>
      </c>
    </row>
    <row r="87" spans="1:3" ht="15.75" thickBot="1">
      <c r="A87">
        <f t="shared" si="10"/>
        <v>11</v>
      </c>
      <c r="B87" s="68">
        <v>45231</v>
      </c>
      <c r="C87" s="47">
        <v>0.98180400000000001</v>
      </c>
    </row>
    <row r="88" spans="1:3" ht="15.75" thickBot="1">
      <c r="A88">
        <f t="shared" si="10"/>
        <v>11</v>
      </c>
      <c r="B88" s="40">
        <v>45597</v>
      </c>
      <c r="C88" s="49"/>
    </row>
    <row r="89" spans="1:3" ht="15.75" thickBot="1">
      <c r="B89" s="68"/>
      <c r="C89" s="70">
        <f>_xlfn.FORECAST.ETS(DATE(2025,1,1),C$82:C$88,$B$82:$B$88,1,1)+_xlfn.FORECAST.ETS.CONFINT(DATE(2025,1,1),C$82:C$88,$B$82:$B$88,$A$1,1)</f>
        <v>1.1641242992550143</v>
      </c>
    </row>
    <row r="90" spans="1:3" ht="15.75" thickBot="1">
      <c r="A90">
        <f t="shared" ref="A90:A96" si="11">MONTH(DATE(YEAR(B90),MONTH(B90),DAY(B90)))</f>
        <v>12</v>
      </c>
      <c r="B90" s="41">
        <v>43435</v>
      </c>
      <c r="C90" s="72"/>
    </row>
    <row r="91" spans="1:3" ht="15.75" thickBot="1">
      <c r="A91">
        <f t="shared" si="11"/>
        <v>12</v>
      </c>
      <c r="B91" s="69">
        <v>43800</v>
      </c>
      <c r="C91" s="46">
        <v>0.7599226</v>
      </c>
    </row>
    <row r="92" spans="1:3" ht="15.75" thickBot="1">
      <c r="A92">
        <f t="shared" si="11"/>
        <v>12</v>
      </c>
      <c r="B92" s="41">
        <v>44166</v>
      </c>
      <c r="C92" s="46">
        <v>0.76143959999999999</v>
      </c>
    </row>
    <row r="93" spans="1:3" ht="15.75" thickBot="1">
      <c r="A93">
        <f t="shared" si="11"/>
        <v>12</v>
      </c>
      <c r="B93" s="69">
        <v>44531</v>
      </c>
      <c r="C93" s="46">
        <v>1.0188599</v>
      </c>
    </row>
    <row r="94" spans="1:3" ht="15.75" thickBot="1">
      <c r="A94">
        <f t="shared" si="11"/>
        <v>12</v>
      </c>
      <c r="B94" s="41">
        <v>44896</v>
      </c>
      <c r="C94" s="46">
        <v>0.89269160000000003</v>
      </c>
    </row>
    <row r="95" spans="1:3" ht="15.75" thickBot="1">
      <c r="A95">
        <f t="shared" si="11"/>
        <v>12</v>
      </c>
      <c r="B95" s="69">
        <v>45261</v>
      </c>
      <c r="C95" s="46">
        <v>0.95643440000000002</v>
      </c>
    </row>
    <row r="96" spans="1:3" ht="15.75" thickBot="1">
      <c r="A96">
        <f t="shared" si="11"/>
        <v>12</v>
      </c>
      <c r="B96" s="41">
        <v>45627</v>
      </c>
      <c r="C96" s="48"/>
    </row>
    <row r="97" spans="1:3">
      <c r="C97" s="70">
        <f>_xlfn.FORECAST.ETS(DATE(2025,1,1),C$90:C$96,$B$90:$B$96,1,1)+_xlfn.FORECAST.ETS.CONFINT(DATE(2025,1,1),C$90:C$96,$B$90:$B$96,$A$1,1)</f>
        <v>1.0847913974079395</v>
      </c>
    </row>
    <row r="100" spans="1:3" ht="15.75" thickBot="1">
      <c r="A100" s="24">
        <v>45658</v>
      </c>
      <c r="C100" s="44">
        <f>C9</f>
        <v>1.2067979705650336</v>
      </c>
    </row>
    <row r="101" spans="1:3" ht="15.75" thickBot="1">
      <c r="A101" s="23">
        <v>45689</v>
      </c>
      <c r="C101" s="44">
        <f>C17</f>
        <v>1.6160369597815663</v>
      </c>
    </row>
    <row r="102" spans="1:3" ht="15.75" thickBot="1">
      <c r="A102" s="24">
        <v>45717</v>
      </c>
      <c r="C102" s="44">
        <f>C25</f>
        <v>1.1205195610549286</v>
      </c>
    </row>
    <row r="103" spans="1:3" ht="15.75" thickBot="1">
      <c r="A103" s="23">
        <v>45748</v>
      </c>
      <c r="C103" s="44">
        <f>C33</f>
        <v>1.1412049968375071</v>
      </c>
    </row>
    <row r="104" spans="1:3" ht="15.75" thickBot="1">
      <c r="A104" s="24">
        <v>45778</v>
      </c>
      <c r="C104" s="44">
        <f>C41</f>
        <v>1.1100608614774752</v>
      </c>
    </row>
    <row r="105" spans="1:3" ht="15.75" thickBot="1">
      <c r="A105" s="23">
        <v>45809</v>
      </c>
      <c r="C105" s="44">
        <f>C49</f>
        <v>0.89106770573835026</v>
      </c>
    </row>
    <row r="106" spans="1:3" ht="15.75" thickBot="1">
      <c r="A106" s="24">
        <v>45839</v>
      </c>
      <c r="C106" s="44">
        <f>C57</f>
        <v>0.85737145433830175</v>
      </c>
    </row>
    <row r="107" spans="1:3" ht="15.75" thickBot="1">
      <c r="A107" s="23">
        <v>45870</v>
      </c>
      <c r="C107" s="44">
        <f>C65</f>
        <v>0.8354565915642892</v>
      </c>
    </row>
    <row r="108" spans="1:3" ht="15.75" thickBot="1">
      <c r="A108" s="24">
        <v>45901</v>
      </c>
      <c r="C108" s="44">
        <f>C73</f>
        <v>1.6769600650412428</v>
      </c>
    </row>
    <row r="109" spans="1:3" ht="15.75" thickBot="1">
      <c r="A109" s="23">
        <v>45931</v>
      </c>
      <c r="C109" s="44">
        <f>C81</f>
        <v>0.98383586697865111</v>
      </c>
    </row>
    <row r="110" spans="1:3" ht="15.75" thickBot="1">
      <c r="A110" s="24">
        <v>45962</v>
      </c>
      <c r="C110" s="44">
        <f>C89</f>
        <v>1.1641242992550143</v>
      </c>
    </row>
    <row r="111" spans="1:3" ht="15.75" thickBot="1">
      <c r="A111" s="23">
        <v>45992</v>
      </c>
      <c r="C111" s="44">
        <f>C97</f>
        <v>1.0847913974079395</v>
      </c>
    </row>
    <row r="112" spans="1:3">
      <c r="A112" s="1" t="s">
        <v>58</v>
      </c>
      <c r="C112" s="28">
        <f>AVERAGE(C100:C111)</f>
        <v>1.140685644170025</v>
      </c>
    </row>
    <row r="113" spans="1:3">
      <c r="A113" s="1" t="s">
        <v>59</v>
      </c>
      <c r="C113" s="28">
        <f>MEDIAN(C100:C111)</f>
        <v>1.1152902112662018</v>
      </c>
    </row>
    <row r="114" spans="1:3">
      <c r="A114" s="1" t="s">
        <v>60</v>
      </c>
      <c r="C114" s="28">
        <f>MAX(C100:C111)</f>
        <v>1.6769600650412428</v>
      </c>
    </row>
    <row r="115" spans="1:3">
      <c r="A115" t="s">
        <v>61</v>
      </c>
      <c r="C115" s="28">
        <f>QUARTILE(C100:C111,3)</f>
        <v>1.1747927170825192</v>
      </c>
    </row>
    <row r="116" spans="1:3">
      <c r="A116" t="s">
        <v>20</v>
      </c>
      <c r="C116" s="3">
        <f>SUM(C100:C111)</f>
        <v>13.6882277300403</v>
      </c>
    </row>
    <row r="117" spans="1:3">
      <c r="A117" s="1" t="s">
        <v>62</v>
      </c>
      <c r="C117" s="3">
        <f t="shared" ref="C117:C118" si="12">C114*12</f>
        <v>20.123520780494914</v>
      </c>
    </row>
    <row r="118" spans="1:3">
      <c r="A118" t="s">
        <v>207</v>
      </c>
      <c r="C118" s="3">
        <f t="shared" si="12"/>
        <v>14.09751260499023</v>
      </c>
    </row>
  </sheetData>
  <autoFilter ref="A1:C1" xr:uid="{1006DC5D-8C87-4D34-9530-D03E750E34C7}">
    <sortState xmlns:xlrd2="http://schemas.microsoft.com/office/spreadsheetml/2017/richdata2" ref="A2:C85">
      <sortCondition ref="A1"/>
    </sortState>
  </autoFilter>
  <pageMargins left="0.511811024" right="0.511811024" top="0.78740157499999996" bottom="0.78740157499999996" header="0.31496062000000002" footer="0.31496062000000002"/>
  <pageSetup paperSize="9" orientation="portrait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BCEFF9-EA83-4F37-AD0C-87173A391635}">
  <dimension ref="A1:H51"/>
  <sheetViews>
    <sheetView showGridLines="0" workbookViewId="0">
      <selection activeCell="H1" sqref="H1"/>
    </sheetView>
  </sheetViews>
  <sheetFormatPr defaultColWidth="9.140625" defaultRowHeight="15"/>
  <cols>
    <col min="1" max="1" width="18.5703125" style="2" customWidth="1"/>
    <col min="2" max="7" width="9.85546875" style="2" customWidth="1"/>
    <col min="8" max="8" width="12.140625" style="2" customWidth="1"/>
    <col min="9" max="16384" width="9.140625" style="2"/>
  </cols>
  <sheetData>
    <row r="1" spans="1:8" s="54" customFormat="1">
      <c r="A1" s="363" t="s">
        <v>178</v>
      </c>
      <c r="B1" s="363"/>
      <c r="C1" s="363"/>
      <c r="D1" s="363"/>
      <c r="E1" s="363"/>
      <c r="F1" s="363"/>
      <c r="G1" s="363"/>
      <c r="H1" s="54">
        <v>0.98899999999999999</v>
      </c>
    </row>
    <row r="2" spans="1:8" ht="15" customHeight="1">
      <c r="A2" s="364" t="s">
        <v>208</v>
      </c>
      <c r="B2" s="365" t="s">
        <v>209</v>
      </c>
      <c r="C2" s="364"/>
      <c r="D2" s="364"/>
      <c r="E2" s="364"/>
      <c r="F2" s="364"/>
      <c r="G2" s="364"/>
    </row>
    <row r="3" spans="1:8">
      <c r="A3" s="364"/>
      <c r="B3" s="63">
        <v>2019</v>
      </c>
      <c r="C3" s="59">
        <v>2021</v>
      </c>
      <c r="D3" s="59">
        <v>2022</v>
      </c>
      <c r="E3" s="59">
        <v>2023</v>
      </c>
      <c r="F3" s="59">
        <v>2024</v>
      </c>
      <c r="G3" s="59">
        <v>2025</v>
      </c>
    </row>
    <row r="4" spans="1:8">
      <c r="A4" s="59" t="s">
        <v>210</v>
      </c>
      <c r="B4" s="60">
        <v>2.57</v>
      </c>
      <c r="C4" s="56">
        <v>2.7</v>
      </c>
      <c r="D4" s="56">
        <v>3</v>
      </c>
      <c r="E4" s="56">
        <v>3.18</v>
      </c>
      <c r="F4" s="56">
        <v>3.3</v>
      </c>
      <c r="G4" s="56">
        <f t="shared" ref="G4:G24" si="0">_xlfn.FORECAST.ETS($G$3,B4:F4,$B$3:$F$3)+_xlfn.FORECAST.ETS.CONFINT($G$3,B4:F4,$B$3:$F$3,$H$1)</f>
        <v>3.6866132012800881</v>
      </c>
    </row>
    <row r="5" spans="1:8">
      <c r="A5" s="59" t="s">
        <v>211</v>
      </c>
      <c r="B5" s="61">
        <v>4.2300000000000004</v>
      </c>
      <c r="C5" s="57">
        <v>4.45</v>
      </c>
      <c r="D5" s="57">
        <v>4.9400000000000004</v>
      </c>
      <c r="E5" s="57">
        <v>5.23</v>
      </c>
      <c r="F5" s="57">
        <v>5.43</v>
      </c>
      <c r="G5" s="57">
        <f t="shared" si="0"/>
        <v>6.0559410214458875</v>
      </c>
    </row>
    <row r="6" spans="1:8">
      <c r="A6" s="59" t="s">
        <v>212</v>
      </c>
      <c r="B6" s="61">
        <v>6.71</v>
      </c>
      <c r="C6" s="57">
        <v>7.06</v>
      </c>
      <c r="D6" s="57">
        <v>7.83</v>
      </c>
      <c r="E6" s="57">
        <v>8.3000000000000007</v>
      </c>
      <c r="F6" s="57">
        <v>8.6199999999999992</v>
      </c>
      <c r="G6" s="57">
        <f t="shared" si="0"/>
        <v>9.6110912739490466</v>
      </c>
    </row>
    <row r="7" spans="1:8">
      <c r="A7" s="59" t="s">
        <v>213</v>
      </c>
      <c r="B7" s="61">
        <v>8.32</v>
      </c>
      <c r="C7" s="57">
        <v>8.75</v>
      </c>
      <c r="D7" s="57">
        <v>9.7100000000000009</v>
      </c>
      <c r="E7" s="57">
        <v>10.29</v>
      </c>
      <c r="F7" s="57">
        <v>10.69</v>
      </c>
      <c r="G7" s="57">
        <f t="shared" si="0"/>
        <v>11.923436113072219</v>
      </c>
    </row>
    <row r="8" spans="1:8">
      <c r="A8" s="59" t="s">
        <v>214</v>
      </c>
      <c r="B8" s="61">
        <v>14.94</v>
      </c>
      <c r="C8" s="57">
        <v>15.72</v>
      </c>
      <c r="D8" s="57">
        <v>17.440000000000001</v>
      </c>
      <c r="E8" s="57">
        <v>18.48</v>
      </c>
      <c r="F8" s="57">
        <v>19.190000000000001</v>
      </c>
      <c r="G8" s="57">
        <f t="shared" si="0"/>
        <v>21.39841840334935</v>
      </c>
    </row>
    <row r="9" spans="1:8">
      <c r="A9" s="59" t="s">
        <v>215</v>
      </c>
      <c r="B9" s="61">
        <v>18.27</v>
      </c>
      <c r="C9" s="57">
        <v>19.22</v>
      </c>
      <c r="D9" s="57">
        <v>21.33</v>
      </c>
      <c r="E9" s="57">
        <v>22.6</v>
      </c>
      <c r="F9" s="57">
        <v>23.47</v>
      </c>
      <c r="G9" s="57">
        <f t="shared" si="0"/>
        <v>26.177485903511389</v>
      </c>
    </row>
    <row r="10" spans="1:8">
      <c r="A10" s="59" t="s">
        <v>216</v>
      </c>
      <c r="B10" s="61">
        <v>26.35</v>
      </c>
      <c r="C10" s="57">
        <v>27.72</v>
      </c>
      <c r="D10" s="57">
        <v>30.76</v>
      </c>
      <c r="E10" s="57">
        <v>32.6</v>
      </c>
      <c r="F10" s="57">
        <v>33.86</v>
      </c>
      <c r="G10" s="57">
        <f t="shared" si="0"/>
        <v>37.766437798596932</v>
      </c>
    </row>
    <row r="11" spans="1:8">
      <c r="A11" s="59" t="s">
        <v>217</v>
      </c>
      <c r="B11" s="61">
        <v>35.11</v>
      </c>
      <c r="C11" s="57">
        <v>36.94</v>
      </c>
      <c r="D11" s="57">
        <v>40.99</v>
      </c>
      <c r="E11" s="57">
        <v>43.44</v>
      </c>
      <c r="F11" s="57">
        <v>45.11</v>
      </c>
      <c r="G11" s="57">
        <f t="shared" si="0"/>
        <v>50.313092613543446</v>
      </c>
    </row>
    <row r="12" spans="1:8">
      <c r="A12" s="59" t="s">
        <v>218</v>
      </c>
      <c r="B12" s="61">
        <v>43.86</v>
      </c>
      <c r="C12" s="57">
        <v>46.14</v>
      </c>
      <c r="D12" s="57">
        <v>51.2</v>
      </c>
      <c r="E12" s="57">
        <v>54.26</v>
      </c>
      <c r="F12" s="57">
        <v>56.35</v>
      </c>
      <c r="G12" s="57">
        <f t="shared" si="0"/>
        <v>62.851455400308296</v>
      </c>
    </row>
    <row r="13" spans="1:8">
      <c r="A13" s="59" t="s">
        <v>219</v>
      </c>
      <c r="B13" s="61">
        <v>52.63</v>
      </c>
      <c r="C13" s="57">
        <v>55.37</v>
      </c>
      <c r="D13" s="57">
        <v>61.44</v>
      </c>
      <c r="E13" s="57">
        <v>65.11</v>
      </c>
      <c r="F13" s="57">
        <v>67.62</v>
      </c>
      <c r="G13" s="57">
        <f t="shared" si="0"/>
        <v>75.416775937045315</v>
      </c>
    </row>
    <row r="14" spans="1:8">
      <c r="A14" s="59" t="s">
        <v>220</v>
      </c>
      <c r="B14" s="61">
        <v>62.46</v>
      </c>
      <c r="C14" s="57">
        <v>65.709999999999994</v>
      </c>
      <c r="D14" s="57">
        <v>72.91</v>
      </c>
      <c r="E14" s="57">
        <v>77.260000000000005</v>
      </c>
      <c r="F14" s="57">
        <v>80.23</v>
      </c>
      <c r="G14" s="57">
        <f t="shared" si="0"/>
        <v>89.477077917071583</v>
      </c>
    </row>
    <row r="15" spans="1:8">
      <c r="A15" s="59" t="s">
        <v>221</v>
      </c>
      <c r="B15" s="61">
        <v>70.099999999999994</v>
      </c>
      <c r="C15" s="57">
        <v>73.75</v>
      </c>
      <c r="D15" s="57">
        <v>81.83</v>
      </c>
      <c r="E15" s="57">
        <v>86.72</v>
      </c>
      <c r="F15" s="57">
        <v>90.06</v>
      </c>
      <c r="G15" s="57">
        <f t="shared" si="0"/>
        <v>100.44108593506326</v>
      </c>
    </row>
    <row r="16" spans="1:8">
      <c r="A16" s="59" t="s">
        <v>222</v>
      </c>
      <c r="B16" s="61">
        <v>78.84</v>
      </c>
      <c r="C16" s="57">
        <v>82.94</v>
      </c>
      <c r="D16" s="57">
        <v>92.03</v>
      </c>
      <c r="E16" s="57">
        <v>97.52</v>
      </c>
      <c r="F16" s="57">
        <v>101.27</v>
      </c>
      <c r="G16" s="57">
        <f t="shared" si="0"/>
        <v>112.94407775502239</v>
      </c>
    </row>
    <row r="17" spans="1:7">
      <c r="A17" s="59" t="s">
        <v>223</v>
      </c>
      <c r="B17" s="61">
        <v>91.12</v>
      </c>
      <c r="C17" s="57">
        <v>95.86</v>
      </c>
      <c r="D17" s="57">
        <v>106.37</v>
      </c>
      <c r="E17" s="57">
        <v>112.72</v>
      </c>
      <c r="F17" s="57">
        <v>117.06</v>
      </c>
      <c r="G17" s="57">
        <f t="shared" si="0"/>
        <v>130.5589300196215</v>
      </c>
    </row>
    <row r="18" spans="1:7">
      <c r="A18" s="59" t="s">
        <v>224</v>
      </c>
      <c r="B18" s="61">
        <v>168.65</v>
      </c>
      <c r="C18" s="57">
        <v>177.42</v>
      </c>
      <c r="D18" s="57">
        <v>196.87</v>
      </c>
      <c r="E18" s="57">
        <v>208.62</v>
      </c>
      <c r="F18" s="57">
        <v>210.42</v>
      </c>
      <c r="G18" s="57">
        <f t="shared" si="0"/>
        <v>238.11270434058656</v>
      </c>
    </row>
    <row r="19" spans="1:7">
      <c r="A19" s="59" t="s">
        <v>225</v>
      </c>
      <c r="B19" s="61">
        <v>252.91</v>
      </c>
      <c r="C19" s="57">
        <v>266.06</v>
      </c>
      <c r="D19" s="57">
        <v>295.22000000000003</v>
      </c>
      <c r="E19" s="57">
        <v>312.83999999999997</v>
      </c>
      <c r="F19" s="57">
        <v>324.88</v>
      </c>
      <c r="G19" s="57">
        <f t="shared" si="0"/>
        <v>362.33460040523005</v>
      </c>
    </row>
    <row r="20" spans="1:7">
      <c r="A20" s="59" t="s">
        <v>226</v>
      </c>
      <c r="B20" s="61">
        <v>337.2</v>
      </c>
      <c r="C20" s="57">
        <v>354.73</v>
      </c>
      <c r="D20" s="57">
        <v>393.61</v>
      </c>
      <c r="E20" s="57">
        <v>414.99</v>
      </c>
      <c r="F20" s="57">
        <v>430.97</v>
      </c>
      <c r="G20" s="57">
        <f t="shared" si="0"/>
        <v>479.55141852461679</v>
      </c>
    </row>
    <row r="21" spans="1:7">
      <c r="A21" s="59" t="s">
        <v>227</v>
      </c>
      <c r="B21" s="61">
        <v>421.46</v>
      </c>
      <c r="C21" s="57">
        <v>443.38</v>
      </c>
      <c r="D21" s="57">
        <v>491.97</v>
      </c>
      <c r="E21" s="57">
        <v>521.34</v>
      </c>
      <c r="F21" s="57">
        <v>541.41</v>
      </c>
      <c r="G21" s="57">
        <f t="shared" si="0"/>
        <v>603.82439576536251</v>
      </c>
    </row>
    <row r="22" spans="1:7">
      <c r="A22" s="59" t="s">
        <v>228</v>
      </c>
      <c r="B22" s="61">
        <v>643.63</v>
      </c>
      <c r="C22" s="57">
        <v>677.1</v>
      </c>
      <c r="D22" s="57">
        <v>751.31</v>
      </c>
      <c r="E22" s="57">
        <v>796.16</v>
      </c>
      <c r="F22" s="57">
        <v>826.81</v>
      </c>
      <c r="G22" s="57">
        <f t="shared" si="0"/>
        <v>922.13227864652697</v>
      </c>
    </row>
    <row r="23" spans="1:7">
      <c r="A23" s="59" t="s">
        <v>229</v>
      </c>
      <c r="B23" s="61">
        <v>756.44</v>
      </c>
      <c r="C23" s="57">
        <v>795.77</v>
      </c>
      <c r="D23" s="57">
        <v>882.99</v>
      </c>
      <c r="E23" s="57">
        <v>935.7</v>
      </c>
      <c r="F23" s="57">
        <v>971.72</v>
      </c>
      <c r="G23" s="57">
        <f t="shared" si="0"/>
        <v>1083.7544650171901</v>
      </c>
    </row>
    <row r="24" spans="1:7">
      <c r="A24" s="59" t="s">
        <v>230</v>
      </c>
      <c r="B24" s="62">
        <v>766.75</v>
      </c>
      <c r="C24" s="58">
        <v>806.62</v>
      </c>
      <c r="D24" s="58">
        <v>895.03</v>
      </c>
      <c r="E24" s="58">
        <v>948.46</v>
      </c>
      <c r="F24" s="58">
        <v>984.98</v>
      </c>
      <c r="G24" s="58">
        <f t="shared" si="0"/>
        <v>1098.5414128140435</v>
      </c>
    </row>
    <row r="26" spans="1:7">
      <c r="B26" s="55"/>
    </row>
    <row r="27" spans="1:7">
      <c r="B27" s="55"/>
    </row>
    <row r="30" spans="1:7">
      <c r="A30" s="53"/>
      <c r="B30" s="53"/>
    </row>
    <row r="31" spans="1:7">
      <c r="A31" s="53"/>
      <c r="B31" s="53"/>
    </row>
    <row r="32" spans="1:7">
      <c r="A32" s="53"/>
      <c r="B32" s="53"/>
    </row>
    <row r="33" spans="1:2">
      <c r="A33" s="53"/>
      <c r="B33" s="53"/>
    </row>
    <row r="34" spans="1:2">
      <c r="A34" s="53"/>
      <c r="B34" s="53"/>
    </row>
    <row r="35" spans="1:2">
      <c r="A35" s="53"/>
      <c r="B35" s="53"/>
    </row>
    <row r="36" spans="1:2">
      <c r="A36" s="53"/>
      <c r="B36" s="53"/>
    </row>
    <row r="37" spans="1:2">
      <c r="A37" s="53"/>
      <c r="B37" s="53"/>
    </row>
    <row r="38" spans="1:2">
      <c r="A38" s="53"/>
      <c r="B38" s="53"/>
    </row>
    <row r="39" spans="1:2">
      <c r="A39" s="53"/>
      <c r="B39" s="53"/>
    </row>
    <row r="40" spans="1:2">
      <c r="A40" s="53"/>
      <c r="B40" s="53"/>
    </row>
    <row r="41" spans="1:2">
      <c r="A41" s="53"/>
      <c r="B41" s="53"/>
    </row>
    <row r="42" spans="1:2">
      <c r="A42" s="53"/>
      <c r="B42" s="53"/>
    </row>
    <row r="43" spans="1:2">
      <c r="A43" s="53"/>
      <c r="B43" s="53"/>
    </row>
    <row r="44" spans="1:2">
      <c r="A44" s="53"/>
      <c r="B44" s="53"/>
    </row>
    <row r="45" spans="1:2">
      <c r="A45" s="53"/>
      <c r="B45" s="53"/>
    </row>
    <row r="46" spans="1:2">
      <c r="A46" s="53"/>
      <c r="B46" s="53"/>
    </row>
    <row r="47" spans="1:2">
      <c r="A47" s="53"/>
      <c r="B47" s="53"/>
    </row>
    <row r="48" spans="1:2">
      <c r="A48" s="53"/>
      <c r="B48" s="53"/>
    </row>
    <row r="49" spans="1:2">
      <c r="A49" s="53"/>
      <c r="B49" s="53"/>
    </row>
    <row r="50" spans="1:2">
      <c r="A50" s="53"/>
      <c r="B50" s="53"/>
    </row>
    <row r="51" spans="1:2">
      <c r="A51" s="53"/>
      <c r="B51" s="53"/>
    </row>
  </sheetData>
  <mergeCells count="3">
    <mergeCell ref="A1:G1"/>
    <mergeCell ref="A2:A3"/>
    <mergeCell ref="B2:G2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766ED5-6ED5-4DC1-81BD-DA71112F935A}">
  <dimension ref="A2:BM81"/>
  <sheetViews>
    <sheetView showGridLines="0" tabSelected="1" zoomScale="70" zoomScaleNormal="70" workbookViewId="0">
      <pane xSplit="2" ySplit="5" topLeftCell="R26" activePane="bottomRight" state="frozen"/>
      <selection pane="bottomRight" activeCell="AE48" sqref="AE48"/>
      <selection pane="bottomLeft" activeCell="A6" sqref="A6"/>
      <selection pane="topRight" activeCell="C1" sqref="C1"/>
    </sheetView>
  </sheetViews>
  <sheetFormatPr defaultColWidth="9.140625" defaultRowHeight="15"/>
  <cols>
    <col min="1" max="1" width="3" style="29" customWidth="1"/>
    <col min="2" max="2" width="12.140625" style="65" customWidth="1"/>
    <col min="3" max="3" width="16.5703125" style="65" customWidth="1"/>
    <col min="4" max="4" width="17.85546875" style="29" customWidth="1"/>
    <col min="5" max="5" width="13" style="29" customWidth="1"/>
    <col min="6" max="6" width="9.42578125" style="29" customWidth="1"/>
    <col min="7" max="7" width="16" style="29" customWidth="1"/>
    <col min="8" max="8" width="14.5703125" style="29" customWidth="1"/>
    <col min="9" max="9" width="18.7109375" style="29" customWidth="1"/>
    <col min="10" max="10" width="6.42578125" style="232" customWidth="1"/>
    <col min="11" max="17" width="15.7109375" style="29" customWidth="1"/>
    <col min="18" max="18" width="17.5703125" style="29" customWidth="1"/>
    <col min="19" max="19" width="10.28515625" style="214" customWidth="1"/>
    <col min="20" max="20" width="15.7109375" style="38" customWidth="1"/>
    <col min="21" max="21" width="11.5703125" style="29" customWidth="1"/>
    <col min="22" max="22" width="13.7109375" style="29" customWidth="1"/>
    <col min="23" max="23" width="9.140625" style="29" customWidth="1"/>
    <col min="24" max="29" width="17.7109375" style="36" customWidth="1"/>
    <col min="30" max="31" width="17" style="34" customWidth="1"/>
    <col min="32" max="32" width="15.85546875" style="29" hidden="1" customWidth="1"/>
    <col min="33" max="33" width="14.28515625" style="29" hidden="1" customWidth="1"/>
    <col min="34" max="34" width="15" style="217" hidden="1" customWidth="1"/>
    <col min="35" max="35" width="0" style="34" hidden="1" customWidth="1"/>
    <col min="36" max="36" width="0" style="29" hidden="1" customWidth="1"/>
    <col min="37" max="64" width="13.5703125" style="29" customWidth="1"/>
    <col min="65" max="16384" width="9.140625" style="29"/>
  </cols>
  <sheetData>
    <row r="2" spans="1:65" ht="15" customHeight="1">
      <c r="A2" s="31"/>
      <c r="B2" s="407" t="s">
        <v>231</v>
      </c>
      <c r="C2" s="407" t="s">
        <v>232</v>
      </c>
      <c r="D2" s="407" t="s">
        <v>233</v>
      </c>
      <c r="E2" s="407" t="s">
        <v>234</v>
      </c>
      <c r="F2" s="407" t="s">
        <v>235</v>
      </c>
      <c r="G2" s="407" t="s">
        <v>236</v>
      </c>
      <c r="H2" s="416" t="s">
        <v>237</v>
      </c>
      <c r="I2" s="417"/>
      <c r="J2" s="417"/>
      <c r="K2" s="417"/>
      <c r="L2" s="417"/>
      <c r="M2" s="417"/>
      <c r="N2" s="417"/>
      <c r="O2" s="417"/>
      <c r="P2" s="418"/>
      <c r="Q2" s="416" t="s">
        <v>238</v>
      </c>
      <c r="R2" s="418"/>
      <c r="S2" s="419" t="s">
        <v>239</v>
      </c>
      <c r="T2" s="419"/>
      <c r="U2" s="407" t="s">
        <v>240</v>
      </c>
      <c r="V2" s="407"/>
      <c r="W2" s="407" t="s">
        <v>241</v>
      </c>
      <c r="X2" s="409" t="s">
        <v>242</v>
      </c>
      <c r="Y2" s="409" t="s">
        <v>243</v>
      </c>
      <c r="Z2" s="407" t="s">
        <v>244</v>
      </c>
      <c r="AA2" s="407" t="s">
        <v>245</v>
      </c>
      <c r="AB2" s="407" t="s">
        <v>246</v>
      </c>
      <c r="AC2" s="407" t="s">
        <v>247</v>
      </c>
      <c r="AD2" s="407" t="s">
        <v>248</v>
      </c>
      <c r="AE2" s="407" t="s">
        <v>249</v>
      </c>
      <c r="AK2" s="278" t="s">
        <v>250</v>
      </c>
      <c r="AL2" s="279"/>
      <c r="AM2" s="279"/>
      <c r="AN2" s="279"/>
      <c r="AO2" s="279"/>
      <c r="AP2" s="279"/>
      <c r="AQ2" s="279"/>
      <c r="AR2" s="279"/>
      <c r="AS2" s="279"/>
      <c r="AT2" s="279"/>
      <c r="AU2" s="279"/>
      <c r="AV2" s="279"/>
      <c r="AW2" s="279"/>
      <c r="AX2" s="279"/>
      <c r="AY2" s="279"/>
      <c r="AZ2" s="279"/>
      <c r="BA2" s="279"/>
      <c r="BB2" s="279"/>
      <c r="BC2" s="279"/>
      <c r="BD2" s="279"/>
      <c r="BE2" s="279"/>
      <c r="BF2" s="279"/>
      <c r="BG2" s="279"/>
      <c r="BH2" s="279"/>
      <c r="BI2" s="279"/>
      <c r="BJ2" s="279"/>
      <c r="BK2" s="279"/>
      <c r="BL2" s="279"/>
    </row>
    <row r="3" spans="1:65" s="51" customFormat="1" ht="71.25" customHeight="1">
      <c r="A3" s="52"/>
      <c r="B3" s="407"/>
      <c r="C3" s="407"/>
      <c r="D3" s="407"/>
      <c r="E3" s="407"/>
      <c r="F3" s="407"/>
      <c r="G3" s="407"/>
      <c r="H3" s="30" t="s">
        <v>251</v>
      </c>
      <c r="I3" s="423" t="s">
        <v>252</v>
      </c>
      <c r="J3" s="424"/>
      <c r="K3" s="30" t="s">
        <v>253</v>
      </c>
      <c r="L3" s="30" t="s">
        <v>253</v>
      </c>
      <c r="M3" s="30" t="s">
        <v>253</v>
      </c>
      <c r="N3" s="30" t="s">
        <v>254</v>
      </c>
      <c r="O3" s="30" t="s">
        <v>254</v>
      </c>
      <c r="P3" s="30" t="s">
        <v>255</v>
      </c>
      <c r="Q3" s="30" t="s">
        <v>252</v>
      </c>
      <c r="R3" s="30" t="s">
        <v>256</v>
      </c>
      <c r="S3" s="419"/>
      <c r="T3" s="419"/>
      <c r="U3" s="407"/>
      <c r="V3" s="407"/>
      <c r="W3" s="407"/>
      <c r="X3" s="409"/>
      <c r="Y3" s="409"/>
      <c r="Z3" s="407"/>
      <c r="AA3" s="407"/>
      <c r="AB3" s="407"/>
      <c r="AC3" s="407"/>
      <c r="AD3" s="407"/>
      <c r="AE3" s="407"/>
      <c r="AH3" s="218">
        <f>_xlfn.STDEV.S(AE6:AE42)</f>
        <v>2814788.5357669042</v>
      </c>
      <c r="AI3" s="215">
        <f>_xlfn.STDEV.S(AH6:AH42)</f>
        <v>570059.67250840645</v>
      </c>
      <c r="AJ3" s="219">
        <f>1-(AI3/AH3)</f>
        <v>0.79747690980520114</v>
      </c>
      <c r="AK3" s="415" t="s">
        <v>46</v>
      </c>
      <c r="AL3" s="415"/>
      <c r="AM3" s="415"/>
      <c r="AN3" s="415"/>
      <c r="AO3" s="415"/>
      <c r="AP3" s="415"/>
      <c r="AQ3" s="415" t="s">
        <v>257</v>
      </c>
      <c r="AR3" s="415"/>
      <c r="AS3" s="415" t="s">
        <v>49</v>
      </c>
      <c r="AT3" s="415"/>
      <c r="AU3" s="415"/>
      <c r="AV3" s="415"/>
      <c r="AW3" s="415"/>
      <c r="AX3" s="257" t="s">
        <v>52</v>
      </c>
      <c r="AY3" s="415" t="s">
        <v>258</v>
      </c>
      <c r="AZ3" s="415"/>
      <c r="BA3" s="415" t="s">
        <v>44</v>
      </c>
      <c r="BB3" s="415"/>
      <c r="BC3" s="415"/>
      <c r="BD3" s="415"/>
      <c r="BE3" s="415" t="s">
        <v>45</v>
      </c>
      <c r="BF3" s="415"/>
      <c r="BG3" s="415"/>
      <c r="BH3" s="415" t="s">
        <v>51</v>
      </c>
      <c r="BI3" s="415"/>
      <c r="BJ3" s="415"/>
      <c r="BK3" s="415" t="s">
        <v>259</v>
      </c>
      <c r="BL3" s="415"/>
    </row>
    <row r="4" spans="1:65" s="51" customFormat="1" ht="45" customHeight="1">
      <c r="A4" s="52"/>
      <c r="B4" s="407"/>
      <c r="C4" s="407"/>
      <c r="D4" s="407"/>
      <c r="E4" s="407"/>
      <c r="F4" s="407"/>
      <c r="G4" s="407"/>
      <c r="H4" s="413" t="s">
        <v>260</v>
      </c>
      <c r="I4" s="407" t="s">
        <v>261</v>
      </c>
      <c r="J4" s="407"/>
      <c r="K4" s="407" t="s">
        <v>262</v>
      </c>
      <c r="L4" s="407" t="s">
        <v>263</v>
      </c>
      <c r="M4" s="407" t="s">
        <v>264</v>
      </c>
      <c r="N4" s="407" t="s">
        <v>263</v>
      </c>
      <c r="O4" s="407" t="s">
        <v>264</v>
      </c>
      <c r="P4" s="407" t="s">
        <v>265</v>
      </c>
      <c r="Q4" s="408" t="s">
        <v>261</v>
      </c>
      <c r="R4" s="408" t="s">
        <v>266</v>
      </c>
      <c r="S4" s="419" t="s">
        <v>267</v>
      </c>
      <c r="T4" s="421" t="s">
        <v>268</v>
      </c>
      <c r="U4" s="407" t="s">
        <v>266</v>
      </c>
      <c r="V4" s="407" t="s">
        <v>269</v>
      </c>
      <c r="W4" s="407"/>
      <c r="X4" s="409" t="s">
        <v>270</v>
      </c>
      <c r="Y4" s="409" t="s">
        <v>270</v>
      </c>
      <c r="Z4" s="409" t="s">
        <v>270</v>
      </c>
      <c r="AA4" s="409" t="s">
        <v>270</v>
      </c>
      <c r="AB4" s="409" t="s">
        <v>270</v>
      </c>
      <c r="AC4" s="409" t="s">
        <v>270</v>
      </c>
      <c r="AD4" s="407" t="s">
        <v>270</v>
      </c>
      <c r="AE4" s="407" t="s">
        <v>270</v>
      </c>
      <c r="AF4" s="411" t="s">
        <v>271</v>
      </c>
      <c r="AG4" s="411"/>
      <c r="AH4" s="425" t="s">
        <v>272</v>
      </c>
      <c r="AI4" s="425"/>
      <c r="AK4" s="253" t="s">
        <v>273</v>
      </c>
      <c r="AL4" s="254" t="s">
        <v>274</v>
      </c>
      <c r="AM4" s="254" t="s">
        <v>275</v>
      </c>
      <c r="AN4" s="253" t="s">
        <v>276</v>
      </c>
      <c r="AO4" s="253" t="s">
        <v>277</v>
      </c>
      <c r="AP4" s="253" t="s">
        <v>278</v>
      </c>
      <c r="AQ4" s="253" t="s">
        <v>278</v>
      </c>
      <c r="AR4" s="253" t="s">
        <v>279</v>
      </c>
      <c r="AS4" s="253" t="s">
        <v>280</v>
      </c>
      <c r="AT4" s="255" t="s">
        <v>281</v>
      </c>
      <c r="AU4" s="253" t="s">
        <v>278</v>
      </c>
      <c r="AV4" s="253" t="s">
        <v>282</v>
      </c>
      <c r="AW4" s="256" t="s">
        <v>283</v>
      </c>
      <c r="AX4" s="253" t="s">
        <v>278</v>
      </c>
      <c r="AY4" s="253" t="s">
        <v>278</v>
      </c>
      <c r="AZ4" s="253" t="s">
        <v>279</v>
      </c>
      <c r="BA4" s="253" t="s">
        <v>284</v>
      </c>
      <c r="BB4" s="256" t="s">
        <v>285</v>
      </c>
      <c r="BC4" s="256" t="s">
        <v>286</v>
      </c>
      <c r="BD4" s="253" t="s">
        <v>278</v>
      </c>
      <c r="BE4" s="253" t="s">
        <v>284</v>
      </c>
      <c r="BF4" s="256" t="s">
        <v>285</v>
      </c>
      <c r="BG4" s="253" t="s">
        <v>278</v>
      </c>
      <c r="BH4" s="253" t="s">
        <v>284</v>
      </c>
      <c r="BI4" s="256" t="s">
        <v>285</v>
      </c>
      <c r="BJ4" s="256" t="s">
        <v>287</v>
      </c>
      <c r="BK4" s="253" t="s">
        <v>284</v>
      </c>
      <c r="BL4" s="256" t="s">
        <v>287</v>
      </c>
    </row>
    <row r="5" spans="1:65" s="51" customFormat="1" ht="14.25" customHeight="1">
      <c r="A5" s="52"/>
      <c r="B5" s="408"/>
      <c r="C5" s="408"/>
      <c r="D5" s="408"/>
      <c r="E5" s="408"/>
      <c r="F5" s="408"/>
      <c r="G5" s="408"/>
      <c r="H5" s="414"/>
      <c r="I5" s="408"/>
      <c r="J5" s="408"/>
      <c r="K5" s="408"/>
      <c r="L5" s="408"/>
      <c r="M5" s="408"/>
      <c r="N5" s="408"/>
      <c r="O5" s="408"/>
      <c r="P5" s="408"/>
      <c r="Q5" s="412"/>
      <c r="R5" s="412"/>
      <c r="S5" s="420"/>
      <c r="T5" s="422"/>
      <c r="U5" s="408"/>
      <c r="V5" s="408"/>
      <c r="W5" s="408"/>
      <c r="X5" s="410"/>
      <c r="Y5" s="410"/>
      <c r="Z5" s="410"/>
      <c r="AA5" s="410"/>
      <c r="AB5" s="410"/>
      <c r="AC5" s="410"/>
      <c r="AD5" s="408"/>
      <c r="AE5" s="408"/>
      <c r="AH5" s="252"/>
      <c r="AI5" s="252"/>
      <c r="AK5" s="305">
        <f>Rateio!D13</f>
        <v>0.111</v>
      </c>
      <c r="AL5" s="306">
        <f>Rateio!D14</f>
        <v>0.10639999999999999</v>
      </c>
      <c r="AM5" s="306">
        <f>Rateio!D15</f>
        <v>0.10059999999999999</v>
      </c>
      <c r="AN5" s="305">
        <f>Rateio!D16</f>
        <v>0.14879999999999999</v>
      </c>
      <c r="AO5" s="305">
        <f>Rateio!D17</f>
        <v>0.16089999999999999</v>
      </c>
      <c r="AP5" s="305">
        <f>Rateio!D5</f>
        <v>0.37230000000000002</v>
      </c>
      <c r="AQ5" s="305">
        <f>Rateio!J5</f>
        <v>0.72089999999999999</v>
      </c>
      <c r="AR5" s="305">
        <f>Rateio!J12</f>
        <v>0.27910000000000001</v>
      </c>
      <c r="AS5" s="305">
        <f>Rateio!H6</f>
        <v>0.72019999999999995</v>
      </c>
      <c r="AT5" s="307">
        <f>Rateio!H7</f>
        <v>0.1678</v>
      </c>
      <c r="AU5" s="305">
        <f>Rateio!H5</f>
        <v>9.35E-2</v>
      </c>
      <c r="AV5" s="305">
        <f>Rateio!H20</f>
        <v>8.3000000000000001E-3</v>
      </c>
      <c r="AW5" s="308">
        <f>Rateio!H21</f>
        <v>1.0200000000000001E-2</v>
      </c>
      <c r="AX5" s="305">
        <f>Rateio!X5</f>
        <v>1</v>
      </c>
      <c r="AY5" s="305">
        <f>Rateio!Z5</f>
        <v>0.3271</v>
      </c>
      <c r="AZ5" s="305">
        <f>Rateio!Z12</f>
        <v>0.67290000000000005</v>
      </c>
      <c r="BA5" s="305">
        <f>Rateio!L8</f>
        <v>0.62180000000000002</v>
      </c>
      <c r="BB5" s="308">
        <f>Rateio!L9</f>
        <v>0.24629999999999999</v>
      </c>
      <c r="BC5" s="308">
        <f>Rateio!L10</f>
        <v>0.1082</v>
      </c>
      <c r="BD5" s="305">
        <f>Rateio!L5</f>
        <v>2.3699999999999999E-2</v>
      </c>
      <c r="BE5" s="305">
        <f>Rateio!R8</f>
        <v>0.50390000000000001</v>
      </c>
      <c r="BF5" s="305">
        <f>Rateio!R9</f>
        <v>0.46870000000000001</v>
      </c>
      <c r="BG5" s="305">
        <f>Rateio!R5</f>
        <v>2.7400000000000001E-2</v>
      </c>
      <c r="BH5" s="305">
        <f>Rateio!V8</f>
        <v>0.26069999999999999</v>
      </c>
      <c r="BI5" s="305">
        <f>Rateio!V9</f>
        <v>0.53120000000000001</v>
      </c>
      <c r="BJ5" s="305">
        <f>Rateio!V11</f>
        <v>0.20810000000000001</v>
      </c>
      <c r="BK5" s="305">
        <f>Rateio!T8</f>
        <v>0.21729999999999999</v>
      </c>
      <c r="BL5" s="305">
        <f>Rateio!T11</f>
        <v>0.78269999999999995</v>
      </c>
    </row>
    <row r="6" spans="1:65">
      <c r="A6" s="31"/>
      <c r="B6" s="373" t="s">
        <v>46</v>
      </c>
      <c r="C6" s="373" t="s">
        <v>288</v>
      </c>
      <c r="D6" s="373" t="s">
        <v>289</v>
      </c>
      <c r="E6" s="373" t="s">
        <v>290</v>
      </c>
      <c r="F6" s="280" t="s">
        <v>57</v>
      </c>
      <c r="G6" s="280" t="s">
        <v>41</v>
      </c>
      <c r="H6" s="281"/>
      <c r="I6" s="282">
        <f>'Consumo Grupo A'!I124</f>
        <v>12060.61870561795</v>
      </c>
      <c r="J6" s="283">
        <f>I6/(I6+I7)</f>
        <v>9.3835039446654861E-2</v>
      </c>
      <c r="K6" s="284"/>
      <c r="L6" s="284">
        <f>'Histórico Tarifas - Grupo A'!$K$123</f>
        <v>1.6570579033380164</v>
      </c>
      <c r="M6" s="284"/>
      <c r="N6" s="284">
        <f>'Histórico Tarifas - Grupo A'!$M$123</f>
        <v>0.75547762676981289</v>
      </c>
      <c r="O6" s="284"/>
      <c r="P6" s="366">
        <f>'Histórico Tarifas - Grupo A'!$T$123</f>
        <v>0.31750992284140322</v>
      </c>
      <c r="Q6" s="370" t="s">
        <v>291</v>
      </c>
      <c r="R6" s="370" t="s">
        <v>291</v>
      </c>
      <c r="S6" s="379" t="s">
        <v>292</v>
      </c>
      <c r="T6" s="284"/>
      <c r="U6" s="370">
        <v>7.8770000000000007E-2</v>
      </c>
      <c r="V6" s="369">
        <f>U6*(I6+I7)</f>
        <v>10124.309011258089</v>
      </c>
      <c r="W6" s="370">
        <v>12</v>
      </c>
      <c r="X6" s="285">
        <f>I6*N6*(1+$P$6)</f>
        <v>12004.528021417083</v>
      </c>
      <c r="Y6" s="285">
        <f t="shared" ref="Y6:Y9" si="0">X6*$W$6</f>
        <v>144054.33625700499</v>
      </c>
      <c r="Z6" s="369">
        <f>TRUNC(SUM(X8:X9),2)</f>
        <v>78077.350000000006</v>
      </c>
      <c r="AA6" s="369">
        <f>TRUNC(SUM(X6:X7)+3*V6/12,2)</f>
        <v>88431.53</v>
      </c>
      <c r="AB6" s="369">
        <f>Z6*W6</f>
        <v>936928.20000000007</v>
      </c>
      <c r="AC6" s="369">
        <f>AA6*W6</f>
        <v>1061178.3599999999</v>
      </c>
      <c r="AD6" s="369">
        <f>SUM(Z6:AA9)</f>
        <v>166508.88</v>
      </c>
      <c r="AE6" s="369">
        <f>AD6*W6</f>
        <v>1998106.56</v>
      </c>
      <c r="AF6" s="406">
        <f>AVERAGE(1136783.75,1284784.93,952970.78,1066419.43,1030497.03,1296275.89)</f>
        <v>1127955.3016666665</v>
      </c>
      <c r="AG6" s="392">
        <f>1-(AF6/AE6)</f>
        <v>0.43548791428487854</v>
      </c>
      <c r="AH6" s="395">
        <v>1296275.8899999999</v>
      </c>
      <c r="AI6" s="383">
        <f>1-(AH6/AE6)</f>
        <v>0.35124786838195465</v>
      </c>
      <c r="AJ6" s="386">
        <f>_xlfn.STDEV.S(AI6:AI42)</f>
        <v>0.13431757396382721</v>
      </c>
      <c r="AK6" s="381">
        <f>AE6*Rateio!D13</f>
        <v>221789.82816</v>
      </c>
      <c r="AL6" s="381">
        <f>AE6*Rateio!D14</f>
        <v>212598.537984</v>
      </c>
      <c r="AM6" s="381">
        <f>AE6*Rateio!D15</f>
        <v>201009.519936</v>
      </c>
      <c r="AN6" s="381">
        <f>AE6*Rateio!D16</f>
        <v>297318.25612799998</v>
      </c>
      <c r="AO6" s="381">
        <f>AE6*Rateio!D17</f>
        <v>321495.34550399997</v>
      </c>
      <c r="AP6" s="381">
        <f>AE6*Rateio!D5</f>
        <v>743895.07228800002</v>
      </c>
      <c r="AQ6" s="380"/>
      <c r="AR6" s="380"/>
      <c r="AS6" s="380"/>
      <c r="AT6" s="380"/>
      <c r="AU6" s="380"/>
      <c r="AV6" s="380"/>
      <c r="AW6" s="380"/>
      <c r="AX6" s="380"/>
      <c r="AY6" s="380"/>
      <c r="AZ6" s="380"/>
      <c r="BA6" s="380"/>
      <c r="BB6" s="380"/>
      <c r="BC6" s="380"/>
      <c r="BD6" s="380"/>
      <c r="BE6" s="380"/>
      <c r="BF6" s="380"/>
      <c r="BG6" s="380"/>
      <c r="BH6" s="380"/>
      <c r="BI6" s="380"/>
      <c r="BJ6" s="380"/>
      <c r="BK6" s="380"/>
      <c r="BL6" s="380"/>
      <c r="BM6" s="303"/>
    </row>
    <row r="7" spans="1:65">
      <c r="A7" s="31"/>
      <c r="B7" s="373"/>
      <c r="C7" s="373"/>
      <c r="D7" s="373"/>
      <c r="E7" s="373"/>
      <c r="F7" s="280" t="s">
        <v>57</v>
      </c>
      <c r="G7" s="280" t="s">
        <v>293</v>
      </c>
      <c r="H7" s="281"/>
      <c r="I7" s="282">
        <f>'Consumo Grupo A'!J124</f>
        <v>116469.39286297526</v>
      </c>
      <c r="J7" s="283">
        <f>I7/(I6+I7)</f>
        <v>0.90616496055334517</v>
      </c>
      <c r="K7" s="284"/>
      <c r="L7" s="284"/>
      <c r="M7" s="284">
        <f>'Histórico Tarifas - Grupo A'!$L$123</f>
        <v>0.22731495966982793</v>
      </c>
      <c r="N7" s="284"/>
      <c r="O7" s="284">
        <f>'Histórico Tarifas - Grupo A'!$N$123</f>
        <v>0.48156490754297776</v>
      </c>
      <c r="P7" s="366"/>
      <c r="Q7" s="370"/>
      <c r="R7" s="370"/>
      <c r="S7" s="379"/>
      <c r="T7" s="284"/>
      <c r="U7" s="370"/>
      <c r="V7" s="370"/>
      <c r="W7" s="370"/>
      <c r="X7" s="285">
        <f>I7*O7*(1+$P$6)</f>
        <v>73895.933192523531</v>
      </c>
      <c r="Y7" s="285">
        <f t="shared" si="0"/>
        <v>886751.19831028231</v>
      </c>
      <c r="Z7" s="370"/>
      <c r="AA7" s="370"/>
      <c r="AB7" s="370"/>
      <c r="AC7" s="370"/>
      <c r="AD7" s="370"/>
      <c r="AE7" s="370"/>
      <c r="AF7" s="389"/>
      <c r="AG7" s="392"/>
      <c r="AH7" s="395"/>
      <c r="AI7" s="383"/>
      <c r="AJ7" s="386"/>
      <c r="AK7" s="380"/>
      <c r="AL7" s="380"/>
      <c r="AM7" s="380"/>
      <c r="AN7" s="380"/>
      <c r="AO7" s="380"/>
      <c r="AP7" s="380"/>
      <c r="AQ7" s="380"/>
      <c r="AR7" s="380"/>
      <c r="AS7" s="380"/>
      <c r="AT7" s="380"/>
      <c r="AU7" s="380"/>
      <c r="AV7" s="380"/>
      <c r="AW7" s="380"/>
      <c r="AX7" s="380"/>
      <c r="AY7" s="380"/>
      <c r="AZ7" s="380"/>
      <c r="BA7" s="380"/>
      <c r="BB7" s="380"/>
      <c r="BC7" s="380"/>
      <c r="BD7" s="380"/>
      <c r="BE7" s="380"/>
      <c r="BF7" s="380"/>
      <c r="BG7" s="380"/>
      <c r="BH7" s="380"/>
      <c r="BI7" s="380"/>
      <c r="BJ7" s="380"/>
      <c r="BK7" s="380"/>
      <c r="BL7" s="380"/>
      <c r="BM7" s="303"/>
    </row>
    <row r="8" spans="1:65">
      <c r="A8" s="31"/>
      <c r="B8" s="373"/>
      <c r="C8" s="373"/>
      <c r="D8" s="373"/>
      <c r="E8" s="373"/>
      <c r="F8" s="280" t="s">
        <v>294</v>
      </c>
      <c r="G8" s="280" t="s">
        <v>295</v>
      </c>
      <c r="H8" s="281"/>
      <c r="I8" s="281"/>
      <c r="J8" s="283"/>
      <c r="K8" s="284"/>
      <c r="L8" s="284"/>
      <c r="M8" s="284"/>
      <c r="N8" s="284"/>
      <c r="O8" s="284"/>
      <c r="P8" s="366"/>
      <c r="Q8" s="370"/>
      <c r="R8" s="370"/>
      <c r="S8" s="379"/>
      <c r="T8" s="284">
        <f>'Histórico Tarifas - Grupo A'!$H$123</f>
        <v>1088.8411222588763</v>
      </c>
      <c r="U8" s="370"/>
      <c r="V8" s="370"/>
      <c r="W8" s="370"/>
      <c r="X8" s="285">
        <f>T8</f>
        <v>1088.8411222588763</v>
      </c>
      <c r="Y8" s="285">
        <f t="shared" si="0"/>
        <v>13066.093467106515</v>
      </c>
      <c r="Z8" s="370"/>
      <c r="AA8" s="370"/>
      <c r="AB8" s="370"/>
      <c r="AC8" s="370"/>
      <c r="AD8" s="370"/>
      <c r="AE8" s="370"/>
      <c r="AF8" s="389"/>
      <c r="AG8" s="392"/>
      <c r="AH8" s="395"/>
      <c r="AI8" s="383"/>
      <c r="AJ8" s="386"/>
      <c r="AK8" s="380"/>
      <c r="AL8" s="380"/>
      <c r="AM8" s="380"/>
      <c r="AN8" s="380"/>
      <c r="AO8" s="380"/>
      <c r="AP8" s="380"/>
      <c r="AQ8" s="380"/>
      <c r="AR8" s="380"/>
      <c r="AS8" s="380"/>
      <c r="AT8" s="380"/>
      <c r="AU8" s="380"/>
      <c r="AV8" s="380"/>
      <c r="AW8" s="380"/>
      <c r="AX8" s="380"/>
      <c r="AY8" s="380"/>
      <c r="AZ8" s="380"/>
      <c r="BA8" s="380"/>
      <c r="BB8" s="380"/>
      <c r="BC8" s="380"/>
      <c r="BD8" s="380"/>
      <c r="BE8" s="380"/>
      <c r="BF8" s="380"/>
      <c r="BG8" s="380"/>
      <c r="BH8" s="380"/>
      <c r="BI8" s="380"/>
      <c r="BJ8" s="380"/>
      <c r="BK8" s="380"/>
      <c r="BL8" s="380"/>
      <c r="BM8" s="303"/>
    </row>
    <row r="9" spans="1:65">
      <c r="A9" s="31"/>
      <c r="B9" s="373"/>
      <c r="C9" s="373"/>
      <c r="D9" s="373"/>
      <c r="E9" s="373"/>
      <c r="F9" s="280" t="s">
        <v>294</v>
      </c>
      <c r="G9" s="280" t="s">
        <v>296</v>
      </c>
      <c r="H9" s="282">
        <f>'Demanda Grupo A'!F130</f>
        <v>690</v>
      </c>
      <c r="I9" s="281"/>
      <c r="J9" s="283"/>
      <c r="K9" s="284">
        <f>'Histórico Tarifas - Grupo A'!$J$123</f>
        <v>17.354325615157059</v>
      </c>
      <c r="L9" s="284"/>
      <c r="M9" s="284"/>
      <c r="N9" s="284"/>
      <c r="O9" s="284"/>
      <c r="P9" s="366"/>
      <c r="Q9" s="370"/>
      <c r="R9" s="370"/>
      <c r="S9" s="379"/>
      <c r="T9" s="284"/>
      <c r="U9" s="370"/>
      <c r="V9" s="370"/>
      <c r="W9" s="370"/>
      <c r="X9" s="285">
        <f>H9*K9*(1+$P$6)+I6*L6*(1+P6)+I7*M7*(1+P6)</f>
        <v>76988.512581719056</v>
      </c>
      <c r="Y9" s="285">
        <f t="shared" si="0"/>
        <v>923862.15098062868</v>
      </c>
      <c r="Z9" s="370"/>
      <c r="AA9" s="370"/>
      <c r="AB9" s="370"/>
      <c r="AC9" s="370"/>
      <c r="AD9" s="370"/>
      <c r="AE9" s="370"/>
      <c r="AF9" s="390"/>
      <c r="AG9" s="393"/>
      <c r="AH9" s="396"/>
      <c r="AI9" s="384"/>
      <c r="AJ9" s="387"/>
      <c r="AK9" s="380"/>
      <c r="AL9" s="380"/>
      <c r="AM9" s="380"/>
      <c r="AN9" s="380"/>
      <c r="AO9" s="380"/>
      <c r="AP9" s="380"/>
      <c r="AQ9" s="380"/>
      <c r="AR9" s="380"/>
      <c r="AS9" s="380"/>
      <c r="AT9" s="380"/>
      <c r="AU9" s="380"/>
      <c r="AV9" s="380"/>
      <c r="AW9" s="380"/>
      <c r="AX9" s="380"/>
      <c r="AY9" s="380"/>
      <c r="AZ9" s="380"/>
      <c r="BA9" s="380"/>
      <c r="BB9" s="380"/>
      <c r="BC9" s="380"/>
      <c r="BD9" s="380"/>
      <c r="BE9" s="380"/>
      <c r="BF9" s="380"/>
      <c r="BG9" s="380"/>
      <c r="BH9" s="380"/>
      <c r="BI9" s="380"/>
      <c r="BJ9" s="380"/>
      <c r="BK9" s="380"/>
      <c r="BL9" s="380"/>
      <c r="BM9" s="303"/>
    </row>
    <row r="10" spans="1:65" ht="15" customHeight="1">
      <c r="A10" s="31"/>
      <c r="B10" s="373" t="s">
        <v>297</v>
      </c>
      <c r="C10" s="373" t="s">
        <v>298</v>
      </c>
      <c r="D10" s="373" t="s">
        <v>289</v>
      </c>
      <c r="E10" s="373" t="s">
        <v>290</v>
      </c>
      <c r="F10" s="280" t="s">
        <v>57</v>
      </c>
      <c r="G10" s="280" t="s">
        <v>41</v>
      </c>
      <c r="H10" s="281"/>
      <c r="I10" s="282">
        <f>'Consumo Grupo A'!K124</f>
        <v>11004.469216714233</v>
      </c>
      <c r="J10" s="283">
        <f>I10/(I10+I11)</f>
        <v>7.9514159607297352E-2</v>
      </c>
      <c r="K10" s="284"/>
      <c r="L10" s="284">
        <f>'Histórico Tarifas - Grupo A'!$K$123</f>
        <v>1.6570579033380164</v>
      </c>
      <c r="M10" s="284"/>
      <c r="N10" s="284">
        <f>'Histórico Tarifas - Grupo A'!$M$123</f>
        <v>0.75547762676981289</v>
      </c>
      <c r="O10" s="284"/>
      <c r="P10" s="366">
        <f>'Histórico Tarifas - Grupo A'!$T$123</f>
        <v>0.31750992284140322</v>
      </c>
      <c r="Q10" s="370" t="s">
        <v>291</v>
      </c>
      <c r="R10" s="370" t="s">
        <v>291</v>
      </c>
      <c r="S10" s="379" t="s">
        <v>292</v>
      </c>
      <c r="T10" s="284"/>
      <c r="U10" s="370">
        <v>7.8770000000000007E-2</v>
      </c>
      <c r="V10" s="369">
        <f>U10*(I10+I11)</f>
        <v>10901.480245551489</v>
      </c>
      <c r="W10" s="370">
        <v>12</v>
      </c>
      <c r="X10" s="285">
        <f>I10*N10*(1+$P$6)</f>
        <v>10953.290398885812</v>
      </c>
      <c r="Y10" s="285">
        <f>X10*$W$6</f>
        <v>131439.48478662974</v>
      </c>
      <c r="Z10" s="369">
        <f>TRUNC(SUM(X12:X13),2)</f>
        <v>72869.33</v>
      </c>
      <c r="AA10" s="369">
        <f>TRUNC(SUM(X10:X11)+3*V10/12,2)</f>
        <v>94504.54</v>
      </c>
      <c r="AB10" s="369">
        <f>Z10*W10</f>
        <v>874431.96</v>
      </c>
      <c r="AC10" s="369">
        <f>AA10*W10</f>
        <v>1134054.48</v>
      </c>
      <c r="AD10" s="369">
        <f>SUM(Z10:AA13)</f>
        <v>167373.87</v>
      </c>
      <c r="AE10" s="369">
        <f>AD10*W10</f>
        <v>2008486.44</v>
      </c>
      <c r="AF10" s="388">
        <f>AVERAGE(1015306.18,1174495.24,929264.12,1023687.18,1144152.56,1289537.82)</f>
        <v>1096073.8500000001</v>
      </c>
      <c r="AG10" s="391">
        <f t="shared" ref="AG10" si="1">1-(AF10/AE10)</f>
        <v>0.45427869057458004</v>
      </c>
      <c r="AH10" s="394">
        <v>1289537.82</v>
      </c>
      <c r="AI10" s="382">
        <f t="shared" ref="AI10" si="2">1-(AH10/AE10)</f>
        <v>0.35795542637569411</v>
      </c>
      <c r="AJ10" s="385"/>
      <c r="AK10" s="380"/>
      <c r="AL10" s="380"/>
      <c r="AM10" s="380"/>
      <c r="AN10" s="380"/>
      <c r="AO10" s="380"/>
      <c r="AP10" s="380"/>
      <c r="AQ10" s="381">
        <f>AQ5*AE10</f>
        <v>1447917.874596</v>
      </c>
      <c r="AR10" s="381">
        <f>AR5*AE10</f>
        <v>560568.56540399999</v>
      </c>
      <c r="AS10" s="380"/>
      <c r="AT10" s="380"/>
      <c r="AU10" s="380"/>
      <c r="AV10" s="380"/>
      <c r="AW10" s="380"/>
      <c r="AX10" s="380"/>
      <c r="AY10" s="380"/>
      <c r="AZ10" s="380"/>
      <c r="BA10" s="380"/>
      <c r="BB10" s="380"/>
      <c r="BC10" s="380"/>
      <c r="BD10" s="380"/>
      <c r="BE10" s="380"/>
      <c r="BF10" s="380"/>
      <c r="BG10" s="380"/>
      <c r="BH10" s="380"/>
      <c r="BI10" s="380"/>
      <c r="BJ10" s="380"/>
      <c r="BK10" s="380"/>
      <c r="BL10" s="380"/>
      <c r="BM10" s="303"/>
    </row>
    <row r="11" spans="1:65">
      <c r="A11" s="31"/>
      <c r="B11" s="373"/>
      <c r="C11" s="373"/>
      <c r="D11" s="373"/>
      <c r="E11" s="373"/>
      <c r="F11" s="280" t="s">
        <v>57</v>
      </c>
      <c r="G11" s="280" t="s">
        <v>293</v>
      </c>
      <c r="H11" s="281"/>
      <c r="I11" s="282">
        <f>'Consumo Grupo A'!L124</f>
        <v>127391.87768631343</v>
      </c>
      <c r="J11" s="283">
        <f>I11/(I10+I11)</f>
        <v>0.92048584039270276</v>
      </c>
      <c r="K11" s="284"/>
      <c r="L11" s="284"/>
      <c r="M11" s="284">
        <f>'Histórico Tarifas - Grupo A'!$L$123</f>
        <v>0.22731495966982793</v>
      </c>
      <c r="N11" s="284"/>
      <c r="O11" s="284">
        <f>'Histórico Tarifas - Grupo A'!$N$123</f>
        <v>0.48156490754297776</v>
      </c>
      <c r="P11" s="366"/>
      <c r="Q11" s="370"/>
      <c r="R11" s="370"/>
      <c r="S11" s="379"/>
      <c r="T11" s="284"/>
      <c r="U11" s="370"/>
      <c r="V11" s="370"/>
      <c r="W11" s="370"/>
      <c r="X11" s="285">
        <f>I11*O11*(1+$P$6)</f>
        <v>80825.884392246226</v>
      </c>
      <c r="Y11" s="285">
        <f>X11*$W$6</f>
        <v>969910.61270695471</v>
      </c>
      <c r="Z11" s="370"/>
      <c r="AA11" s="370"/>
      <c r="AB11" s="370"/>
      <c r="AC11" s="370"/>
      <c r="AD11" s="370"/>
      <c r="AE11" s="370"/>
      <c r="AF11" s="389"/>
      <c r="AG11" s="392"/>
      <c r="AH11" s="395"/>
      <c r="AI11" s="383"/>
      <c r="AJ11" s="386"/>
      <c r="AK11" s="380"/>
      <c r="AL11" s="380"/>
      <c r="AM11" s="380"/>
      <c r="AN11" s="380"/>
      <c r="AO11" s="380"/>
      <c r="AP11" s="380"/>
      <c r="AQ11" s="380"/>
      <c r="AR11" s="380"/>
      <c r="AS11" s="380"/>
      <c r="AT11" s="380"/>
      <c r="AU11" s="380"/>
      <c r="AV11" s="380"/>
      <c r="AW11" s="380"/>
      <c r="AX11" s="380"/>
      <c r="AY11" s="380"/>
      <c r="AZ11" s="380"/>
      <c r="BA11" s="380"/>
      <c r="BB11" s="380"/>
      <c r="BC11" s="380"/>
      <c r="BD11" s="380"/>
      <c r="BE11" s="380"/>
      <c r="BF11" s="380"/>
      <c r="BG11" s="380"/>
      <c r="BH11" s="380"/>
      <c r="BI11" s="380"/>
      <c r="BJ11" s="380"/>
      <c r="BK11" s="380"/>
      <c r="BL11" s="380"/>
      <c r="BM11" s="303"/>
    </row>
    <row r="12" spans="1:65">
      <c r="A12" s="31"/>
      <c r="B12" s="373"/>
      <c r="C12" s="373"/>
      <c r="D12" s="373"/>
      <c r="E12" s="373"/>
      <c r="F12" s="280" t="s">
        <v>294</v>
      </c>
      <c r="G12" s="280" t="s">
        <v>295</v>
      </c>
      <c r="H12" s="281"/>
      <c r="I12" s="281"/>
      <c r="J12" s="283"/>
      <c r="K12" s="284"/>
      <c r="L12" s="284"/>
      <c r="M12" s="284"/>
      <c r="N12" s="284"/>
      <c r="O12" s="284"/>
      <c r="P12" s="366"/>
      <c r="Q12" s="370"/>
      <c r="R12" s="370"/>
      <c r="S12" s="379"/>
      <c r="T12" s="284">
        <f>'Histórico Tarifas - Grupo A'!$H$123</f>
        <v>1088.8411222588763</v>
      </c>
      <c r="U12" s="370"/>
      <c r="V12" s="370"/>
      <c r="W12" s="370"/>
      <c r="X12" s="285">
        <f>T12</f>
        <v>1088.8411222588763</v>
      </c>
      <c r="Y12" s="285">
        <f>X12*$W$6</f>
        <v>13066.093467106515</v>
      </c>
      <c r="Z12" s="370"/>
      <c r="AA12" s="370"/>
      <c r="AB12" s="370"/>
      <c r="AC12" s="370"/>
      <c r="AD12" s="370"/>
      <c r="AE12" s="370"/>
      <c r="AF12" s="389"/>
      <c r="AG12" s="392"/>
      <c r="AH12" s="395"/>
      <c r="AI12" s="383"/>
      <c r="AJ12" s="386"/>
      <c r="AK12" s="380"/>
      <c r="AL12" s="380"/>
      <c r="AM12" s="380"/>
      <c r="AN12" s="380"/>
      <c r="AO12" s="380"/>
      <c r="AP12" s="380"/>
      <c r="AQ12" s="380"/>
      <c r="AR12" s="380"/>
      <c r="AS12" s="380"/>
      <c r="AT12" s="380"/>
      <c r="AU12" s="380"/>
      <c r="AV12" s="380"/>
      <c r="AW12" s="380"/>
      <c r="AX12" s="380"/>
      <c r="AY12" s="380"/>
      <c r="AZ12" s="380"/>
      <c r="BA12" s="380"/>
      <c r="BB12" s="380"/>
      <c r="BC12" s="380"/>
      <c r="BD12" s="380"/>
      <c r="BE12" s="380"/>
      <c r="BF12" s="380"/>
      <c r="BG12" s="380"/>
      <c r="BH12" s="380"/>
      <c r="BI12" s="380"/>
      <c r="BJ12" s="380"/>
      <c r="BK12" s="380"/>
      <c r="BL12" s="380"/>
      <c r="BM12" s="303"/>
    </row>
    <row r="13" spans="1:65">
      <c r="A13" s="31"/>
      <c r="B13" s="373"/>
      <c r="C13" s="373"/>
      <c r="D13" s="373"/>
      <c r="E13" s="373"/>
      <c r="F13" s="280" t="s">
        <v>294</v>
      </c>
      <c r="G13" s="280" t="s">
        <v>296</v>
      </c>
      <c r="H13" s="282">
        <f>'Demanda Grupo A'!G130</f>
        <v>420</v>
      </c>
      <c r="I13" s="281"/>
      <c r="J13" s="283"/>
      <c r="K13" s="284">
        <f>'Histórico Tarifas - Grupo A'!$J$123</f>
        <v>17.354325615157059</v>
      </c>
      <c r="L13" s="284"/>
      <c r="M13" s="284"/>
      <c r="N13" s="284"/>
      <c r="O13" s="284"/>
      <c r="P13" s="366"/>
      <c r="Q13" s="370"/>
      <c r="R13" s="370"/>
      <c r="S13" s="379"/>
      <c r="T13" s="284"/>
      <c r="U13" s="370"/>
      <c r="V13" s="370"/>
      <c r="W13" s="370"/>
      <c r="X13" s="285">
        <f>H13*K13*(1+$P$6)+I10*L10*(1+P10)+I11*M11*(1+P10)</f>
        <v>71780.495227705687</v>
      </c>
      <c r="Y13" s="285">
        <f>X13*$W$6</f>
        <v>861365.94273246825</v>
      </c>
      <c r="Z13" s="370"/>
      <c r="AA13" s="370"/>
      <c r="AB13" s="370"/>
      <c r="AC13" s="370"/>
      <c r="AD13" s="370"/>
      <c r="AE13" s="370"/>
      <c r="AF13" s="390"/>
      <c r="AG13" s="393"/>
      <c r="AH13" s="396"/>
      <c r="AI13" s="384"/>
      <c r="AJ13" s="387"/>
      <c r="AK13" s="380"/>
      <c r="AL13" s="380"/>
      <c r="AM13" s="380"/>
      <c r="AN13" s="380"/>
      <c r="AO13" s="380"/>
      <c r="AP13" s="380"/>
      <c r="AQ13" s="380"/>
      <c r="AR13" s="380"/>
      <c r="AS13" s="380"/>
      <c r="AT13" s="380"/>
      <c r="AU13" s="380"/>
      <c r="AV13" s="380"/>
      <c r="AW13" s="380"/>
      <c r="AX13" s="380"/>
      <c r="AY13" s="380"/>
      <c r="AZ13" s="380"/>
      <c r="BA13" s="380"/>
      <c r="BB13" s="380"/>
      <c r="BC13" s="380"/>
      <c r="BD13" s="380"/>
      <c r="BE13" s="380"/>
      <c r="BF13" s="380"/>
      <c r="BG13" s="380"/>
      <c r="BH13" s="380"/>
      <c r="BI13" s="380"/>
      <c r="BJ13" s="380"/>
      <c r="BK13" s="380"/>
      <c r="BL13" s="380"/>
      <c r="BM13" s="303"/>
    </row>
    <row r="14" spans="1:65" ht="15" customHeight="1">
      <c r="A14" s="31"/>
      <c r="B14" s="373" t="s">
        <v>299</v>
      </c>
      <c r="C14" s="373" t="s">
        <v>300</v>
      </c>
      <c r="D14" s="373" t="s">
        <v>289</v>
      </c>
      <c r="E14" s="373" t="s">
        <v>290</v>
      </c>
      <c r="F14" s="280" t="s">
        <v>57</v>
      </c>
      <c r="G14" s="280" t="s">
        <v>41</v>
      </c>
      <c r="H14" s="281"/>
      <c r="I14" s="282">
        <f>'Consumo Grupo A'!M124</f>
        <v>1124.1198369557167</v>
      </c>
      <c r="J14" s="283">
        <f>I14/(I14+I15)</f>
        <v>1.3580790662255376E-2</v>
      </c>
      <c r="K14" s="284"/>
      <c r="L14" s="284">
        <f>'Histórico Tarifas - Grupo A'!$K$123</f>
        <v>1.6570579033380164</v>
      </c>
      <c r="M14" s="284"/>
      <c r="N14" s="284">
        <f>'Histórico Tarifas - Grupo A'!$M$123</f>
        <v>0.75547762676981289</v>
      </c>
      <c r="O14" s="284"/>
      <c r="P14" s="366">
        <f>'Histórico Tarifas - Grupo A'!$T$123</f>
        <v>0.31750992284140322</v>
      </c>
      <c r="Q14" s="370" t="s">
        <v>291</v>
      </c>
      <c r="R14" s="370" t="s">
        <v>291</v>
      </c>
      <c r="S14" s="379" t="s">
        <v>292</v>
      </c>
      <c r="T14" s="284"/>
      <c r="U14" s="370">
        <v>7.8770000000000007E-2</v>
      </c>
      <c r="V14" s="369">
        <f>U14*(I14+I15)</f>
        <v>6520.012108212316</v>
      </c>
      <c r="W14" s="370">
        <v>12</v>
      </c>
      <c r="X14" s="285">
        <f>I14*N14*(1+$P$6)</f>
        <v>1118.8918588297486</v>
      </c>
      <c r="Y14" s="285">
        <f>X14*$W$6</f>
        <v>13426.702305956984</v>
      </c>
      <c r="Z14" s="369">
        <f>TRUNC(SUM(X16:X17),2)</f>
        <v>41714.639999999999</v>
      </c>
      <c r="AA14" s="369">
        <f>TRUNC(SUM(X14:X15)+3*V14/12,2)</f>
        <v>54552.23</v>
      </c>
      <c r="AB14" s="369">
        <f>Z14*W14</f>
        <v>500575.68</v>
      </c>
      <c r="AC14" s="369">
        <f>AA14*W14</f>
        <v>654626.76</v>
      </c>
      <c r="AD14" s="369">
        <f>SUM(Z14:AA17)</f>
        <v>96266.87</v>
      </c>
      <c r="AE14" s="369">
        <f>AD14*W14</f>
        <v>1155202.44</v>
      </c>
      <c r="AF14" s="388">
        <f>AVERAGE(777098.17,1000224.69,725712.87,852290.22,818845.99,782928.62)</f>
        <v>826183.42666666675</v>
      </c>
      <c r="AG14" s="391">
        <f>1-(AF14/AE14)</f>
        <v>0.2848150263025182</v>
      </c>
      <c r="AH14" s="394">
        <v>782928.62</v>
      </c>
      <c r="AI14" s="382">
        <f t="shared" ref="AI14" si="3">1-(AH14/AE14)</f>
        <v>0.32225851254261539</v>
      </c>
      <c r="AJ14" s="385"/>
      <c r="AK14" s="380"/>
      <c r="AL14" s="380"/>
      <c r="AM14" s="380"/>
      <c r="AN14" s="380"/>
      <c r="AO14" s="380"/>
      <c r="AP14" s="380"/>
      <c r="AQ14" s="381">
        <f>AQ5*AE14</f>
        <v>832785.43899599998</v>
      </c>
      <c r="AR14" s="381">
        <f>AR5*AE14</f>
        <v>322417.00100400002</v>
      </c>
      <c r="AS14" s="380"/>
      <c r="AT14" s="380"/>
      <c r="AU14" s="380"/>
      <c r="AV14" s="380"/>
      <c r="AW14" s="380"/>
      <c r="AX14" s="380"/>
      <c r="AY14" s="380"/>
      <c r="AZ14" s="380"/>
      <c r="BA14" s="380"/>
      <c r="BB14" s="380"/>
      <c r="BC14" s="380"/>
      <c r="BD14" s="380"/>
      <c r="BE14" s="380"/>
      <c r="BF14" s="380"/>
      <c r="BG14" s="380"/>
      <c r="BH14" s="380"/>
      <c r="BI14" s="380"/>
      <c r="BJ14" s="380"/>
      <c r="BK14" s="380"/>
      <c r="BL14" s="380"/>
      <c r="BM14" s="303"/>
    </row>
    <row r="15" spans="1:65">
      <c r="A15" s="31"/>
      <c r="B15" s="373"/>
      <c r="C15" s="373"/>
      <c r="D15" s="373"/>
      <c r="E15" s="373"/>
      <c r="F15" s="280" t="s">
        <v>57</v>
      </c>
      <c r="G15" s="280" t="s">
        <v>293</v>
      </c>
      <c r="H15" s="281"/>
      <c r="I15" s="282">
        <f>'Consumo Grupo A'!N124</f>
        <v>81648.663052625547</v>
      </c>
      <c r="J15" s="283">
        <f>I15/(I14+I15)</f>
        <v>0.98641920933774474</v>
      </c>
      <c r="K15" s="284"/>
      <c r="L15" s="284"/>
      <c r="M15" s="284">
        <f>'Histórico Tarifas - Grupo A'!$L$123</f>
        <v>0.22731495966982793</v>
      </c>
      <c r="N15" s="284"/>
      <c r="O15" s="284">
        <f>'Histórico Tarifas - Grupo A'!$N$123</f>
        <v>0.48156490754297776</v>
      </c>
      <c r="P15" s="366"/>
      <c r="Q15" s="370"/>
      <c r="R15" s="370"/>
      <c r="S15" s="379"/>
      <c r="T15" s="284"/>
      <c r="U15" s="370"/>
      <c r="V15" s="370"/>
      <c r="W15" s="370"/>
      <c r="X15" s="285">
        <f>I15*O15*(1+$P$6)</f>
        <v>51803.345083922788</v>
      </c>
      <c r="Y15" s="285">
        <f>X15*$W$6</f>
        <v>621640.14100707346</v>
      </c>
      <c r="Z15" s="370"/>
      <c r="AA15" s="370"/>
      <c r="AB15" s="370"/>
      <c r="AC15" s="370"/>
      <c r="AD15" s="370"/>
      <c r="AE15" s="370"/>
      <c r="AF15" s="389"/>
      <c r="AG15" s="392"/>
      <c r="AH15" s="395"/>
      <c r="AI15" s="383"/>
      <c r="AJ15" s="386"/>
      <c r="AK15" s="380"/>
      <c r="AL15" s="380"/>
      <c r="AM15" s="380"/>
      <c r="AN15" s="380"/>
      <c r="AO15" s="380"/>
      <c r="AP15" s="380"/>
      <c r="AQ15" s="380"/>
      <c r="AR15" s="380"/>
      <c r="AS15" s="380"/>
      <c r="AT15" s="380"/>
      <c r="AU15" s="380"/>
      <c r="AV15" s="380"/>
      <c r="AW15" s="380"/>
      <c r="AX15" s="380"/>
      <c r="AY15" s="380"/>
      <c r="AZ15" s="380"/>
      <c r="BA15" s="380"/>
      <c r="BB15" s="380"/>
      <c r="BC15" s="380"/>
      <c r="BD15" s="380"/>
      <c r="BE15" s="380"/>
      <c r="BF15" s="380"/>
      <c r="BG15" s="380"/>
      <c r="BH15" s="380"/>
      <c r="BI15" s="380"/>
      <c r="BJ15" s="380"/>
      <c r="BK15" s="380"/>
      <c r="BL15" s="380"/>
      <c r="BM15" s="303"/>
    </row>
    <row r="16" spans="1:65">
      <c r="A16" s="31"/>
      <c r="B16" s="373"/>
      <c r="C16" s="373"/>
      <c r="D16" s="373"/>
      <c r="E16" s="373"/>
      <c r="F16" s="280" t="s">
        <v>294</v>
      </c>
      <c r="G16" s="280" t="s">
        <v>295</v>
      </c>
      <c r="H16" s="281"/>
      <c r="I16" s="281"/>
      <c r="J16" s="283"/>
      <c r="K16" s="284"/>
      <c r="L16" s="284"/>
      <c r="M16" s="284"/>
      <c r="N16" s="284"/>
      <c r="O16" s="284"/>
      <c r="P16" s="366"/>
      <c r="Q16" s="370"/>
      <c r="R16" s="370"/>
      <c r="S16" s="379"/>
      <c r="T16" s="284">
        <f>'Histórico Tarifas - Grupo A'!$H$123</f>
        <v>1088.8411222588763</v>
      </c>
      <c r="U16" s="370"/>
      <c r="V16" s="370"/>
      <c r="W16" s="370"/>
      <c r="X16" s="285">
        <f>T16</f>
        <v>1088.8411222588763</v>
      </c>
      <c r="Y16" s="285">
        <f>X16*$W$6</f>
        <v>13066.093467106515</v>
      </c>
      <c r="Z16" s="370"/>
      <c r="AA16" s="370"/>
      <c r="AB16" s="370"/>
      <c r="AC16" s="370"/>
      <c r="AD16" s="370"/>
      <c r="AE16" s="370"/>
      <c r="AF16" s="389"/>
      <c r="AG16" s="392"/>
      <c r="AH16" s="395"/>
      <c r="AI16" s="383"/>
      <c r="AJ16" s="386"/>
      <c r="AK16" s="380"/>
      <c r="AL16" s="380"/>
      <c r="AM16" s="380"/>
      <c r="AN16" s="380"/>
      <c r="AO16" s="380"/>
      <c r="AP16" s="380"/>
      <c r="AQ16" s="380"/>
      <c r="AR16" s="380"/>
      <c r="AS16" s="380"/>
      <c r="AT16" s="380"/>
      <c r="AU16" s="380"/>
      <c r="AV16" s="380"/>
      <c r="AW16" s="380"/>
      <c r="AX16" s="380"/>
      <c r="AY16" s="380"/>
      <c r="AZ16" s="380"/>
      <c r="BA16" s="380"/>
      <c r="BB16" s="380"/>
      <c r="BC16" s="380"/>
      <c r="BD16" s="380"/>
      <c r="BE16" s="380"/>
      <c r="BF16" s="380"/>
      <c r="BG16" s="380"/>
      <c r="BH16" s="380"/>
      <c r="BI16" s="380"/>
      <c r="BJ16" s="380"/>
      <c r="BK16" s="380"/>
      <c r="BL16" s="380"/>
      <c r="BM16" s="303"/>
    </row>
    <row r="17" spans="1:65">
      <c r="A17" s="31"/>
      <c r="B17" s="373"/>
      <c r="C17" s="373"/>
      <c r="D17" s="373"/>
      <c r="E17" s="373"/>
      <c r="F17" s="280" t="s">
        <v>294</v>
      </c>
      <c r="G17" s="280" t="s">
        <v>296</v>
      </c>
      <c r="H17" s="282">
        <f>'Demanda Grupo A'!H130</f>
        <v>600</v>
      </c>
      <c r="I17" s="281"/>
      <c r="J17" s="283"/>
      <c r="K17" s="284">
        <f>'Histórico Tarifas - Grupo A'!$J$123</f>
        <v>17.354325615157059</v>
      </c>
      <c r="L17" s="284"/>
      <c r="M17" s="284"/>
      <c r="N17" s="284"/>
      <c r="O17" s="284"/>
      <c r="P17" s="366"/>
      <c r="Q17" s="370"/>
      <c r="R17" s="370"/>
      <c r="S17" s="379"/>
      <c r="T17" s="284"/>
      <c r="U17" s="370"/>
      <c r="V17" s="370"/>
      <c r="W17" s="370"/>
      <c r="X17" s="285">
        <f>H17*K17*(1+$P$6)+I14*L14*(1+P14)+I15*M15*(1+P14)</f>
        <v>40625.799992866072</v>
      </c>
      <c r="Y17" s="285">
        <f>X17*$W$6</f>
        <v>487509.59991439286</v>
      </c>
      <c r="Z17" s="370"/>
      <c r="AA17" s="370"/>
      <c r="AB17" s="370"/>
      <c r="AC17" s="370"/>
      <c r="AD17" s="370"/>
      <c r="AE17" s="370"/>
      <c r="AF17" s="390"/>
      <c r="AG17" s="393"/>
      <c r="AH17" s="396"/>
      <c r="AI17" s="384"/>
      <c r="AJ17" s="387"/>
      <c r="AK17" s="380"/>
      <c r="AL17" s="380"/>
      <c r="AM17" s="380"/>
      <c r="AN17" s="380"/>
      <c r="AO17" s="380"/>
      <c r="AP17" s="380"/>
      <c r="AQ17" s="380"/>
      <c r="AR17" s="380"/>
      <c r="AS17" s="380"/>
      <c r="AT17" s="380"/>
      <c r="AU17" s="380"/>
      <c r="AV17" s="380"/>
      <c r="AW17" s="380"/>
      <c r="AX17" s="380"/>
      <c r="AY17" s="380"/>
      <c r="AZ17" s="380"/>
      <c r="BA17" s="380"/>
      <c r="BB17" s="380"/>
      <c r="BC17" s="380"/>
      <c r="BD17" s="380"/>
      <c r="BE17" s="380"/>
      <c r="BF17" s="380"/>
      <c r="BG17" s="380"/>
      <c r="BH17" s="380"/>
      <c r="BI17" s="380"/>
      <c r="BJ17" s="380"/>
      <c r="BK17" s="380"/>
      <c r="BL17" s="380"/>
      <c r="BM17" s="303"/>
    </row>
    <row r="18" spans="1:65">
      <c r="A18" s="31"/>
      <c r="B18" s="373" t="s">
        <v>49</v>
      </c>
      <c r="C18" s="373" t="s">
        <v>301</v>
      </c>
      <c r="D18" s="373" t="s">
        <v>289</v>
      </c>
      <c r="E18" s="373" t="s">
        <v>290</v>
      </c>
      <c r="F18" s="280" t="s">
        <v>57</v>
      </c>
      <c r="G18" s="280" t="s">
        <v>41</v>
      </c>
      <c r="H18" s="281"/>
      <c r="I18" s="282">
        <f>'Consumo Grupo A'!O124</f>
        <v>17128.57929049234</v>
      </c>
      <c r="J18" s="283">
        <f>I18/(I18+I19)</f>
        <v>8.1668340054659894E-2</v>
      </c>
      <c r="K18" s="284"/>
      <c r="L18" s="284">
        <f>'Histórico Tarifas - Grupo A'!$K$123</f>
        <v>1.6570579033380164</v>
      </c>
      <c r="M18" s="284"/>
      <c r="N18" s="284">
        <f>'Histórico Tarifas - Grupo A'!$M$123</f>
        <v>0.75547762676981289</v>
      </c>
      <c r="O18" s="284"/>
      <c r="P18" s="366">
        <f>'Histórico Tarifas - Grupo A'!$T$123</f>
        <v>0.31750992284140322</v>
      </c>
      <c r="Q18" s="370" t="s">
        <v>291</v>
      </c>
      <c r="R18" s="370" t="s">
        <v>291</v>
      </c>
      <c r="S18" s="379" t="s">
        <v>292</v>
      </c>
      <c r="T18" s="284"/>
      <c r="U18" s="370">
        <v>7.8770000000000007E-2</v>
      </c>
      <c r="V18" s="369">
        <f>U18*(I18+I19)</f>
        <v>16520.70055310371</v>
      </c>
      <c r="W18" s="370">
        <v>12</v>
      </c>
      <c r="X18" s="285">
        <f>I18*N18*(1+$P$6)</f>
        <v>17048.918888713368</v>
      </c>
      <c r="Y18" s="285">
        <f>X18*$W$6</f>
        <v>204587.02666456043</v>
      </c>
      <c r="Z18" s="369">
        <f>TRUNC(SUM(X20:X21),2)</f>
        <v>117659.57</v>
      </c>
      <c r="AA18" s="369">
        <f>TRUNC(SUM(X18:X19)+3*V18/12,2)</f>
        <v>143380.41</v>
      </c>
      <c r="AB18" s="369">
        <f>Z18*W18</f>
        <v>1411914.84</v>
      </c>
      <c r="AC18" s="369">
        <f>AA18*W18</f>
        <v>1720564.92</v>
      </c>
      <c r="AD18" s="369">
        <f>SUM(Z18:AA21)</f>
        <v>261039.98</v>
      </c>
      <c r="AE18" s="369">
        <f>AD18*W18</f>
        <v>3132479.7600000002</v>
      </c>
      <c r="AF18" s="388">
        <f>AVERAGE(1688008.53,1328535.98,1446279.39,1345224.27,1589537.83)</f>
        <v>1479517.2</v>
      </c>
      <c r="AG18" s="391">
        <f t="shared" ref="AG18" si="4">1-(AF18/AE18)</f>
        <v>0.52768499292713711</v>
      </c>
      <c r="AH18" s="394">
        <v>1589537.83</v>
      </c>
      <c r="AI18" s="382">
        <f t="shared" ref="AI18" si="5">1-(AH18/AE18)</f>
        <v>0.49256245792949671</v>
      </c>
      <c r="AJ18" s="385"/>
      <c r="AK18" s="380"/>
      <c r="AL18" s="380"/>
      <c r="AM18" s="380"/>
      <c r="AN18" s="380"/>
      <c r="AO18" s="380"/>
      <c r="AP18" s="380"/>
      <c r="AQ18" s="380"/>
      <c r="AR18" s="380"/>
      <c r="AS18" s="381">
        <f>AE18*Rateio!H6</f>
        <v>2256011.9231520002</v>
      </c>
      <c r="AT18" s="381">
        <f>AE18*Rateio!H7</f>
        <v>525630.10372800007</v>
      </c>
      <c r="AU18" s="381">
        <f>AE18*Rateio!H5</f>
        <v>292886.85756000003</v>
      </c>
      <c r="AV18" s="381">
        <f>AE18*Rateio!H20</f>
        <v>25999.582008000001</v>
      </c>
      <c r="AW18" s="381">
        <f>AW5*AE18</f>
        <v>31951.293552000006</v>
      </c>
      <c r="AX18" s="380"/>
      <c r="AY18" s="380"/>
      <c r="AZ18" s="380"/>
      <c r="BA18" s="380"/>
      <c r="BB18" s="380"/>
      <c r="BC18" s="380"/>
      <c r="BD18" s="380"/>
      <c r="BE18" s="380"/>
      <c r="BF18" s="380"/>
      <c r="BG18" s="380"/>
      <c r="BH18" s="380"/>
      <c r="BI18" s="380"/>
      <c r="BJ18" s="380"/>
      <c r="BK18" s="380"/>
      <c r="BL18" s="380"/>
      <c r="BM18" s="303"/>
    </row>
    <row r="19" spans="1:65">
      <c r="A19" s="31"/>
      <c r="B19" s="373"/>
      <c r="C19" s="373"/>
      <c r="D19" s="373"/>
      <c r="E19" s="373"/>
      <c r="F19" s="280" t="s">
        <v>57</v>
      </c>
      <c r="G19" s="280" t="s">
        <v>293</v>
      </c>
      <c r="H19" s="281"/>
      <c r="I19" s="282">
        <f>'Consumo Grupo A'!P124</f>
        <v>192604.82877226899</v>
      </c>
      <c r="J19" s="283">
        <f>I19/(I18+I19)</f>
        <v>0.91833165994534005</v>
      </c>
      <c r="K19" s="284"/>
      <c r="L19" s="284"/>
      <c r="M19" s="284">
        <f>'Histórico Tarifas - Grupo A'!$L$123</f>
        <v>0.22731495966982793</v>
      </c>
      <c r="N19" s="284"/>
      <c r="O19" s="284">
        <f>'Histórico Tarifas - Grupo A'!$N$123</f>
        <v>0.48156490754297776</v>
      </c>
      <c r="P19" s="366"/>
      <c r="Q19" s="370"/>
      <c r="R19" s="370"/>
      <c r="S19" s="379"/>
      <c r="T19" s="284"/>
      <c r="U19" s="370"/>
      <c r="V19" s="370"/>
      <c r="W19" s="370"/>
      <c r="X19" s="285">
        <f>I19*O19*(1+$P$6)</f>
        <v>122201.32010353678</v>
      </c>
      <c r="Y19" s="285">
        <f>X19*$W$6</f>
        <v>1466415.8412424414</v>
      </c>
      <c r="Z19" s="370"/>
      <c r="AA19" s="370"/>
      <c r="AB19" s="370"/>
      <c r="AC19" s="370"/>
      <c r="AD19" s="370"/>
      <c r="AE19" s="370"/>
      <c r="AF19" s="389"/>
      <c r="AG19" s="392"/>
      <c r="AH19" s="395"/>
      <c r="AI19" s="383"/>
      <c r="AJ19" s="386"/>
      <c r="AK19" s="380"/>
      <c r="AL19" s="380"/>
      <c r="AM19" s="380"/>
      <c r="AN19" s="380"/>
      <c r="AO19" s="380"/>
      <c r="AP19" s="380"/>
      <c r="AQ19" s="380"/>
      <c r="AR19" s="380"/>
      <c r="AS19" s="380"/>
      <c r="AT19" s="380"/>
      <c r="AU19" s="380"/>
      <c r="AV19" s="380"/>
      <c r="AW19" s="380"/>
      <c r="AX19" s="380"/>
      <c r="AY19" s="380"/>
      <c r="AZ19" s="380"/>
      <c r="BA19" s="380"/>
      <c r="BB19" s="380"/>
      <c r="BC19" s="380"/>
      <c r="BD19" s="380"/>
      <c r="BE19" s="380"/>
      <c r="BF19" s="380"/>
      <c r="BG19" s="380"/>
      <c r="BH19" s="380"/>
      <c r="BI19" s="380"/>
      <c r="BJ19" s="380"/>
      <c r="BK19" s="380"/>
      <c r="BL19" s="380"/>
      <c r="BM19" s="303"/>
    </row>
    <row r="20" spans="1:65">
      <c r="A20" s="31"/>
      <c r="B20" s="373"/>
      <c r="C20" s="373"/>
      <c r="D20" s="373"/>
      <c r="E20" s="373"/>
      <c r="F20" s="280" t="s">
        <v>294</v>
      </c>
      <c r="G20" s="280" t="s">
        <v>295</v>
      </c>
      <c r="H20" s="281"/>
      <c r="I20" s="281"/>
      <c r="J20" s="283"/>
      <c r="K20" s="284"/>
      <c r="L20" s="284"/>
      <c r="M20" s="284"/>
      <c r="N20" s="284"/>
      <c r="O20" s="284"/>
      <c r="P20" s="366"/>
      <c r="Q20" s="370"/>
      <c r="R20" s="370"/>
      <c r="S20" s="379"/>
      <c r="T20" s="284">
        <f>'Histórico Tarifas - Grupo A'!$H$123</f>
        <v>1088.8411222588763</v>
      </c>
      <c r="U20" s="370"/>
      <c r="V20" s="370"/>
      <c r="W20" s="370"/>
      <c r="X20" s="285">
        <f>T20</f>
        <v>1088.8411222588763</v>
      </c>
      <c r="Y20" s="285">
        <f>X20*$W$6</f>
        <v>13066.093467106515</v>
      </c>
      <c r="Z20" s="370"/>
      <c r="AA20" s="370"/>
      <c r="AB20" s="370"/>
      <c r="AC20" s="370"/>
      <c r="AD20" s="370"/>
      <c r="AE20" s="370"/>
      <c r="AF20" s="389"/>
      <c r="AG20" s="392"/>
      <c r="AH20" s="395"/>
      <c r="AI20" s="383"/>
      <c r="AJ20" s="386"/>
      <c r="AK20" s="380"/>
      <c r="AL20" s="380"/>
      <c r="AM20" s="380"/>
      <c r="AN20" s="380"/>
      <c r="AO20" s="380"/>
      <c r="AP20" s="380"/>
      <c r="AQ20" s="380"/>
      <c r="AR20" s="380"/>
      <c r="AS20" s="380"/>
      <c r="AT20" s="380"/>
      <c r="AU20" s="380"/>
      <c r="AV20" s="380"/>
      <c r="AW20" s="380"/>
      <c r="AX20" s="380"/>
      <c r="AY20" s="380"/>
      <c r="AZ20" s="380"/>
      <c r="BA20" s="380"/>
      <c r="BB20" s="380"/>
      <c r="BC20" s="380"/>
      <c r="BD20" s="380"/>
      <c r="BE20" s="380"/>
      <c r="BF20" s="380"/>
      <c r="BG20" s="380"/>
      <c r="BH20" s="380"/>
      <c r="BI20" s="380"/>
      <c r="BJ20" s="380"/>
      <c r="BK20" s="380"/>
      <c r="BL20" s="380"/>
      <c r="BM20" s="303"/>
    </row>
    <row r="21" spans="1:65">
      <c r="A21" s="31"/>
      <c r="B21" s="373"/>
      <c r="C21" s="373"/>
      <c r="D21" s="373"/>
      <c r="E21" s="373"/>
      <c r="F21" s="280" t="s">
        <v>294</v>
      </c>
      <c r="G21" s="280" t="s">
        <v>296</v>
      </c>
      <c r="H21" s="282">
        <f>'Demanda Grupo A'!K130</f>
        <v>940</v>
      </c>
      <c r="I21" s="281"/>
      <c r="J21" s="283"/>
      <c r="K21" s="284">
        <f>'Histórico Tarifas - Grupo A'!$J$123</f>
        <v>17.354325615157059</v>
      </c>
      <c r="L21" s="284"/>
      <c r="M21" s="284"/>
      <c r="N21" s="284"/>
      <c r="O21" s="284"/>
      <c r="P21" s="366"/>
      <c r="Q21" s="370"/>
      <c r="R21" s="370"/>
      <c r="S21" s="379"/>
      <c r="T21" s="284"/>
      <c r="U21" s="370"/>
      <c r="V21" s="370"/>
      <c r="W21" s="370"/>
      <c r="X21" s="285">
        <f>H21*K21*(1+$P$6)+I18*L18*(1+P18)+I19*M19*(1+P18)</f>
        <v>116570.73866906163</v>
      </c>
      <c r="Y21" s="285">
        <f>X21*$W$6</f>
        <v>1398848.8640287395</v>
      </c>
      <c r="Z21" s="370"/>
      <c r="AA21" s="370"/>
      <c r="AB21" s="370"/>
      <c r="AC21" s="370"/>
      <c r="AD21" s="370"/>
      <c r="AE21" s="370"/>
      <c r="AF21" s="390"/>
      <c r="AG21" s="393"/>
      <c r="AH21" s="396"/>
      <c r="AI21" s="384"/>
      <c r="AJ21" s="387"/>
      <c r="AK21" s="380"/>
      <c r="AL21" s="380"/>
      <c r="AM21" s="380"/>
      <c r="AN21" s="380"/>
      <c r="AO21" s="380"/>
      <c r="AP21" s="380"/>
      <c r="AQ21" s="380"/>
      <c r="AR21" s="380"/>
      <c r="AS21" s="380"/>
      <c r="AT21" s="380"/>
      <c r="AU21" s="380"/>
      <c r="AV21" s="380"/>
      <c r="AW21" s="380"/>
      <c r="AX21" s="380"/>
      <c r="AY21" s="380"/>
      <c r="AZ21" s="380"/>
      <c r="BA21" s="380"/>
      <c r="BB21" s="380"/>
      <c r="BC21" s="380"/>
      <c r="BD21" s="380"/>
      <c r="BE21" s="380"/>
      <c r="BF21" s="380"/>
      <c r="BG21" s="380"/>
      <c r="BH21" s="380"/>
      <c r="BI21" s="380"/>
      <c r="BJ21" s="380"/>
      <c r="BK21" s="380"/>
      <c r="BL21" s="380"/>
      <c r="BM21" s="303"/>
    </row>
    <row r="22" spans="1:65" ht="15" customHeight="1">
      <c r="A22" s="31"/>
      <c r="B22" s="373" t="s">
        <v>302</v>
      </c>
      <c r="C22" s="373" t="s">
        <v>303</v>
      </c>
      <c r="D22" s="373" t="s">
        <v>289</v>
      </c>
      <c r="E22" s="373" t="s">
        <v>290</v>
      </c>
      <c r="F22" s="280" t="s">
        <v>57</v>
      </c>
      <c r="G22" s="280" t="s">
        <v>41</v>
      </c>
      <c r="H22" s="281"/>
      <c r="I22" s="282">
        <f>'Consumo Grupo A'!U124</f>
        <v>1960.4536917721023</v>
      </c>
      <c r="J22" s="283">
        <f>I22/(I22+I23)</f>
        <v>5.0417322756127203E-2</v>
      </c>
      <c r="K22" s="284"/>
      <c r="L22" s="284">
        <f>'Histórico Tarifas - Grupo A'!$K$123</f>
        <v>1.6570579033380164</v>
      </c>
      <c r="M22" s="284"/>
      <c r="N22" s="284">
        <f>'Histórico Tarifas - Grupo A'!$M$123</f>
        <v>0.75547762676981289</v>
      </c>
      <c r="O22" s="284"/>
      <c r="P22" s="366">
        <f>'Histórico Tarifas - Grupo A'!$T$123</f>
        <v>0.31750992284140322</v>
      </c>
      <c r="Q22" s="370" t="s">
        <v>291</v>
      </c>
      <c r="R22" s="370" t="s">
        <v>291</v>
      </c>
      <c r="S22" s="379" t="s">
        <v>292</v>
      </c>
      <c r="T22" s="284"/>
      <c r="U22" s="370">
        <v>7.8770000000000007E-2</v>
      </c>
      <c r="V22" s="369">
        <f>U22*(I22+I23)</f>
        <v>3062.9341039756277</v>
      </c>
      <c r="W22" s="370">
        <v>12</v>
      </c>
      <c r="X22" s="285">
        <f>I22*N22*(1+$P$6)</f>
        <v>1951.3361504917043</v>
      </c>
      <c r="Y22" s="285">
        <f>X22*$W$6</f>
        <v>23416.03380590045</v>
      </c>
      <c r="Z22" s="369">
        <f>TRUNC(SUM(X24:X25),2)</f>
        <v>30145.96</v>
      </c>
      <c r="AA22" s="369">
        <f>TRUNC(SUM(X22:X23)+3*V22/12,2)</f>
        <v>26144.15</v>
      </c>
      <c r="AB22" s="369">
        <f>Z22*W22</f>
        <v>361751.52</v>
      </c>
      <c r="AC22" s="369">
        <f>AA22*W22</f>
        <v>313729.80000000005</v>
      </c>
      <c r="AD22" s="369">
        <f>SUM(Z22:AA25)</f>
        <v>56290.11</v>
      </c>
      <c r="AE22" s="369">
        <f>AD22*W22</f>
        <v>675481.32000000007</v>
      </c>
      <c r="AF22" s="399">
        <f>AVERAGE(886123.12,797264.39,769276.05,658552.67)</f>
        <v>777804.0575</v>
      </c>
      <c r="AG22" s="391">
        <f t="shared" ref="AG22" si="6">1-(AF22/AE22)</f>
        <v>-0.15148122452890322</v>
      </c>
      <c r="AH22" s="394">
        <v>658552.67000000004</v>
      </c>
      <c r="AI22" s="382">
        <f t="shared" ref="AI22" si="7">1-(AH22/AE22)</f>
        <v>2.5061610882148533E-2</v>
      </c>
      <c r="AJ22" s="385"/>
      <c r="AK22" s="380"/>
      <c r="AL22" s="380"/>
      <c r="AM22" s="380"/>
      <c r="AN22" s="380"/>
      <c r="AO22" s="380"/>
      <c r="AP22" s="380"/>
      <c r="AQ22" s="380"/>
      <c r="AR22" s="380"/>
      <c r="AS22" s="380"/>
      <c r="AT22" s="380"/>
      <c r="AU22" s="380"/>
      <c r="AV22" s="380"/>
      <c r="AW22" s="380"/>
      <c r="AX22" s="381">
        <f>AX5*AE22</f>
        <v>675481.32000000007</v>
      </c>
      <c r="AY22" s="380"/>
      <c r="AZ22" s="380"/>
      <c r="BA22" s="380"/>
      <c r="BB22" s="380"/>
      <c r="BC22" s="380"/>
      <c r="BD22" s="380"/>
      <c r="BE22" s="380"/>
      <c r="BF22" s="380"/>
      <c r="BG22" s="380"/>
      <c r="BH22" s="380"/>
      <c r="BI22" s="380"/>
      <c r="BJ22" s="380"/>
      <c r="BK22" s="380"/>
      <c r="BL22" s="380"/>
      <c r="BM22" s="303"/>
    </row>
    <row r="23" spans="1:65">
      <c r="A23" s="31"/>
      <c r="B23" s="373"/>
      <c r="C23" s="373"/>
      <c r="D23" s="373"/>
      <c r="E23" s="373"/>
      <c r="F23" s="280" t="s">
        <v>57</v>
      </c>
      <c r="G23" s="280" t="s">
        <v>293</v>
      </c>
      <c r="H23" s="281"/>
      <c r="I23" s="282">
        <f>'Consumo Grupo A'!V124</f>
        <v>36924.072193407883</v>
      </c>
      <c r="J23" s="283">
        <f>I23/(I22+I23)</f>
        <v>0.94958267724387269</v>
      </c>
      <c r="K23" s="284"/>
      <c r="L23" s="284"/>
      <c r="M23" s="284">
        <f>'Histórico Tarifas - Grupo A'!$L$123</f>
        <v>0.22731495966982793</v>
      </c>
      <c r="N23" s="284"/>
      <c r="O23" s="284">
        <f>'Histórico Tarifas - Grupo A'!$N$123</f>
        <v>0.48156490754297776</v>
      </c>
      <c r="P23" s="366"/>
      <c r="Q23" s="370"/>
      <c r="R23" s="370"/>
      <c r="S23" s="379"/>
      <c r="T23" s="284"/>
      <c r="U23" s="370"/>
      <c r="V23" s="370"/>
      <c r="W23" s="370"/>
      <c r="X23" s="285">
        <f>I23*O23*(1+$P$6)</f>
        <v>23427.088481607141</v>
      </c>
      <c r="Y23" s="285">
        <f>X23*$W$6</f>
        <v>281125.06177928566</v>
      </c>
      <c r="Z23" s="370"/>
      <c r="AA23" s="370"/>
      <c r="AB23" s="370"/>
      <c r="AC23" s="370"/>
      <c r="AD23" s="370"/>
      <c r="AE23" s="370"/>
      <c r="AF23" s="400"/>
      <c r="AG23" s="392"/>
      <c r="AH23" s="395"/>
      <c r="AI23" s="383"/>
      <c r="AJ23" s="386"/>
      <c r="AK23" s="380"/>
      <c r="AL23" s="380"/>
      <c r="AM23" s="380"/>
      <c r="AN23" s="380"/>
      <c r="AO23" s="380"/>
      <c r="AP23" s="380"/>
      <c r="AQ23" s="380"/>
      <c r="AR23" s="380"/>
      <c r="AS23" s="380"/>
      <c r="AT23" s="380"/>
      <c r="AU23" s="380"/>
      <c r="AV23" s="380"/>
      <c r="AW23" s="380"/>
      <c r="AX23" s="380"/>
      <c r="AY23" s="380"/>
      <c r="AZ23" s="380"/>
      <c r="BA23" s="380"/>
      <c r="BB23" s="380"/>
      <c r="BC23" s="380"/>
      <c r="BD23" s="380"/>
      <c r="BE23" s="380"/>
      <c r="BF23" s="380"/>
      <c r="BG23" s="380"/>
      <c r="BH23" s="380"/>
      <c r="BI23" s="380"/>
      <c r="BJ23" s="380"/>
      <c r="BK23" s="380"/>
      <c r="BL23" s="380"/>
      <c r="BM23" s="303"/>
    </row>
    <row r="24" spans="1:65">
      <c r="A24" s="31"/>
      <c r="B24" s="373"/>
      <c r="C24" s="373"/>
      <c r="D24" s="373"/>
      <c r="E24" s="373"/>
      <c r="F24" s="280" t="s">
        <v>294</v>
      </c>
      <c r="G24" s="280" t="s">
        <v>295</v>
      </c>
      <c r="H24" s="281"/>
      <c r="I24" s="281"/>
      <c r="J24" s="283"/>
      <c r="K24" s="284"/>
      <c r="L24" s="284"/>
      <c r="M24" s="284"/>
      <c r="N24" s="284"/>
      <c r="O24" s="284"/>
      <c r="P24" s="366"/>
      <c r="Q24" s="370"/>
      <c r="R24" s="370"/>
      <c r="S24" s="379"/>
      <c r="T24" s="284">
        <f>'Histórico Tarifas - Grupo A'!$H$123</f>
        <v>1088.8411222588763</v>
      </c>
      <c r="U24" s="370"/>
      <c r="V24" s="370"/>
      <c r="W24" s="370"/>
      <c r="X24" s="285">
        <f>T24</f>
        <v>1088.8411222588763</v>
      </c>
      <c r="Y24" s="285">
        <f>X24*$W$6</f>
        <v>13066.093467106515</v>
      </c>
      <c r="Z24" s="370"/>
      <c r="AA24" s="370"/>
      <c r="AB24" s="370"/>
      <c r="AC24" s="370"/>
      <c r="AD24" s="370"/>
      <c r="AE24" s="370"/>
      <c r="AF24" s="400"/>
      <c r="AG24" s="392"/>
      <c r="AH24" s="395"/>
      <c r="AI24" s="383"/>
      <c r="AJ24" s="386"/>
      <c r="AK24" s="380"/>
      <c r="AL24" s="380"/>
      <c r="AM24" s="380"/>
      <c r="AN24" s="380"/>
      <c r="AO24" s="380"/>
      <c r="AP24" s="380"/>
      <c r="AQ24" s="380"/>
      <c r="AR24" s="380"/>
      <c r="AS24" s="380"/>
      <c r="AT24" s="380"/>
      <c r="AU24" s="380"/>
      <c r="AV24" s="380"/>
      <c r="AW24" s="380"/>
      <c r="AX24" s="380"/>
      <c r="AY24" s="380"/>
      <c r="AZ24" s="380"/>
      <c r="BA24" s="380"/>
      <c r="BB24" s="380"/>
      <c r="BC24" s="380"/>
      <c r="BD24" s="380"/>
      <c r="BE24" s="380"/>
      <c r="BF24" s="380"/>
      <c r="BG24" s="380"/>
      <c r="BH24" s="380"/>
      <c r="BI24" s="380"/>
      <c r="BJ24" s="380"/>
      <c r="BK24" s="380"/>
      <c r="BL24" s="380"/>
      <c r="BM24" s="303"/>
    </row>
    <row r="25" spans="1:65">
      <c r="A25" s="31"/>
      <c r="B25" s="373"/>
      <c r="C25" s="373"/>
      <c r="D25" s="373"/>
      <c r="E25" s="373"/>
      <c r="F25" s="280" t="s">
        <v>294</v>
      </c>
      <c r="G25" s="280" t="s">
        <v>296</v>
      </c>
      <c r="H25" s="282">
        <f>'Demanda Grupo A'!N130</f>
        <v>600</v>
      </c>
      <c r="I25" s="281"/>
      <c r="J25" s="283"/>
      <c r="K25" s="284">
        <f>'Histórico Tarifas - Grupo A'!$J$123</f>
        <v>17.354325615157059</v>
      </c>
      <c r="L25" s="284"/>
      <c r="M25" s="284"/>
      <c r="N25" s="284"/>
      <c r="O25" s="284"/>
      <c r="P25" s="366"/>
      <c r="Q25" s="370"/>
      <c r="R25" s="370"/>
      <c r="S25" s="379"/>
      <c r="T25" s="284"/>
      <c r="U25" s="370"/>
      <c r="V25" s="370"/>
      <c r="W25" s="370"/>
      <c r="X25" s="285">
        <f>H25*K25*(1+$P$6)+I22*L22*(1+P22)+I23*M23*(1+P22)</f>
        <v>29057.120925215757</v>
      </c>
      <c r="Y25" s="285">
        <f>X25*$W$6</f>
        <v>348685.45110258908</v>
      </c>
      <c r="Z25" s="370"/>
      <c r="AA25" s="370"/>
      <c r="AB25" s="370"/>
      <c r="AC25" s="370"/>
      <c r="AD25" s="370"/>
      <c r="AE25" s="370"/>
      <c r="AF25" s="401"/>
      <c r="AG25" s="393"/>
      <c r="AH25" s="396"/>
      <c r="AI25" s="384"/>
      <c r="AJ25" s="387"/>
      <c r="AK25" s="380"/>
      <c r="AL25" s="380"/>
      <c r="AM25" s="380"/>
      <c r="AN25" s="380"/>
      <c r="AO25" s="380"/>
      <c r="AP25" s="380"/>
      <c r="AQ25" s="380"/>
      <c r="AR25" s="380"/>
      <c r="AS25" s="380"/>
      <c r="AT25" s="380"/>
      <c r="AU25" s="380"/>
      <c r="AV25" s="380"/>
      <c r="AW25" s="380"/>
      <c r="AX25" s="380"/>
      <c r="AY25" s="380"/>
      <c r="AZ25" s="380"/>
      <c r="BA25" s="380"/>
      <c r="BB25" s="380"/>
      <c r="BC25" s="380"/>
      <c r="BD25" s="380"/>
      <c r="BE25" s="380"/>
      <c r="BF25" s="380"/>
      <c r="BG25" s="380"/>
      <c r="BH25" s="380"/>
      <c r="BI25" s="380"/>
      <c r="BJ25" s="380"/>
      <c r="BK25" s="380"/>
      <c r="BL25" s="380"/>
      <c r="BM25" s="303"/>
    </row>
    <row r="26" spans="1:65" ht="15" customHeight="1">
      <c r="A26" s="31"/>
      <c r="B26" s="373" t="s">
        <v>304</v>
      </c>
      <c r="C26" s="373" t="s">
        <v>305</v>
      </c>
      <c r="D26" s="373" t="s">
        <v>289</v>
      </c>
      <c r="E26" s="373" t="s">
        <v>290</v>
      </c>
      <c r="F26" s="280" t="s">
        <v>57</v>
      </c>
      <c r="G26" s="280" t="s">
        <v>41</v>
      </c>
      <c r="H26" s="281"/>
      <c r="I26" s="282">
        <f>'Consumo Grupo A'!Q124</f>
        <v>8354.3880217655678</v>
      </c>
      <c r="J26" s="283">
        <f>I26/($I$26+$I$27)</f>
        <v>8.7935626515665263E-2</v>
      </c>
      <c r="K26" s="284"/>
      <c r="L26" s="284">
        <f>'Histórico Tarifas - Grupo A'!$K$123</f>
        <v>1.6570579033380164</v>
      </c>
      <c r="M26" s="284"/>
      <c r="N26" s="284">
        <f>'Histórico Tarifas - Grupo A'!$M$123</f>
        <v>0.75547762676981289</v>
      </c>
      <c r="O26" s="284"/>
      <c r="P26" s="366">
        <f>'Histórico Tarifas - Grupo A'!$T$123</f>
        <v>0.31750992284140322</v>
      </c>
      <c r="Q26" s="370" t="s">
        <v>291</v>
      </c>
      <c r="R26" s="370" t="s">
        <v>291</v>
      </c>
      <c r="S26" s="379" t="s">
        <v>292</v>
      </c>
      <c r="T26" s="284"/>
      <c r="U26" s="370">
        <v>7.8770000000000007E-2</v>
      </c>
      <c r="V26" s="369">
        <f>U26*(I26+I27)</f>
        <v>7483.6010221322667</v>
      </c>
      <c r="W26" s="370">
        <v>12</v>
      </c>
      <c r="X26" s="285">
        <f>I26*N26*(1+$P$6)</f>
        <v>8315.534016705109</v>
      </c>
      <c r="Y26" s="285">
        <f>X26*$W$6</f>
        <v>99786.408200461301</v>
      </c>
      <c r="Z26" s="369">
        <f>TRUNC(SUM(X28:X29),2)</f>
        <v>54425.04</v>
      </c>
      <c r="AA26" s="369">
        <f>TRUNC(SUM(X26:X27)+3*V26/12,2)</f>
        <v>65163.8</v>
      </c>
      <c r="AB26" s="369">
        <f>Z26*W26</f>
        <v>653100.48</v>
      </c>
      <c r="AC26" s="369">
        <f>AA26*W26</f>
        <v>781965.60000000009</v>
      </c>
      <c r="AD26" s="369">
        <f>SUM(Z26:AA29)</f>
        <v>119588.84</v>
      </c>
      <c r="AE26" s="369">
        <f>AD26*W26</f>
        <v>1435066.08</v>
      </c>
      <c r="AF26" s="388">
        <f>AVERAGE(760297.9,724814.22,816270.46,825743.95,963880.29)</f>
        <v>818201.36400000006</v>
      </c>
      <c r="AG26" s="391">
        <f t="shared" ref="AG26" si="8">1-(AF26/AE26)</f>
        <v>0.42985108811156625</v>
      </c>
      <c r="AH26" s="394">
        <v>963880.29</v>
      </c>
      <c r="AI26" s="382">
        <f t="shared" ref="AI26" si="9">1-(AH26/AE26)</f>
        <v>0.32833734736452003</v>
      </c>
      <c r="AJ26" s="385"/>
      <c r="AK26" s="380"/>
      <c r="AL26" s="380"/>
      <c r="AM26" s="380"/>
      <c r="AN26" s="380"/>
      <c r="AO26" s="380"/>
      <c r="AP26" s="380"/>
      <c r="AQ26" s="380"/>
      <c r="AR26" s="380"/>
      <c r="AS26" s="380"/>
      <c r="AT26" s="380"/>
      <c r="AU26" s="380"/>
      <c r="AV26" s="380"/>
      <c r="AW26" s="380"/>
      <c r="AX26" s="380"/>
      <c r="AY26" s="381">
        <f>AY5*AE26</f>
        <v>469410.11476800003</v>
      </c>
      <c r="AZ26" s="381">
        <f>AZ5*AE26</f>
        <v>965655.9652320001</v>
      </c>
      <c r="BA26" s="380"/>
      <c r="BB26" s="380"/>
      <c r="BC26" s="380"/>
      <c r="BD26" s="380"/>
      <c r="BE26" s="380"/>
      <c r="BF26" s="380"/>
      <c r="BG26" s="380"/>
      <c r="BH26" s="380"/>
      <c r="BI26" s="380"/>
      <c r="BJ26" s="380"/>
      <c r="BK26" s="380"/>
      <c r="BL26" s="380"/>
      <c r="BM26" s="303"/>
    </row>
    <row r="27" spans="1:65">
      <c r="A27" s="31"/>
      <c r="B27" s="373"/>
      <c r="C27" s="373"/>
      <c r="D27" s="373"/>
      <c r="E27" s="373"/>
      <c r="F27" s="280" t="s">
        <v>57</v>
      </c>
      <c r="G27" s="280" t="s">
        <v>293</v>
      </c>
      <c r="H27" s="281"/>
      <c r="I27" s="282">
        <f>'Consumo Grupo A'!R124</f>
        <v>86651.337789231839</v>
      </c>
      <c r="J27" s="283">
        <f>I27/($I$26+$I$27)</f>
        <v>0.91206437348433478</v>
      </c>
      <c r="K27" s="284"/>
      <c r="L27" s="284"/>
      <c r="M27" s="284">
        <f>'Histórico Tarifas - Grupo A'!$L$123</f>
        <v>0.22731495966982793</v>
      </c>
      <c r="N27" s="284"/>
      <c r="O27" s="284">
        <f>'Histórico Tarifas - Grupo A'!$N$123</f>
        <v>0.48156490754297776</v>
      </c>
      <c r="P27" s="366"/>
      <c r="Q27" s="370"/>
      <c r="R27" s="370"/>
      <c r="S27" s="379"/>
      <c r="T27" s="284"/>
      <c r="U27" s="370"/>
      <c r="V27" s="370"/>
      <c r="W27" s="370"/>
      <c r="X27" s="285">
        <f>I27*O27*(1+$P$6)</f>
        <v>54977.374835714356</v>
      </c>
      <c r="Y27" s="285">
        <f>X27*$W$6</f>
        <v>659728.4980285723</v>
      </c>
      <c r="Z27" s="370"/>
      <c r="AA27" s="370"/>
      <c r="AB27" s="370"/>
      <c r="AC27" s="370"/>
      <c r="AD27" s="370"/>
      <c r="AE27" s="370"/>
      <c r="AF27" s="389"/>
      <c r="AG27" s="392"/>
      <c r="AH27" s="395"/>
      <c r="AI27" s="383"/>
      <c r="AJ27" s="386"/>
      <c r="AK27" s="380"/>
      <c r="AL27" s="380"/>
      <c r="AM27" s="380"/>
      <c r="AN27" s="380"/>
      <c r="AO27" s="380"/>
      <c r="AP27" s="380"/>
      <c r="AQ27" s="380"/>
      <c r="AR27" s="380"/>
      <c r="AS27" s="380"/>
      <c r="AT27" s="380"/>
      <c r="AU27" s="380"/>
      <c r="AV27" s="380"/>
      <c r="AW27" s="380"/>
      <c r="AX27" s="380"/>
      <c r="AY27" s="380"/>
      <c r="AZ27" s="380"/>
      <c r="BA27" s="380"/>
      <c r="BB27" s="380"/>
      <c r="BC27" s="380"/>
      <c r="BD27" s="380"/>
      <c r="BE27" s="380"/>
      <c r="BF27" s="380"/>
      <c r="BG27" s="380"/>
      <c r="BH27" s="380"/>
      <c r="BI27" s="380"/>
      <c r="BJ27" s="380"/>
      <c r="BK27" s="380"/>
      <c r="BL27" s="380"/>
      <c r="BM27" s="303"/>
    </row>
    <row r="28" spans="1:65">
      <c r="A28" s="31"/>
      <c r="B28" s="373"/>
      <c r="C28" s="373"/>
      <c r="D28" s="373"/>
      <c r="E28" s="373"/>
      <c r="F28" s="280" t="s">
        <v>294</v>
      </c>
      <c r="G28" s="280" t="s">
        <v>295</v>
      </c>
      <c r="H28" s="281"/>
      <c r="I28" s="281"/>
      <c r="J28" s="283"/>
      <c r="K28" s="284"/>
      <c r="L28" s="284"/>
      <c r="M28" s="284"/>
      <c r="N28" s="284"/>
      <c r="O28" s="284"/>
      <c r="P28" s="366"/>
      <c r="Q28" s="370"/>
      <c r="R28" s="370"/>
      <c r="S28" s="379"/>
      <c r="T28" s="284">
        <f>'Histórico Tarifas - Grupo A'!$H$123</f>
        <v>1088.8411222588763</v>
      </c>
      <c r="U28" s="370"/>
      <c r="V28" s="370"/>
      <c r="W28" s="370"/>
      <c r="X28" s="285">
        <f>T28</f>
        <v>1088.8411222588763</v>
      </c>
      <c r="Y28" s="285">
        <f>X28*$W$6</f>
        <v>13066.093467106515</v>
      </c>
      <c r="Z28" s="370"/>
      <c r="AA28" s="370"/>
      <c r="AB28" s="370"/>
      <c r="AC28" s="370"/>
      <c r="AD28" s="370"/>
      <c r="AE28" s="370"/>
      <c r="AF28" s="389"/>
      <c r="AG28" s="392"/>
      <c r="AH28" s="395"/>
      <c r="AI28" s="383"/>
      <c r="AJ28" s="386"/>
      <c r="AK28" s="380"/>
      <c r="AL28" s="380"/>
      <c r="AM28" s="380"/>
      <c r="AN28" s="380"/>
      <c r="AO28" s="380"/>
      <c r="AP28" s="380"/>
      <c r="AQ28" s="380"/>
      <c r="AR28" s="380"/>
      <c r="AS28" s="380"/>
      <c r="AT28" s="380"/>
      <c r="AU28" s="380"/>
      <c r="AV28" s="380"/>
      <c r="AW28" s="380"/>
      <c r="AX28" s="380"/>
      <c r="AY28" s="380"/>
      <c r="AZ28" s="380"/>
      <c r="BA28" s="380"/>
      <c r="BB28" s="380"/>
      <c r="BC28" s="380"/>
      <c r="BD28" s="380"/>
      <c r="BE28" s="380"/>
      <c r="BF28" s="380"/>
      <c r="BG28" s="380"/>
      <c r="BH28" s="380"/>
      <c r="BI28" s="380"/>
      <c r="BJ28" s="380"/>
      <c r="BK28" s="380"/>
      <c r="BL28" s="380"/>
      <c r="BM28" s="303"/>
    </row>
    <row r="29" spans="1:65">
      <c r="A29" s="31"/>
      <c r="B29" s="397"/>
      <c r="C29" s="397"/>
      <c r="D29" s="397"/>
      <c r="E29" s="397"/>
      <c r="F29" s="288" t="s">
        <v>294</v>
      </c>
      <c r="G29" s="288" t="s">
        <v>296</v>
      </c>
      <c r="H29" s="289">
        <f>'Demanda Grupo A'!L130</f>
        <v>400</v>
      </c>
      <c r="I29" s="290"/>
      <c r="J29" s="291"/>
      <c r="K29" s="292">
        <f>'Histórico Tarifas - Grupo A'!$J$123</f>
        <v>17.354325615157059</v>
      </c>
      <c r="L29" s="292"/>
      <c r="M29" s="292"/>
      <c r="N29" s="292"/>
      <c r="O29" s="292"/>
      <c r="P29" s="371"/>
      <c r="Q29" s="372"/>
      <c r="R29" s="372"/>
      <c r="S29" s="398"/>
      <c r="T29" s="292"/>
      <c r="U29" s="372"/>
      <c r="V29" s="372"/>
      <c r="W29" s="372"/>
      <c r="X29" s="293">
        <f>H29*K29*(1+$P$6)+I26*L26*(1+P26)+I27*M27*(1+P26)</f>
        <v>53336.201247444638</v>
      </c>
      <c r="Y29" s="293">
        <f>X29*$W$6</f>
        <v>640034.41496933566</v>
      </c>
      <c r="Z29" s="372"/>
      <c r="AA29" s="372"/>
      <c r="AB29" s="372"/>
      <c r="AC29" s="372"/>
      <c r="AD29" s="370"/>
      <c r="AE29" s="372"/>
      <c r="AF29" s="390"/>
      <c r="AG29" s="393"/>
      <c r="AH29" s="396"/>
      <c r="AI29" s="384"/>
      <c r="AJ29" s="387"/>
      <c r="AK29" s="380"/>
      <c r="AL29" s="380"/>
      <c r="AM29" s="380"/>
      <c r="AN29" s="380"/>
      <c r="AO29" s="380"/>
      <c r="AP29" s="380"/>
      <c r="AQ29" s="380"/>
      <c r="AR29" s="380"/>
      <c r="AS29" s="380"/>
      <c r="AT29" s="380"/>
      <c r="AU29" s="380"/>
      <c r="AV29" s="380"/>
      <c r="AW29" s="380"/>
      <c r="AX29" s="380"/>
      <c r="AY29" s="380"/>
      <c r="AZ29" s="380"/>
      <c r="BA29" s="380"/>
      <c r="BB29" s="380"/>
      <c r="BC29" s="380"/>
      <c r="BD29" s="380"/>
      <c r="BE29" s="380"/>
      <c r="BF29" s="380"/>
      <c r="BG29" s="380"/>
      <c r="BH29" s="380"/>
      <c r="BI29" s="380"/>
      <c r="BJ29" s="380"/>
      <c r="BK29" s="380"/>
      <c r="BL29" s="380"/>
      <c r="BM29" s="303"/>
    </row>
    <row r="30" spans="1:65" ht="33" customHeight="1">
      <c r="A30" s="31"/>
      <c r="B30" s="374" t="s">
        <v>306</v>
      </c>
      <c r="C30" s="375"/>
      <c r="D30" s="375"/>
      <c r="E30" s="375"/>
      <c r="F30" s="375"/>
      <c r="G30" s="375"/>
      <c r="H30" s="375"/>
      <c r="I30" s="375"/>
      <c r="J30" s="375"/>
      <c r="K30" s="375"/>
      <c r="L30" s="375"/>
      <c r="M30" s="375"/>
      <c r="N30" s="375"/>
      <c r="O30" s="375"/>
      <c r="P30" s="375"/>
      <c r="Q30" s="375"/>
      <c r="R30" s="375"/>
      <c r="S30" s="375"/>
      <c r="T30" s="375"/>
      <c r="U30" s="375"/>
      <c r="V30" s="375"/>
      <c r="W30" s="375"/>
      <c r="X30" s="375"/>
      <c r="Y30" s="375"/>
      <c r="Z30" s="294">
        <f>SUM(Z6:Z29)</f>
        <v>394891.89</v>
      </c>
      <c r="AA30" s="294">
        <f>SUM(AA6:AA29)</f>
        <v>472176.66000000003</v>
      </c>
      <c r="AB30" s="294">
        <f>SUM(AB6:AB29)</f>
        <v>4738702.6800000006</v>
      </c>
      <c r="AC30" s="294">
        <f>SUM(AC6:AC29)</f>
        <v>5666119.9199999999</v>
      </c>
      <c r="AD30" s="294">
        <f>SUM(AD6:AD29)</f>
        <v>867068.54999999993</v>
      </c>
      <c r="AE30" s="294">
        <f>SUM(AE6:AE29)</f>
        <v>10404822.6</v>
      </c>
      <c r="AF30" s="286"/>
      <c r="AG30" s="276"/>
      <c r="AH30" s="277"/>
      <c r="AI30" s="216"/>
      <c r="AJ30" s="275"/>
      <c r="AK30" s="309"/>
      <c r="AL30" s="309"/>
      <c r="AM30" s="309"/>
      <c r="AN30" s="309"/>
      <c r="AO30" s="309"/>
      <c r="AP30" s="309"/>
      <c r="AQ30" s="309"/>
      <c r="AR30" s="309"/>
      <c r="AS30" s="309"/>
      <c r="AT30" s="309"/>
      <c r="AU30" s="309"/>
      <c r="AV30" s="309"/>
      <c r="AW30" s="309"/>
      <c r="AX30" s="309"/>
      <c r="AY30" s="309"/>
      <c r="AZ30" s="309"/>
      <c r="BA30" s="309"/>
      <c r="BB30" s="309"/>
      <c r="BC30" s="309"/>
      <c r="BD30" s="309"/>
      <c r="BE30" s="309"/>
      <c r="BF30" s="309"/>
      <c r="BG30" s="309"/>
      <c r="BH30" s="309"/>
      <c r="BI30" s="309"/>
      <c r="BJ30" s="309"/>
      <c r="BK30" s="309"/>
      <c r="BL30" s="309"/>
    </row>
    <row r="31" spans="1:65" ht="14.45" customHeight="1">
      <c r="A31" s="31"/>
      <c r="B31" s="405" t="s">
        <v>44</v>
      </c>
      <c r="C31" s="405" t="s">
        <v>307</v>
      </c>
      <c r="D31" s="405" t="s">
        <v>289</v>
      </c>
      <c r="E31" s="405" t="s">
        <v>290</v>
      </c>
      <c r="F31" s="295" t="s">
        <v>57</v>
      </c>
      <c r="G31" s="295" t="s">
        <v>41</v>
      </c>
      <c r="H31" s="296"/>
      <c r="I31" s="297">
        <f>'Consumo Grupo A'!E124</f>
        <v>11635.378947783165</v>
      </c>
      <c r="J31" s="298">
        <f>I31/(I31+I32)</f>
        <v>7.4497295838404975E-2</v>
      </c>
      <c r="K31" s="299"/>
      <c r="L31" s="299">
        <f>'Histórico Tarifas - Grupo A'!$K$123</f>
        <v>1.6570579033380164</v>
      </c>
      <c r="M31" s="299"/>
      <c r="N31" s="299">
        <f>'Histórico Tarifas - Grupo A'!$M$123</f>
        <v>0.75547762676981289</v>
      </c>
      <c r="O31" s="299"/>
      <c r="P31" s="367">
        <f>'Histórico Tarifas - Grupo A'!$T$123</f>
        <v>0.31750992284140322</v>
      </c>
      <c r="Q31" s="403" t="s">
        <v>291</v>
      </c>
      <c r="R31" s="403" t="s">
        <v>291</v>
      </c>
      <c r="S31" s="402" t="s">
        <v>292</v>
      </c>
      <c r="T31" s="299"/>
      <c r="U31" s="403">
        <v>7.8770000000000007E-2</v>
      </c>
      <c r="V31" s="404">
        <f>U31*(I31+I32)</f>
        <v>12302.712325356575</v>
      </c>
      <c r="W31" s="403">
        <v>12</v>
      </c>
      <c r="X31" s="300">
        <f>I31*N31*(1+$P$6)</f>
        <v>11581.265938985904</v>
      </c>
      <c r="Y31" s="300">
        <f t="shared" ref="Y31:Y46" si="10">X31*$W$6</f>
        <v>138975.19126783084</v>
      </c>
      <c r="Z31" s="404">
        <f>TRUNC(SUM(X33:X34),2)</f>
        <v>87845.23</v>
      </c>
      <c r="AA31" s="404">
        <f>TRUNC(SUM(X31:X32)+3*V31/12,2)</f>
        <v>106369</v>
      </c>
      <c r="AB31" s="404">
        <f>Z31*W31</f>
        <v>1054142.76</v>
      </c>
      <c r="AC31" s="404">
        <f>AA31*W31</f>
        <v>1276428</v>
      </c>
      <c r="AD31" s="369">
        <f>SUM(Z31:AA34)</f>
        <v>194214.22999999998</v>
      </c>
      <c r="AE31" s="369">
        <f>AD31*W31</f>
        <v>2330570.7599999998</v>
      </c>
      <c r="AF31" s="388">
        <f>AVERAGE(1723216.88,1232512.07,1175656.36,1346115.81,1291192.31)</f>
        <v>1353738.6860000002</v>
      </c>
      <c r="AG31" s="391">
        <f t="shared" ref="AG31" si="11">1-(AF31/AE31)</f>
        <v>0.41913856071892008</v>
      </c>
      <c r="AH31" s="394">
        <v>1291192.31</v>
      </c>
      <c r="AI31" s="382">
        <f t="shared" ref="AI31" si="12">1-(AH31/AE31)</f>
        <v>0.44597592479878179</v>
      </c>
      <c r="AJ31" s="385"/>
      <c r="AK31" s="380"/>
      <c r="AL31" s="380"/>
      <c r="AM31" s="380"/>
      <c r="AN31" s="380"/>
      <c r="AO31" s="380"/>
      <c r="AP31" s="380"/>
      <c r="AQ31" s="380"/>
      <c r="AR31" s="380"/>
      <c r="AS31" s="380"/>
      <c r="AT31" s="380"/>
      <c r="AU31" s="380"/>
      <c r="AV31" s="380"/>
      <c r="AW31" s="380"/>
      <c r="AX31" s="380"/>
      <c r="AY31" s="380"/>
      <c r="AZ31" s="380"/>
      <c r="BA31" s="381">
        <f>AE31*Rateio!L8</f>
        <v>1449148.8985679999</v>
      </c>
      <c r="BB31" s="381">
        <f>AE31*Rateio!L9</f>
        <v>574019.5781879999</v>
      </c>
      <c r="BC31" s="381">
        <f>AE31*Rateio!L10</f>
        <v>252167.75623199999</v>
      </c>
      <c r="BD31" s="381">
        <f>AE31*Rateio!L5</f>
        <v>55234.527011999991</v>
      </c>
      <c r="BE31" s="380"/>
      <c r="BF31" s="380"/>
      <c r="BG31" s="380"/>
      <c r="BH31" s="380"/>
      <c r="BI31" s="380"/>
      <c r="BJ31" s="380"/>
      <c r="BK31" s="380"/>
      <c r="BL31" s="380"/>
      <c r="BM31" s="303"/>
    </row>
    <row r="32" spans="1:65">
      <c r="A32" s="31"/>
      <c r="B32" s="373"/>
      <c r="C32" s="373"/>
      <c r="D32" s="373"/>
      <c r="E32" s="373"/>
      <c r="F32" s="280" t="s">
        <v>57</v>
      </c>
      <c r="G32" s="280" t="s">
        <v>293</v>
      </c>
      <c r="H32" s="281"/>
      <c r="I32" s="282">
        <f>'Consumo Grupo A'!F124</f>
        <v>144549.8733736155</v>
      </c>
      <c r="J32" s="283">
        <f>I32/(I31+I32)</f>
        <v>0.92550270416159497</v>
      </c>
      <c r="K32" s="284"/>
      <c r="L32" s="284"/>
      <c r="M32" s="284">
        <f>'Histórico Tarifas - Grupo A'!$L$123</f>
        <v>0.22731495966982793</v>
      </c>
      <c r="N32" s="284"/>
      <c r="O32" s="284">
        <f>'Histórico Tarifas - Grupo A'!$N$123</f>
        <v>0.48156490754297776</v>
      </c>
      <c r="P32" s="366"/>
      <c r="Q32" s="370"/>
      <c r="R32" s="370"/>
      <c r="S32" s="379"/>
      <c r="T32" s="284"/>
      <c r="U32" s="370"/>
      <c r="V32" s="370"/>
      <c r="W32" s="370"/>
      <c r="X32" s="285">
        <f>I32*O32*(1+$P$6)</f>
        <v>91712.058621025426</v>
      </c>
      <c r="Y32" s="285">
        <f t="shared" si="10"/>
        <v>1100544.7034523052</v>
      </c>
      <c r="Z32" s="370"/>
      <c r="AA32" s="370"/>
      <c r="AB32" s="370"/>
      <c r="AC32" s="370"/>
      <c r="AD32" s="370"/>
      <c r="AE32" s="370"/>
      <c r="AF32" s="389"/>
      <c r="AG32" s="392"/>
      <c r="AH32" s="395"/>
      <c r="AI32" s="383"/>
      <c r="AJ32" s="386"/>
      <c r="AK32" s="380"/>
      <c r="AL32" s="380"/>
      <c r="AM32" s="380"/>
      <c r="AN32" s="380"/>
      <c r="AO32" s="380"/>
      <c r="AP32" s="380"/>
      <c r="AQ32" s="380"/>
      <c r="AR32" s="380"/>
      <c r="AS32" s="380"/>
      <c r="AT32" s="380"/>
      <c r="AU32" s="380"/>
      <c r="AV32" s="380"/>
      <c r="AW32" s="380"/>
      <c r="AX32" s="380"/>
      <c r="AY32" s="380"/>
      <c r="AZ32" s="380"/>
      <c r="BA32" s="380"/>
      <c r="BB32" s="380"/>
      <c r="BC32" s="380"/>
      <c r="BD32" s="380"/>
      <c r="BE32" s="380"/>
      <c r="BF32" s="380"/>
      <c r="BG32" s="380"/>
      <c r="BH32" s="380"/>
      <c r="BI32" s="380"/>
      <c r="BJ32" s="380"/>
      <c r="BK32" s="380"/>
      <c r="BL32" s="380"/>
      <c r="BM32" s="303"/>
    </row>
    <row r="33" spans="1:65">
      <c r="A33" s="31"/>
      <c r="B33" s="373"/>
      <c r="C33" s="373"/>
      <c r="D33" s="373"/>
      <c r="E33" s="373"/>
      <c r="F33" s="280" t="s">
        <v>294</v>
      </c>
      <c r="G33" s="280" t="s">
        <v>295</v>
      </c>
      <c r="H33" s="281"/>
      <c r="I33" s="281"/>
      <c r="J33" s="283"/>
      <c r="K33" s="284"/>
      <c r="L33" s="284"/>
      <c r="M33" s="284"/>
      <c r="N33" s="284"/>
      <c r="O33" s="284"/>
      <c r="P33" s="366"/>
      <c r="Q33" s="370"/>
      <c r="R33" s="370"/>
      <c r="S33" s="379"/>
      <c r="T33" s="284">
        <f>'Histórico Tarifas - Grupo A'!$H$123</f>
        <v>1088.8411222588763</v>
      </c>
      <c r="U33" s="370"/>
      <c r="V33" s="370"/>
      <c r="W33" s="370"/>
      <c r="X33" s="285">
        <f>T33</f>
        <v>1088.8411222588763</v>
      </c>
      <c r="Y33" s="285">
        <f t="shared" si="10"/>
        <v>13066.093467106515</v>
      </c>
      <c r="Z33" s="370"/>
      <c r="AA33" s="370"/>
      <c r="AB33" s="370"/>
      <c r="AC33" s="370"/>
      <c r="AD33" s="370"/>
      <c r="AE33" s="370"/>
      <c r="AF33" s="389"/>
      <c r="AG33" s="392"/>
      <c r="AH33" s="395"/>
      <c r="AI33" s="383"/>
      <c r="AJ33" s="386"/>
      <c r="AK33" s="380"/>
      <c r="AL33" s="380"/>
      <c r="AM33" s="380"/>
      <c r="AN33" s="380"/>
      <c r="AO33" s="380"/>
      <c r="AP33" s="380"/>
      <c r="AQ33" s="380"/>
      <c r="AR33" s="380"/>
      <c r="AS33" s="380"/>
      <c r="AT33" s="380"/>
      <c r="AU33" s="380"/>
      <c r="AV33" s="380"/>
      <c r="AW33" s="380"/>
      <c r="AX33" s="380"/>
      <c r="AY33" s="380"/>
      <c r="AZ33" s="380"/>
      <c r="BA33" s="380"/>
      <c r="BB33" s="380"/>
      <c r="BC33" s="380"/>
      <c r="BD33" s="380"/>
      <c r="BE33" s="380"/>
      <c r="BF33" s="380"/>
      <c r="BG33" s="380"/>
      <c r="BH33" s="380"/>
      <c r="BI33" s="380"/>
      <c r="BJ33" s="380"/>
      <c r="BK33" s="380"/>
      <c r="BL33" s="380"/>
      <c r="BM33" s="303"/>
    </row>
    <row r="34" spans="1:65">
      <c r="A34" s="31"/>
      <c r="B34" s="373"/>
      <c r="C34" s="373"/>
      <c r="D34" s="373"/>
      <c r="E34" s="373"/>
      <c r="F34" s="280" t="s">
        <v>294</v>
      </c>
      <c r="G34" s="280" t="s">
        <v>296</v>
      </c>
      <c r="H34" s="282">
        <f>'Demanda Grupo A'!D130</f>
        <v>790</v>
      </c>
      <c r="I34" s="281"/>
      <c r="J34" s="283"/>
      <c r="K34" s="284">
        <f>'Histórico Tarifas - Grupo A'!$J$123</f>
        <v>17.354325615157059</v>
      </c>
      <c r="L34" s="284"/>
      <c r="M34" s="284"/>
      <c r="N34" s="284"/>
      <c r="O34" s="284"/>
      <c r="P34" s="366"/>
      <c r="Q34" s="370"/>
      <c r="R34" s="370"/>
      <c r="S34" s="379"/>
      <c r="T34" s="284"/>
      <c r="U34" s="370"/>
      <c r="V34" s="370"/>
      <c r="W34" s="370"/>
      <c r="X34" s="285">
        <f>H34*K34*(1+$P$6)+I31*L31*(1+P31)+I32*M32*(1+P31)</f>
        <v>86756.398021568893</v>
      </c>
      <c r="Y34" s="285">
        <f t="shared" si="10"/>
        <v>1041076.7762588267</v>
      </c>
      <c r="Z34" s="370"/>
      <c r="AA34" s="370"/>
      <c r="AB34" s="370"/>
      <c r="AC34" s="370"/>
      <c r="AD34" s="370"/>
      <c r="AE34" s="370"/>
      <c r="AF34" s="390"/>
      <c r="AG34" s="393"/>
      <c r="AH34" s="396"/>
      <c r="AI34" s="384"/>
      <c r="AJ34" s="387"/>
      <c r="AK34" s="380"/>
      <c r="AL34" s="380"/>
      <c r="AM34" s="380"/>
      <c r="AN34" s="380"/>
      <c r="AO34" s="380"/>
      <c r="AP34" s="380"/>
      <c r="AQ34" s="380"/>
      <c r="AR34" s="380"/>
      <c r="AS34" s="380"/>
      <c r="AT34" s="380"/>
      <c r="AU34" s="380"/>
      <c r="AV34" s="380"/>
      <c r="AW34" s="380"/>
      <c r="AX34" s="380"/>
      <c r="AY34" s="380"/>
      <c r="AZ34" s="380"/>
      <c r="BA34" s="380"/>
      <c r="BB34" s="380"/>
      <c r="BC34" s="380"/>
      <c r="BD34" s="380"/>
      <c r="BE34" s="380"/>
      <c r="BF34" s="380"/>
      <c r="BG34" s="380"/>
      <c r="BH34" s="380"/>
      <c r="BI34" s="380"/>
      <c r="BJ34" s="380"/>
      <c r="BK34" s="380"/>
      <c r="BL34" s="380"/>
      <c r="BM34" s="303"/>
    </row>
    <row r="35" spans="1:65" ht="14.45" customHeight="1">
      <c r="A35" s="31"/>
      <c r="B35" s="373" t="s">
        <v>45</v>
      </c>
      <c r="C35" s="373" t="s">
        <v>308</v>
      </c>
      <c r="D35" s="373" t="s">
        <v>289</v>
      </c>
      <c r="E35" s="373" t="s">
        <v>290</v>
      </c>
      <c r="F35" s="280" t="s">
        <v>57</v>
      </c>
      <c r="G35" s="280" t="s">
        <v>41</v>
      </c>
      <c r="H35" s="281"/>
      <c r="I35" s="282">
        <f>'Consumo Grupo A'!G124</f>
        <v>15380.713774089514</v>
      </c>
      <c r="J35" s="283">
        <f>I35/(I35+I36)</f>
        <v>6.0260365214325998E-2</v>
      </c>
      <c r="K35" s="284"/>
      <c r="L35" s="284">
        <f>'Histórico Tarifas - Grupo A'!$K$123</f>
        <v>1.6570579033380164</v>
      </c>
      <c r="M35" s="284"/>
      <c r="N35" s="284">
        <f>'Histórico Tarifas - Grupo A'!$M$123</f>
        <v>0.75547762676981289</v>
      </c>
      <c r="O35" s="284"/>
      <c r="P35" s="366">
        <f>'Histórico Tarifas - Grupo A'!$T$123</f>
        <v>0.31750992284140322</v>
      </c>
      <c r="Q35" s="370" t="s">
        <v>291</v>
      </c>
      <c r="R35" s="370" t="s">
        <v>291</v>
      </c>
      <c r="S35" s="379" t="s">
        <v>292</v>
      </c>
      <c r="T35" s="284"/>
      <c r="U35" s="370">
        <v>7.8770000000000007E-2</v>
      </c>
      <c r="V35" s="369">
        <f>U35*(I35+I36)</f>
        <v>20105.069388079413</v>
      </c>
      <c r="W35" s="370">
        <v>12</v>
      </c>
      <c r="X35" s="285">
        <f>I35*N35*(1+$P$6)</f>
        <v>15309.182223333788</v>
      </c>
      <c r="Y35" s="285">
        <f t="shared" si="10"/>
        <v>183710.18668000546</v>
      </c>
      <c r="Z35" s="369">
        <f>TRUNC(SUM(X37:X38),2)</f>
        <v>128223.82</v>
      </c>
      <c r="AA35" s="369">
        <f>TRUNC(SUM(X35:X36)+3*V35/12,2)</f>
        <v>172516.64</v>
      </c>
      <c r="AB35" s="369">
        <f>Z35*W35</f>
        <v>1538685.84</v>
      </c>
      <c r="AC35" s="369">
        <f>AA35*W35</f>
        <v>2070199.6800000002</v>
      </c>
      <c r="AD35" s="369">
        <f>SUM(Z35:AA38)</f>
        <v>300740.46000000002</v>
      </c>
      <c r="AE35" s="369">
        <f>AD35*W35</f>
        <v>3608885.5200000005</v>
      </c>
      <c r="AF35" s="388">
        <f>AVERAGE(2290142.89,2263022.55,2456902.13,2511084.57)</f>
        <v>2380288.0349999997</v>
      </c>
      <c r="AG35" s="391">
        <f t="shared" ref="AG35" si="13">1-(AF35/AE35)</f>
        <v>0.34043681302475914</v>
      </c>
      <c r="AH35" s="394">
        <v>2511084.5699999998</v>
      </c>
      <c r="AI35" s="382">
        <f t="shared" ref="AI35" si="14">1-(AH35/AE35)</f>
        <v>0.3041938969568645</v>
      </c>
      <c r="AJ35" s="385"/>
      <c r="AK35" s="380"/>
      <c r="AL35" s="380"/>
      <c r="AM35" s="380"/>
      <c r="AN35" s="380"/>
      <c r="AO35" s="380"/>
      <c r="AP35" s="380"/>
      <c r="AQ35" s="380"/>
      <c r="AR35" s="380"/>
      <c r="AS35" s="380"/>
      <c r="AT35" s="380"/>
      <c r="AU35" s="380"/>
      <c r="AV35" s="380"/>
      <c r="AW35" s="380"/>
      <c r="AX35" s="380"/>
      <c r="AY35" s="380"/>
      <c r="AZ35" s="380"/>
      <c r="BA35" s="380"/>
      <c r="BB35" s="380"/>
      <c r="BC35" s="380"/>
      <c r="BD35" s="380"/>
      <c r="BE35" s="381">
        <f>BE5*AE35</f>
        <v>1818517.4135280002</v>
      </c>
      <c r="BF35" s="381">
        <f>BF5*AE35</f>
        <v>1691484.6432240002</v>
      </c>
      <c r="BG35" s="381">
        <f>BG5*AE35</f>
        <v>98883.463248000015</v>
      </c>
      <c r="BH35" s="380"/>
      <c r="BI35" s="380"/>
      <c r="BJ35" s="380"/>
      <c r="BK35" s="380"/>
      <c r="BL35" s="380"/>
      <c r="BM35" s="303"/>
    </row>
    <row r="36" spans="1:65">
      <c r="A36" s="31"/>
      <c r="B36" s="373"/>
      <c r="C36" s="373"/>
      <c r="D36" s="373"/>
      <c r="E36" s="373"/>
      <c r="F36" s="280" t="s">
        <v>57</v>
      </c>
      <c r="G36" s="280" t="s">
        <v>293</v>
      </c>
      <c r="H36" s="281"/>
      <c r="I36" s="282">
        <f>'Consumo Grupo A'!H124</f>
        <v>239856.93238662407</v>
      </c>
      <c r="J36" s="283">
        <f>I36/(I35+I36)</f>
        <v>0.93973963478567391</v>
      </c>
      <c r="K36" s="284"/>
      <c r="L36" s="284"/>
      <c r="M36" s="284">
        <f>'Histórico Tarifas - Grupo A'!$L$123</f>
        <v>0.22731495966982793</v>
      </c>
      <c r="N36" s="284"/>
      <c r="O36" s="284">
        <f>'Histórico Tarifas - Grupo A'!$N$123</f>
        <v>0.48156490754297776</v>
      </c>
      <c r="P36" s="366"/>
      <c r="Q36" s="370"/>
      <c r="R36" s="370"/>
      <c r="S36" s="379"/>
      <c r="T36" s="284"/>
      <c r="U36" s="370"/>
      <c r="V36" s="370"/>
      <c r="W36" s="370"/>
      <c r="X36" s="285">
        <f>I36*O36*(1+$P$6)</f>
        <v>152181.19898897555</v>
      </c>
      <c r="Y36" s="285">
        <f t="shared" si="10"/>
        <v>1826174.3878677066</v>
      </c>
      <c r="Z36" s="370"/>
      <c r="AA36" s="370"/>
      <c r="AB36" s="370"/>
      <c r="AC36" s="370"/>
      <c r="AD36" s="370"/>
      <c r="AE36" s="370"/>
      <c r="AF36" s="389"/>
      <c r="AG36" s="392"/>
      <c r="AH36" s="395"/>
      <c r="AI36" s="383"/>
      <c r="AJ36" s="386"/>
      <c r="AK36" s="380"/>
      <c r="AL36" s="380"/>
      <c r="AM36" s="380"/>
      <c r="AN36" s="380"/>
      <c r="AO36" s="380"/>
      <c r="AP36" s="380"/>
      <c r="AQ36" s="380"/>
      <c r="AR36" s="380"/>
      <c r="AS36" s="380"/>
      <c r="AT36" s="380"/>
      <c r="AU36" s="380"/>
      <c r="AV36" s="380"/>
      <c r="AW36" s="380"/>
      <c r="AX36" s="380"/>
      <c r="AY36" s="380"/>
      <c r="AZ36" s="380"/>
      <c r="BA36" s="380"/>
      <c r="BB36" s="380"/>
      <c r="BC36" s="380"/>
      <c r="BD36" s="380"/>
      <c r="BE36" s="380"/>
      <c r="BF36" s="380"/>
      <c r="BG36" s="380"/>
      <c r="BH36" s="380"/>
      <c r="BI36" s="380"/>
      <c r="BJ36" s="380"/>
      <c r="BK36" s="380"/>
      <c r="BL36" s="380"/>
      <c r="BM36" s="303"/>
    </row>
    <row r="37" spans="1:65">
      <c r="A37" s="31"/>
      <c r="B37" s="373"/>
      <c r="C37" s="373"/>
      <c r="D37" s="373"/>
      <c r="E37" s="373"/>
      <c r="F37" s="280" t="s">
        <v>294</v>
      </c>
      <c r="G37" s="280" t="s">
        <v>295</v>
      </c>
      <c r="H37" s="281"/>
      <c r="I37" s="281"/>
      <c r="J37" s="283"/>
      <c r="K37" s="284"/>
      <c r="L37" s="284"/>
      <c r="M37" s="284"/>
      <c r="N37" s="284"/>
      <c r="O37" s="284"/>
      <c r="P37" s="366"/>
      <c r="Q37" s="370"/>
      <c r="R37" s="370"/>
      <c r="S37" s="379"/>
      <c r="T37" s="284">
        <f>'Histórico Tarifas - Grupo A'!$H$123</f>
        <v>1088.8411222588763</v>
      </c>
      <c r="U37" s="370"/>
      <c r="V37" s="370"/>
      <c r="W37" s="370"/>
      <c r="X37" s="285">
        <f>T37</f>
        <v>1088.8411222588763</v>
      </c>
      <c r="Y37" s="285">
        <f t="shared" si="10"/>
        <v>13066.093467106515</v>
      </c>
      <c r="Z37" s="370"/>
      <c r="AA37" s="370"/>
      <c r="AB37" s="370"/>
      <c r="AC37" s="370"/>
      <c r="AD37" s="370"/>
      <c r="AE37" s="370"/>
      <c r="AF37" s="389"/>
      <c r="AG37" s="392"/>
      <c r="AH37" s="395"/>
      <c r="AI37" s="383"/>
      <c r="AJ37" s="386"/>
      <c r="AK37" s="380"/>
      <c r="AL37" s="380"/>
      <c r="AM37" s="380"/>
      <c r="AN37" s="380"/>
      <c r="AO37" s="380"/>
      <c r="AP37" s="380"/>
      <c r="AQ37" s="380"/>
      <c r="AR37" s="380"/>
      <c r="AS37" s="380"/>
      <c r="AT37" s="380"/>
      <c r="AU37" s="380"/>
      <c r="AV37" s="380"/>
      <c r="AW37" s="380"/>
      <c r="AX37" s="380"/>
      <c r="AY37" s="380"/>
      <c r="AZ37" s="380"/>
      <c r="BA37" s="380"/>
      <c r="BB37" s="380"/>
      <c r="BC37" s="380"/>
      <c r="BD37" s="380"/>
      <c r="BE37" s="380"/>
      <c r="BF37" s="380"/>
      <c r="BG37" s="380"/>
      <c r="BH37" s="380"/>
      <c r="BI37" s="380"/>
      <c r="BJ37" s="380"/>
      <c r="BK37" s="380"/>
      <c r="BL37" s="380"/>
      <c r="BM37" s="303"/>
    </row>
    <row r="38" spans="1:65">
      <c r="A38" s="31"/>
      <c r="B38" s="373"/>
      <c r="C38" s="373"/>
      <c r="D38" s="373"/>
      <c r="E38" s="373"/>
      <c r="F38" s="280" t="s">
        <v>294</v>
      </c>
      <c r="G38" s="280" t="s">
        <v>296</v>
      </c>
      <c r="H38" s="282">
        <f>'Demanda Grupo A'!E130</f>
        <v>950</v>
      </c>
      <c r="I38" s="281"/>
      <c r="J38" s="283"/>
      <c r="K38" s="284">
        <f>'Histórico Tarifas - Grupo A'!$J$123</f>
        <v>17.354325615157059</v>
      </c>
      <c r="L38" s="284"/>
      <c r="M38" s="284"/>
      <c r="N38" s="284"/>
      <c r="O38" s="284"/>
      <c r="P38" s="366"/>
      <c r="Q38" s="370"/>
      <c r="R38" s="370"/>
      <c r="S38" s="379"/>
      <c r="T38" s="284"/>
      <c r="U38" s="370"/>
      <c r="V38" s="370"/>
      <c r="W38" s="370"/>
      <c r="X38" s="285">
        <f>H38*K38*(1+$P$6)+I35*L35*(1+P35)+I36*M36*(1+P35)</f>
        <v>127134.97975511735</v>
      </c>
      <c r="Y38" s="285">
        <f t="shared" si="10"/>
        <v>1525619.7570614084</v>
      </c>
      <c r="Z38" s="370"/>
      <c r="AA38" s="370"/>
      <c r="AB38" s="370"/>
      <c r="AC38" s="370"/>
      <c r="AD38" s="370"/>
      <c r="AE38" s="370"/>
      <c r="AF38" s="390"/>
      <c r="AG38" s="393"/>
      <c r="AH38" s="396"/>
      <c r="AI38" s="384"/>
      <c r="AJ38" s="387"/>
      <c r="AK38" s="380"/>
      <c r="AL38" s="380"/>
      <c r="AM38" s="380"/>
      <c r="AN38" s="380"/>
      <c r="AO38" s="380"/>
      <c r="AP38" s="380"/>
      <c r="AQ38" s="380"/>
      <c r="AR38" s="380"/>
      <c r="AS38" s="380"/>
      <c r="AT38" s="380"/>
      <c r="AU38" s="380"/>
      <c r="AV38" s="380"/>
      <c r="AW38" s="380"/>
      <c r="AX38" s="380"/>
      <c r="AY38" s="380"/>
      <c r="AZ38" s="380"/>
      <c r="BA38" s="380"/>
      <c r="BB38" s="380"/>
      <c r="BC38" s="380"/>
      <c r="BD38" s="380"/>
      <c r="BE38" s="380"/>
      <c r="BF38" s="380"/>
      <c r="BG38" s="380"/>
      <c r="BH38" s="380"/>
      <c r="BI38" s="380"/>
      <c r="BJ38" s="380"/>
      <c r="BK38" s="380"/>
      <c r="BL38" s="380"/>
      <c r="BM38" s="303"/>
    </row>
    <row r="39" spans="1:65" ht="15" customHeight="1">
      <c r="A39" s="31"/>
      <c r="B39" s="373" t="s">
        <v>309</v>
      </c>
      <c r="C39" s="373" t="s">
        <v>310</v>
      </c>
      <c r="D39" s="373" t="s">
        <v>289</v>
      </c>
      <c r="E39" s="373" t="s">
        <v>290</v>
      </c>
      <c r="F39" s="280" t="s">
        <v>57</v>
      </c>
      <c r="G39" s="280" t="s">
        <v>41</v>
      </c>
      <c r="H39" s="281"/>
      <c r="I39" s="282">
        <f>'Consumo Grupo A'!S124</f>
        <v>3185.9698318571614</v>
      </c>
      <c r="J39" s="283">
        <f>I39/(I39+I40)</f>
        <v>3.3092890260053132E-2</v>
      </c>
      <c r="K39" s="284"/>
      <c r="L39" s="284">
        <f>'Histórico Tarifas - Grupo A'!$K$123</f>
        <v>1.6570579033380164</v>
      </c>
      <c r="M39" s="284"/>
      <c r="N39" s="284">
        <f>'Histórico Tarifas - Grupo A'!$M$123</f>
        <v>0.75547762676981289</v>
      </c>
      <c r="O39" s="284"/>
      <c r="P39" s="366">
        <f>'Histórico Tarifas - Grupo A'!$T$123</f>
        <v>0.31750992284140322</v>
      </c>
      <c r="Q39" s="370" t="s">
        <v>291</v>
      </c>
      <c r="R39" s="370" t="s">
        <v>291</v>
      </c>
      <c r="S39" s="379" t="s">
        <v>292</v>
      </c>
      <c r="T39" s="284"/>
      <c r="U39" s="370">
        <v>7.8770000000000007E-2</v>
      </c>
      <c r="V39" s="369">
        <f>U39*(I39+I40)</f>
        <v>7583.4670735400941</v>
      </c>
      <c r="W39" s="370">
        <v>12</v>
      </c>
      <c r="X39" s="285">
        <f>I39*N39*(1+$P$6)</f>
        <v>3171.1527455969895</v>
      </c>
      <c r="Y39" s="285">
        <f t="shared" si="10"/>
        <v>38053.832947163872</v>
      </c>
      <c r="Z39" s="369">
        <f>TRUNC(SUM(X41:X42),2)</f>
        <v>47355.43</v>
      </c>
      <c r="AA39" s="369">
        <f>TRUNC(SUM(X39:X40)+3*V39/12,2)</f>
        <v>64127.97</v>
      </c>
      <c r="AB39" s="369">
        <f>Z39*W39</f>
        <v>568265.16</v>
      </c>
      <c r="AC39" s="369">
        <f>AA39*W39</f>
        <v>769535.64</v>
      </c>
      <c r="AD39" s="369">
        <f>SUM(Z39:AA42)</f>
        <v>111483.4</v>
      </c>
      <c r="AE39" s="369">
        <f>AD39*W39</f>
        <v>1337800.7999999998</v>
      </c>
      <c r="AF39" s="388">
        <f>AVERAGE(831686.08,731855.53,776509.95,759932.29)</f>
        <v>774995.96249999991</v>
      </c>
      <c r="AG39" s="391">
        <f t="shared" ref="AG39" si="15">1-(AF39/AE39)</f>
        <v>0.42069405063892917</v>
      </c>
      <c r="AH39" s="394">
        <v>759932.29</v>
      </c>
      <c r="AI39" s="382">
        <f t="shared" ref="AI39" si="16">1-(AH39/AE39)</f>
        <v>0.43195407716903733</v>
      </c>
      <c r="AJ39" s="385"/>
      <c r="AK39" s="380"/>
      <c r="AL39" s="380"/>
      <c r="AM39" s="380"/>
      <c r="AN39" s="380"/>
      <c r="AO39" s="380"/>
      <c r="AP39" s="380"/>
      <c r="AQ39" s="380"/>
      <c r="AR39" s="380"/>
      <c r="AS39" s="380"/>
      <c r="AT39" s="380"/>
      <c r="AU39" s="380"/>
      <c r="AV39" s="380"/>
      <c r="AW39" s="380"/>
      <c r="AX39" s="380"/>
      <c r="AY39" s="380"/>
      <c r="AZ39" s="380"/>
      <c r="BA39" s="380"/>
      <c r="BB39" s="380"/>
      <c r="BC39" s="380"/>
      <c r="BD39" s="380"/>
      <c r="BE39" s="380"/>
      <c r="BF39" s="380"/>
      <c r="BG39" s="380"/>
      <c r="BH39" s="381">
        <f>BH5*AE39</f>
        <v>348764.66855999996</v>
      </c>
      <c r="BI39" s="381">
        <f>BI5*AE39</f>
        <v>710639.78495999996</v>
      </c>
      <c r="BJ39" s="381">
        <f>BJ5*AE39</f>
        <v>278396.34647999995</v>
      </c>
      <c r="BK39" s="380"/>
      <c r="BL39" s="380"/>
      <c r="BM39" s="303"/>
    </row>
    <row r="40" spans="1:65">
      <c r="A40" s="31"/>
      <c r="B40" s="373"/>
      <c r="C40" s="373"/>
      <c r="D40" s="373"/>
      <c r="E40" s="373"/>
      <c r="F40" s="280" t="s">
        <v>57</v>
      </c>
      <c r="G40" s="280" t="s">
        <v>293</v>
      </c>
      <c r="H40" s="281"/>
      <c r="I40" s="282">
        <f>'Consumo Grupo A'!T124</f>
        <v>93087.574328865114</v>
      </c>
      <c r="J40" s="283">
        <f>I40/(I39+I40)</f>
        <v>0.96690710973994687</v>
      </c>
      <c r="K40" s="284"/>
      <c r="L40" s="284"/>
      <c r="M40" s="284">
        <f>'Histórico Tarifas - Grupo A'!$L$123</f>
        <v>0.22731495966982793</v>
      </c>
      <c r="N40" s="284"/>
      <c r="O40" s="284">
        <f>'Histórico Tarifas - Grupo A'!$N$123</f>
        <v>0.48156490754297776</v>
      </c>
      <c r="P40" s="366"/>
      <c r="Q40" s="370"/>
      <c r="R40" s="370"/>
      <c r="S40" s="379"/>
      <c r="T40" s="284"/>
      <c r="U40" s="370"/>
      <c r="V40" s="370"/>
      <c r="W40" s="370"/>
      <c r="X40" s="285">
        <f>I40*O40*(1+$P$6)</f>
        <v>59060.951590541015</v>
      </c>
      <c r="Y40" s="285">
        <f t="shared" si="10"/>
        <v>708731.41908649215</v>
      </c>
      <c r="Z40" s="370"/>
      <c r="AA40" s="370"/>
      <c r="AB40" s="370"/>
      <c r="AC40" s="370"/>
      <c r="AD40" s="370"/>
      <c r="AE40" s="370"/>
      <c r="AF40" s="389"/>
      <c r="AG40" s="392"/>
      <c r="AH40" s="395"/>
      <c r="AI40" s="383"/>
      <c r="AJ40" s="386"/>
      <c r="AK40" s="380"/>
      <c r="AL40" s="380"/>
      <c r="AM40" s="380"/>
      <c r="AN40" s="380"/>
      <c r="AO40" s="380"/>
      <c r="AP40" s="380"/>
      <c r="AQ40" s="380"/>
      <c r="AR40" s="380"/>
      <c r="AS40" s="380"/>
      <c r="AT40" s="380"/>
      <c r="AU40" s="380"/>
      <c r="AV40" s="380"/>
      <c r="AW40" s="380"/>
      <c r="AX40" s="380"/>
      <c r="AY40" s="380"/>
      <c r="AZ40" s="380"/>
      <c r="BA40" s="380"/>
      <c r="BB40" s="380"/>
      <c r="BC40" s="380"/>
      <c r="BD40" s="380"/>
      <c r="BE40" s="380"/>
      <c r="BF40" s="380"/>
      <c r="BG40" s="380"/>
      <c r="BH40" s="380"/>
      <c r="BI40" s="380"/>
      <c r="BJ40" s="380"/>
      <c r="BK40" s="380"/>
      <c r="BL40" s="380"/>
      <c r="BM40" s="303"/>
    </row>
    <row r="41" spans="1:65">
      <c r="A41" s="31"/>
      <c r="B41" s="373"/>
      <c r="C41" s="373"/>
      <c r="D41" s="373"/>
      <c r="E41" s="373"/>
      <c r="F41" s="280" t="s">
        <v>294</v>
      </c>
      <c r="G41" s="280" t="s">
        <v>295</v>
      </c>
      <c r="H41" s="281"/>
      <c r="I41" s="281"/>
      <c r="J41" s="283"/>
      <c r="K41" s="284"/>
      <c r="L41" s="284"/>
      <c r="M41" s="284"/>
      <c r="N41" s="284"/>
      <c r="O41" s="284"/>
      <c r="P41" s="366"/>
      <c r="Q41" s="370"/>
      <c r="R41" s="370"/>
      <c r="S41" s="379"/>
      <c r="T41" s="284">
        <f>'Histórico Tarifas - Grupo A'!$H$123</f>
        <v>1088.8411222588763</v>
      </c>
      <c r="U41" s="370"/>
      <c r="V41" s="370"/>
      <c r="W41" s="370"/>
      <c r="X41" s="285">
        <f>T41</f>
        <v>1088.8411222588763</v>
      </c>
      <c r="Y41" s="285">
        <f t="shared" si="10"/>
        <v>13066.093467106515</v>
      </c>
      <c r="Z41" s="370"/>
      <c r="AA41" s="370"/>
      <c r="AB41" s="370"/>
      <c r="AC41" s="370"/>
      <c r="AD41" s="370"/>
      <c r="AE41" s="370"/>
      <c r="AF41" s="389"/>
      <c r="AG41" s="392"/>
      <c r="AH41" s="395"/>
      <c r="AI41" s="383"/>
      <c r="AJ41" s="386"/>
      <c r="AK41" s="380"/>
      <c r="AL41" s="380"/>
      <c r="AM41" s="380"/>
      <c r="AN41" s="380"/>
      <c r="AO41" s="380"/>
      <c r="AP41" s="380"/>
      <c r="AQ41" s="380"/>
      <c r="AR41" s="380"/>
      <c r="AS41" s="380"/>
      <c r="AT41" s="380"/>
      <c r="AU41" s="380"/>
      <c r="AV41" s="380"/>
      <c r="AW41" s="380"/>
      <c r="AX41" s="380"/>
      <c r="AY41" s="380"/>
      <c r="AZ41" s="380"/>
      <c r="BA41" s="380"/>
      <c r="BB41" s="380"/>
      <c r="BC41" s="380"/>
      <c r="BD41" s="380"/>
      <c r="BE41" s="380"/>
      <c r="BF41" s="380"/>
      <c r="BG41" s="380"/>
      <c r="BH41" s="380"/>
      <c r="BI41" s="380"/>
      <c r="BJ41" s="380"/>
      <c r="BK41" s="380"/>
      <c r="BL41" s="380"/>
      <c r="BM41" s="303"/>
    </row>
    <row r="42" spans="1:65">
      <c r="A42" s="31"/>
      <c r="B42" s="373"/>
      <c r="C42" s="373"/>
      <c r="D42" s="373"/>
      <c r="E42" s="373"/>
      <c r="F42" s="280" t="s">
        <v>294</v>
      </c>
      <c r="G42" s="280" t="s">
        <v>296</v>
      </c>
      <c r="H42" s="282">
        <f>'Demanda Grupo A'!M130</f>
        <v>500</v>
      </c>
      <c r="I42" s="281"/>
      <c r="J42" s="283"/>
      <c r="K42" s="284">
        <f>'Histórico Tarifas - Grupo A'!$J$123</f>
        <v>17.354325615157059</v>
      </c>
      <c r="L42" s="284"/>
      <c r="M42" s="284"/>
      <c r="N42" s="284"/>
      <c r="O42" s="284"/>
      <c r="P42" s="366"/>
      <c r="Q42" s="370"/>
      <c r="R42" s="370"/>
      <c r="S42" s="379"/>
      <c r="T42" s="284"/>
      <c r="U42" s="370"/>
      <c r="V42" s="370"/>
      <c r="W42" s="370"/>
      <c r="X42" s="285">
        <f>H42*K42*(1+$P$6)+I39*L39*(1+P39)+I40*M40*(1+P39)</f>
        <v>46266.597415754208</v>
      </c>
      <c r="Y42" s="285">
        <f t="shared" si="10"/>
        <v>555199.16898905043</v>
      </c>
      <c r="Z42" s="370"/>
      <c r="AA42" s="370"/>
      <c r="AB42" s="370"/>
      <c r="AC42" s="370"/>
      <c r="AD42" s="370"/>
      <c r="AE42" s="370"/>
      <c r="AF42" s="390"/>
      <c r="AG42" s="393"/>
      <c r="AH42" s="396"/>
      <c r="AI42" s="384"/>
      <c r="AJ42" s="387"/>
      <c r="AK42" s="380"/>
      <c r="AL42" s="380"/>
      <c r="AM42" s="380"/>
      <c r="AN42" s="380"/>
      <c r="AO42" s="380"/>
      <c r="AP42" s="380"/>
      <c r="AQ42" s="380"/>
      <c r="AR42" s="380"/>
      <c r="AS42" s="380"/>
      <c r="AT42" s="380"/>
      <c r="AU42" s="380"/>
      <c r="AV42" s="380"/>
      <c r="AW42" s="380"/>
      <c r="AX42" s="380"/>
      <c r="AY42" s="380"/>
      <c r="AZ42" s="380"/>
      <c r="BA42" s="380"/>
      <c r="BB42" s="380"/>
      <c r="BC42" s="380"/>
      <c r="BD42" s="380"/>
      <c r="BE42" s="380"/>
      <c r="BF42" s="380"/>
      <c r="BG42" s="380"/>
      <c r="BH42" s="380"/>
      <c r="BI42" s="380"/>
      <c r="BJ42" s="380"/>
      <c r="BK42" s="380"/>
      <c r="BL42" s="380"/>
      <c r="BM42" s="303"/>
    </row>
    <row r="43" spans="1:65" ht="15" customHeight="1">
      <c r="A43" s="31"/>
      <c r="B43" s="373" t="s">
        <v>163</v>
      </c>
      <c r="C43" s="373" t="s">
        <v>311</v>
      </c>
      <c r="D43" s="373" t="s">
        <v>289</v>
      </c>
      <c r="E43" s="373" t="s">
        <v>290</v>
      </c>
      <c r="F43" s="280" t="s">
        <v>57</v>
      </c>
      <c r="G43" s="280" t="s">
        <v>41</v>
      </c>
      <c r="H43" s="281"/>
      <c r="I43" s="282">
        <f>J26*Q54</f>
        <v>3662.7406167449249</v>
      </c>
      <c r="J43" s="283">
        <f>I43/($I$43+$I$44)</f>
        <v>8.7935626515665263E-2</v>
      </c>
      <c r="K43" s="284"/>
      <c r="L43" s="284">
        <f>'Histórico Tarifas - Grupo A'!$K$123</f>
        <v>1.6570579033380164</v>
      </c>
      <c r="M43" s="284"/>
      <c r="N43" s="284">
        <f>'Histórico Tarifas - Grupo A'!$M$123</f>
        <v>0.75547762676981289</v>
      </c>
      <c r="O43" s="284"/>
      <c r="P43" s="366">
        <f>'Histórico Tarifas - Grupo A'!$T$123</f>
        <v>0.31750992284140322</v>
      </c>
      <c r="Q43" s="370" t="s">
        <v>291</v>
      </c>
      <c r="R43" s="370" t="s">
        <v>291</v>
      </c>
      <c r="S43" s="379" t="s">
        <v>312</v>
      </c>
      <c r="T43" s="284"/>
      <c r="U43" s="370">
        <v>7.8770000000000007E-2</v>
      </c>
      <c r="V43" s="369">
        <f>U43*(I43+I44)</f>
        <v>3280.9691567910818</v>
      </c>
      <c r="W43" s="370">
        <v>12</v>
      </c>
      <c r="X43" s="285">
        <f>I43*N43*(1+$P$6)</f>
        <v>3645.7061981750194</v>
      </c>
      <c r="Y43" s="285">
        <f t="shared" si="10"/>
        <v>43748.474378100233</v>
      </c>
      <c r="Z43" s="369">
        <f>TRUNC(SUM(X45:X46),2)</f>
        <v>30751.87</v>
      </c>
      <c r="AA43" s="369">
        <f>TRUNC(SUM(X43:X44)+3*V43/12,2)</f>
        <v>28569.19</v>
      </c>
      <c r="AB43" s="369">
        <f>Z43*W43</f>
        <v>369022.44</v>
      </c>
      <c r="AC43" s="369">
        <f>AA43*W43</f>
        <v>342830.27999999997</v>
      </c>
      <c r="AD43" s="369">
        <f>SUM(Z43:AA46)</f>
        <v>59321.06</v>
      </c>
      <c r="AE43" s="369">
        <f>AD43*W43</f>
        <v>711852.72</v>
      </c>
      <c r="AF43" s="54"/>
      <c r="AG43" s="229"/>
      <c r="AH43" s="230"/>
      <c r="AI43" s="216"/>
      <c r="AJ43" s="250"/>
      <c r="AK43" s="378"/>
      <c r="AL43" s="378"/>
      <c r="AM43" s="378"/>
      <c r="AN43" s="378"/>
      <c r="AO43" s="378"/>
      <c r="AP43" s="378"/>
      <c r="AQ43" s="378"/>
      <c r="AR43" s="378"/>
      <c r="AS43" s="378"/>
      <c r="AT43" s="378"/>
      <c r="AU43" s="378"/>
      <c r="AV43" s="378"/>
      <c r="AW43" s="378"/>
      <c r="AX43" s="378"/>
      <c r="AY43" s="378"/>
      <c r="AZ43" s="378"/>
      <c r="BA43" s="378"/>
      <c r="BB43" s="378"/>
      <c r="BC43" s="378"/>
      <c r="BD43" s="378"/>
      <c r="BE43" s="378"/>
      <c r="BF43" s="378"/>
      <c r="BG43" s="378"/>
      <c r="BH43" s="378"/>
      <c r="BI43" s="378"/>
      <c r="BJ43" s="378"/>
      <c r="BK43" s="377">
        <f>BK5*AE43</f>
        <v>154685.59605599998</v>
      </c>
      <c r="BL43" s="377">
        <f>BL5*AE43</f>
        <v>557167.12394399999</v>
      </c>
      <c r="BM43" s="303"/>
    </row>
    <row r="44" spans="1:65">
      <c r="A44" s="31"/>
      <c r="B44" s="373"/>
      <c r="C44" s="373"/>
      <c r="D44" s="373"/>
      <c r="E44" s="373"/>
      <c r="F44" s="280" t="s">
        <v>57</v>
      </c>
      <c r="G44" s="280" t="s">
        <v>293</v>
      </c>
      <c r="H44" s="281"/>
      <c r="I44" s="282">
        <f>J27*Q54</f>
        <v>37989.781368669341</v>
      </c>
      <c r="J44" s="283">
        <f>I44/($I$43+$I$44)</f>
        <v>0.91206437348433478</v>
      </c>
      <c r="K44" s="284"/>
      <c r="L44" s="284"/>
      <c r="M44" s="284">
        <f>'Histórico Tarifas - Grupo A'!$L$123</f>
        <v>0.22731495966982793</v>
      </c>
      <c r="N44" s="284"/>
      <c r="O44" s="284">
        <f>'Histórico Tarifas - Grupo A'!$N$123</f>
        <v>0.48156490754297776</v>
      </c>
      <c r="P44" s="366"/>
      <c r="Q44" s="370"/>
      <c r="R44" s="370"/>
      <c r="S44" s="379"/>
      <c r="T44" s="284"/>
      <c r="U44" s="370"/>
      <c r="V44" s="370"/>
      <c r="W44" s="370"/>
      <c r="X44" s="285">
        <f>I44*O44*(1+$P$6)</f>
        <v>24103.245299136277</v>
      </c>
      <c r="Y44" s="285">
        <f t="shared" si="10"/>
        <v>289238.94358963531</v>
      </c>
      <c r="Z44" s="370"/>
      <c r="AA44" s="370"/>
      <c r="AB44" s="370"/>
      <c r="AC44" s="370"/>
      <c r="AD44" s="370"/>
      <c r="AE44" s="370"/>
      <c r="AF44" s="54"/>
      <c r="AG44" s="229"/>
      <c r="AH44" s="230"/>
      <c r="AI44" s="216"/>
      <c r="AJ44" s="250"/>
      <c r="AK44" s="378"/>
      <c r="AL44" s="378"/>
      <c r="AM44" s="378"/>
      <c r="AN44" s="378"/>
      <c r="AO44" s="378"/>
      <c r="AP44" s="378"/>
      <c r="AQ44" s="378"/>
      <c r="AR44" s="378"/>
      <c r="AS44" s="378"/>
      <c r="AT44" s="378"/>
      <c r="AU44" s="378"/>
      <c r="AV44" s="378"/>
      <c r="AW44" s="378"/>
      <c r="AX44" s="378"/>
      <c r="AY44" s="378"/>
      <c r="AZ44" s="378"/>
      <c r="BA44" s="378"/>
      <c r="BB44" s="378"/>
      <c r="BC44" s="378"/>
      <c r="BD44" s="378"/>
      <c r="BE44" s="378"/>
      <c r="BF44" s="378"/>
      <c r="BG44" s="378"/>
      <c r="BH44" s="378"/>
      <c r="BI44" s="378"/>
      <c r="BJ44" s="378"/>
      <c r="BK44" s="378"/>
      <c r="BL44" s="378"/>
      <c r="BM44" s="303"/>
    </row>
    <row r="45" spans="1:65">
      <c r="A45" s="31"/>
      <c r="B45" s="373"/>
      <c r="C45" s="373"/>
      <c r="D45" s="373"/>
      <c r="E45" s="373"/>
      <c r="F45" s="280" t="s">
        <v>294</v>
      </c>
      <c r="G45" s="280" t="s">
        <v>295</v>
      </c>
      <c r="H45" s="281"/>
      <c r="I45" s="281"/>
      <c r="J45" s="283"/>
      <c r="K45" s="284"/>
      <c r="L45" s="284"/>
      <c r="M45" s="284"/>
      <c r="N45" s="284"/>
      <c r="O45" s="284"/>
      <c r="P45" s="366"/>
      <c r="Q45" s="370"/>
      <c r="R45" s="370"/>
      <c r="S45" s="379"/>
      <c r="T45" s="284">
        <f>'Histórico Tarifas - Grupo A'!$H$123</f>
        <v>1088.8411222588763</v>
      </c>
      <c r="U45" s="370"/>
      <c r="V45" s="370"/>
      <c r="W45" s="370"/>
      <c r="X45" s="285">
        <f>T45</f>
        <v>1088.8411222588763</v>
      </c>
      <c r="Y45" s="285">
        <f t="shared" si="10"/>
        <v>13066.093467106515</v>
      </c>
      <c r="Z45" s="370"/>
      <c r="AA45" s="370"/>
      <c r="AB45" s="370"/>
      <c r="AC45" s="370"/>
      <c r="AD45" s="370"/>
      <c r="AE45" s="370"/>
      <c r="AF45" s="54"/>
      <c r="AG45" s="229"/>
      <c r="AH45" s="230"/>
      <c r="AI45" s="216"/>
      <c r="AJ45" s="250"/>
      <c r="AK45" s="378"/>
      <c r="AL45" s="378"/>
      <c r="AM45" s="378"/>
      <c r="AN45" s="378"/>
      <c r="AO45" s="378"/>
      <c r="AP45" s="378"/>
      <c r="AQ45" s="378"/>
      <c r="AR45" s="378"/>
      <c r="AS45" s="378"/>
      <c r="AT45" s="378"/>
      <c r="AU45" s="378"/>
      <c r="AV45" s="378"/>
      <c r="AW45" s="378"/>
      <c r="AX45" s="378"/>
      <c r="AY45" s="378"/>
      <c r="AZ45" s="378"/>
      <c r="BA45" s="378"/>
      <c r="BB45" s="378"/>
      <c r="BC45" s="378"/>
      <c r="BD45" s="378"/>
      <c r="BE45" s="378"/>
      <c r="BF45" s="378"/>
      <c r="BG45" s="378"/>
      <c r="BH45" s="378"/>
      <c r="BI45" s="378"/>
      <c r="BJ45" s="378"/>
      <c r="BK45" s="378"/>
      <c r="BL45" s="378"/>
      <c r="BM45" s="303"/>
    </row>
    <row r="46" spans="1:65">
      <c r="A46" s="31"/>
      <c r="B46" s="373"/>
      <c r="C46" s="373"/>
      <c r="D46" s="373"/>
      <c r="E46" s="373"/>
      <c r="F46" s="280" t="s">
        <v>294</v>
      </c>
      <c r="G46" s="280" t="s">
        <v>296</v>
      </c>
      <c r="H46" s="282">
        <v>450</v>
      </c>
      <c r="I46" s="281"/>
      <c r="J46" s="283"/>
      <c r="K46" s="284">
        <f>'Histórico Tarifas - Grupo A'!$J$123</f>
        <v>17.354325615157059</v>
      </c>
      <c r="L46" s="284"/>
      <c r="M46" s="284"/>
      <c r="N46" s="284"/>
      <c r="O46" s="284"/>
      <c r="P46" s="366"/>
      <c r="Q46" s="370"/>
      <c r="R46" s="370"/>
      <c r="S46" s="379"/>
      <c r="T46" s="284"/>
      <c r="U46" s="370"/>
      <c r="V46" s="370"/>
      <c r="W46" s="370"/>
      <c r="X46" s="285">
        <f>H46*K46*(1+$P$6)+I43*L43*(1+P43)+I44*M44*(1+P43)</f>
        <v>29663.031615921136</v>
      </c>
      <c r="Y46" s="285">
        <f t="shared" si="10"/>
        <v>355956.37939105363</v>
      </c>
      <c r="Z46" s="370"/>
      <c r="AA46" s="370"/>
      <c r="AB46" s="370"/>
      <c r="AC46" s="370"/>
      <c r="AD46" s="370"/>
      <c r="AE46" s="370"/>
      <c r="AF46" s="54"/>
      <c r="AG46" s="229"/>
      <c r="AH46" s="230"/>
      <c r="AI46" s="216"/>
      <c r="AJ46" s="250"/>
      <c r="AK46" s="378"/>
      <c r="AL46" s="378"/>
      <c r="AM46" s="378"/>
      <c r="AN46" s="378"/>
      <c r="AO46" s="378"/>
      <c r="AP46" s="378"/>
      <c r="AQ46" s="378"/>
      <c r="AR46" s="378"/>
      <c r="AS46" s="378"/>
      <c r="AT46" s="378"/>
      <c r="AU46" s="378"/>
      <c r="AV46" s="378"/>
      <c r="AW46" s="378"/>
      <c r="AX46" s="378"/>
      <c r="AY46" s="378"/>
      <c r="AZ46" s="378"/>
      <c r="BA46" s="378"/>
      <c r="BB46" s="378"/>
      <c r="BC46" s="378"/>
      <c r="BD46" s="378"/>
      <c r="BE46" s="378"/>
      <c r="BF46" s="378"/>
      <c r="BG46" s="378"/>
      <c r="BH46" s="378"/>
      <c r="BI46" s="378"/>
      <c r="BJ46" s="378"/>
      <c r="BK46" s="378"/>
      <c r="BL46" s="378"/>
      <c r="BM46" s="303"/>
    </row>
    <row r="47" spans="1:65" ht="33.75" customHeight="1">
      <c r="A47" s="31"/>
      <c r="B47" s="374" t="s">
        <v>313</v>
      </c>
      <c r="C47" s="375"/>
      <c r="D47" s="375"/>
      <c r="E47" s="375"/>
      <c r="F47" s="375"/>
      <c r="G47" s="375"/>
      <c r="H47" s="375"/>
      <c r="I47" s="375"/>
      <c r="J47" s="375"/>
      <c r="K47" s="375"/>
      <c r="L47" s="375"/>
      <c r="M47" s="375"/>
      <c r="N47" s="375"/>
      <c r="O47" s="375"/>
      <c r="P47" s="375"/>
      <c r="Q47" s="375"/>
      <c r="R47" s="375"/>
      <c r="S47" s="375"/>
      <c r="T47" s="375"/>
      <c r="U47" s="375"/>
      <c r="V47" s="375"/>
      <c r="W47" s="375"/>
      <c r="X47" s="375"/>
      <c r="Y47" s="376"/>
      <c r="Z47" s="287">
        <f>SUM(Z31:Z46)</f>
        <v>294176.34999999998</v>
      </c>
      <c r="AA47" s="287">
        <f>SUM(AA31:AA46)</f>
        <v>371582.8</v>
      </c>
      <c r="AB47" s="287">
        <f>SUM(AB31:AB46)</f>
        <v>3530116.2</v>
      </c>
      <c r="AC47" s="287">
        <f>SUM(AC31:AC46)</f>
        <v>4458993.6000000006</v>
      </c>
      <c r="AD47" s="287">
        <f>SUM(AD31:AD46)</f>
        <v>665759.14999999991</v>
      </c>
      <c r="AE47" s="287">
        <f>SUM(AE31:AE46)</f>
        <v>7989109.7999999998</v>
      </c>
      <c r="AF47" s="54"/>
      <c r="AG47" s="229"/>
      <c r="AH47" s="230"/>
      <c r="AI47" s="216"/>
      <c r="AJ47" s="250"/>
      <c r="AK47" s="32"/>
      <c r="AL47" s="32"/>
      <c r="AM47" s="32"/>
      <c r="AN47" s="32"/>
      <c r="AO47" s="32"/>
      <c r="AP47" s="32"/>
      <c r="AQ47" s="32"/>
      <c r="AR47" s="32"/>
      <c r="AS47" s="32"/>
      <c r="AT47" s="32"/>
      <c r="AU47" s="32"/>
      <c r="AV47" s="32"/>
      <c r="AW47" s="32"/>
      <c r="AX47" s="32"/>
      <c r="AY47" s="32"/>
      <c r="AZ47" s="32"/>
      <c r="BA47" s="32"/>
      <c r="BB47" s="32"/>
      <c r="BC47" s="32"/>
      <c r="BD47" s="32"/>
      <c r="BE47" s="32"/>
      <c r="BF47" s="32"/>
      <c r="BG47" s="32"/>
      <c r="BH47" s="32"/>
      <c r="BI47" s="32"/>
      <c r="BJ47" s="32"/>
      <c r="BK47" s="32"/>
      <c r="BL47" s="32"/>
    </row>
    <row r="48" spans="1:65">
      <c r="A48" s="31"/>
      <c r="B48" s="213"/>
      <c r="C48" s="213"/>
      <c r="D48" s="213"/>
      <c r="E48" s="213"/>
      <c r="F48" s="213"/>
      <c r="G48" s="213"/>
      <c r="H48" s="213"/>
      <c r="I48" s="213"/>
      <c r="J48" s="213"/>
      <c r="K48" s="213"/>
      <c r="L48" s="213"/>
      <c r="M48" s="213"/>
      <c r="N48" s="213"/>
      <c r="O48" s="213"/>
      <c r="P48" s="213"/>
      <c r="Q48" s="213"/>
      <c r="R48" s="213"/>
      <c r="S48" s="213"/>
      <c r="T48" s="213"/>
      <c r="U48" s="213"/>
      <c r="V48" s="213"/>
      <c r="W48" s="213"/>
      <c r="X48" s="213"/>
      <c r="Y48" s="213"/>
      <c r="Z48" s="213"/>
      <c r="AA48" s="213"/>
      <c r="AB48" s="213"/>
      <c r="AC48" s="213"/>
      <c r="AD48" s="213"/>
      <c r="AE48" s="213"/>
      <c r="AF48" s="54"/>
      <c r="AG48" s="229"/>
      <c r="AH48" s="230"/>
      <c r="AI48" s="216"/>
      <c r="AJ48" s="250"/>
    </row>
    <row r="49" spans="1:65">
      <c r="A49" s="31"/>
      <c r="B49" s="302"/>
      <c r="C49" s="302"/>
      <c r="D49" s="302"/>
      <c r="E49" s="302"/>
      <c r="F49" s="302"/>
      <c r="G49" s="302"/>
      <c r="H49" s="302"/>
      <c r="I49" s="302"/>
      <c r="J49" s="302"/>
      <c r="K49" s="302"/>
      <c r="L49" s="302"/>
      <c r="M49" s="302"/>
      <c r="N49" s="302"/>
      <c r="O49" s="302"/>
      <c r="P49" s="302"/>
      <c r="Q49" s="302"/>
      <c r="R49" s="302"/>
      <c r="S49" s="302"/>
      <c r="T49" s="302"/>
      <c r="U49" s="302"/>
      <c r="V49" s="302"/>
      <c r="W49" s="302"/>
      <c r="X49" s="302"/>
      <c r="Y49" s="302"/>
      <c r="Z49" s="302"/>
      <c r="AA49" s="302"/>
      <c r="AB49" s="302"/>
      <c r="AC49" s="302"/>
      <c r="AD49" s="302"/>
      <c r="AE49" s="302"/>
      <c r="AF49" s="54"/>
      <c r="AG49" s="229"/>
      <c r="AH49" s="230"/>
      <c r="AI49" s="216"/>
      <c r="AJ49" s="250"/>
    </row>
    <row r="50" spans="1:65" ht="30" customHeight="1">
      <c r="A50" s="31"/>
      <c r="B50" s="374" t="s">
        <v>314</v>
      </c>
      <c r="C50" s="375"/>
      <c r="D50" s="375"/>
      <c r="E50" s="375"/>
      <c r="F50" s="375"/>
      <c r="G50" s="375"/>
      <c r="H50" s="375"/>
      <c r="I50" s="375"/>
      <c r="J50" s="375"/>
      <c r="K50" s="375"/>
      <c r="L50" s="375"/>
      <c r="M50" s="375"/>
      <c r="N50" s="375"/>
      <c r="O50" s="375"/>
      <c r="P50" s="375"/>
      <c r="Q50" s="375"/>
      <c r="R50" s="375"/>
      <c r="S50" s="375"/>
      <c r="T50" s="375"/>
      <c r="U50" s="375"/>
      <c r="V50" s="375"/>
      <c r="W50" s="375"/>
      <c r="X50" s="375"/>
      <c r="Y50" s="376"/>
      <c r="Z50" s="287">
        <f t="shared" ref="Z50:AD50" si="17">Z30+Z47</f>
        <v>689068.24</v>
      </c>
      <c r="AA50" s="287">
        <f t="shared" si="17"/>
        <v>843759.46</v>
      </c>
      <c r="AB50" s="287">
        <f t="shared" si="17"/>
        <v>8268818.8800000008</v>
      </c>
      <c r="AC50" s="287">
        <f t="shared" si="17"/>
        <v>10125113.52</v>
      </c>
      <c r="AD50" s="287">
        <f t="shared" si="17"/>
        <v>1532827.6999999997</v>
      </c>
      <c r="AE50" s="301">
        <f>AE30+AE47</f>
        <v>18393932.399999999</v>
      </c>
      <c r="AF50" s="54"/>
      <c r="AG50" s="229"/>
      <c r="AH50" s="230"/>
      <c r="AI50" s="216"/>
      <c r="AJ50" s="250"/>
    </row>
    <row r="51" spans="1:65">
      <c r="A51" s="31"/>
      <c r="B51" s="37"/>
      <c r="C51" s="37"/>
      <c r="D51" s="37"/>
      <c r="E51" s="37"/>
      <c r="F51" s="37"/>
      <c r="G51" s="37"/>
      <c r="H51" s="37"/>
      <c r="I51" s="37"/>
      <c r="J51" s="37"/>
      <c r="K51" s="37"/>
      <c r="L51" s="37"/>
      <c r="M51" s="37"/>
      <c r="N51" s="37"/>
      <c r="O51" s="37"/>
      <c r="P51" s="37"/>
      <c r="Q51" s="37"/>
      <c r="R51" s="37"/>
      <c r="S51" s="37"/>
      <c r="T51" s="37"/>
      <c r="U51" s="37"/>
      <c r="V51" s="37"/>
      <c r="W51" s="37"/>
      <c r="X51" s="37"/>
      <c r="Y51" s="37"/>
      <c r="Z51" s="37"/>
      <c r="AA51" s="37"/>
      <c r="AB51" s="37"/>
      <c r="AC51" s="37"/>
      <c r="AD51" s="37"/>
      <c r="AE51" s="37"/>
      <c r="AF51" s="54"/>
      <c r="AG51" s="229"/>
      <c r="AH51" s="230"/>
      <c r="AI51" s="216"/>
      <c r="AJ51" s="250"/>
    </row>
    <row r="52" spans="1:65">
      <c r="A52" s="31"/>
      <c r="B52" s="37"/>
      <c r="C52" s="37"/>
      <c r="D52" s="37"/>
      <c r="E52" s="37"/>
      <c r="F52" s="37"/>
      <c r="G52" s="37"/>
      <c r="H52" s="37"/>
      <c r="I52" s="37"/>
      <c r="J52" s="37"/>
      <c r="K52" s="37"/>
      <c r="L52" s="37"/>
      <c r="M52" s="37"/>
      <c r="N52" s="37"/>
      <c r="O52" s="37"/>
      <c r="P52" s="37"/>
      <c r="Q52" s="37"/>
      <c r="R52" s="37"/>
      <c r="S52" s="37"/>
      <c r="T52" s="37"/>
      <c r="U52" s="37"/>
      <c r="V52" s="37"/>
      <c r="W52" s="37"/>
      <c r="X52" s="37"/>
      <c r="Y52" s="37"/>
      <c r="Z52" s="37"/>
      <c r="AA52" s="37"/>
      <c r="AB52" s="37"/>
      <c r="AC52" s="37"/>
      <c r="AD52" s="37"/>
      <c r="AE52" s="37"/>
      <c r="AF52" s="54"/>
      <c r="AG52" s="229"/>
      <c r="AH52" s="230"/>
      <c r="AI52" s="216"/>
      <c r="AJ52" s="250"/>
    </row>
    <row r="53" spans="1:65">
      <c r="A53" s="31"/>
      <c r="B53" s="324"/>
      <c r="C53" s="324"/>
      <c r="D53" s="324"/>
      <c r="E53" s="324"/>
      <c r="F53" s="324"/>
      <c r="G53" s="324"/>
      <c r="H53" s="324"/>
      <c r="I53" s="324"/>
      <c r="J53" s="324"/>
      <c r="K53" s="324"/>
      <c r="L53" s="324"/>
      <c r="M53" s="324"/>
      <c r="N53" s="324"/>
      <c r="O53" s="324"/>
      <c r="P53" s="324"/>
      <c r="Q53" s="324"/>
      <c r="R53" s="324"/>
      <c r="S53" s="324"/>
      <c r="T53" s="324"/>
      <c r="U53" s="324"/>
      <c r="V53" s="324"/>
      <c r="W53" s="324"/>
      <c r="X53" s="324"/>
      <c r="Y53" s="324"/>
      <c r="Z53" s="324"/>
      <c r="AA53" s="324"/>
      <c r="AB53" s="324"/>
      <c r="AC53" s="324"/>
      <c r="AD53" s="324"/>
      <c r="AE53" s="324"/>
      <c r="AF53" s="54"/>
      <c r="AG53" s="229"/>
      <c r="AH53" s="325"/>
      <c r="AI53" s="216"/>
      <c r="AJ53" s="229"/>
      <c r="AK53" s="304"/>
      <c r="AL53" s="304"/>
      <c r="AM53" s="304"/>
      <c r="AN53" s="304"/>
      <c r="AO53" s="304"/>
      <c r="AP53" s="304"/>
      <c r="AQ53" s="304"/>
      <c r="AR53" s="304"/>
      <c r="AS53" s="304"/>
      <c r="AT53" s="304"/>
      <c r="AU53" s="304"/>
      <c r="AV53" s="304"/>
      <c r="AW53" s="304"/>
      <c r="AX53" s="304"/>
      <c r="AY53" s="304"/>
      <c r="AZ53" s="304"/>
      <c r="BA53" s="304"/>
      <c r="BB53" s="304"/>
      <c r="BC53" s="304"/>
      <c r="BD53" s="304"/>
      <c r="BE53" s="304"/>
      <c r="BF53" s="304"/>
      <c r="BG53" s="304"/>
      <c r="BH53" s="304"/>
      <c r="BI53" s="304"/>
      <c r="BJ53" s="304"/>
      <c r="BK53" s="304"/>
      <c r="BL53" s="304"/>
    </row>
    <row r="54" spans="1:65" s="34" customFormat="1" ht="60" customHeight="1">
      <c r="A54" s="322"/>
      <c r="B54" s="310" t="s">
        <v>163</v>
      </c>
      <c r="C54" s="310" t="s">
        <v>311</v>
      </c>
      <c r="D54" s="311" t="s">
        <v>315</v>
      </c>
      <c r="E54" s="312" t="s">
        <v>316</v>
      </c>
      <c r="F54" s="368" t="s">
        <v>317</v>
      </c>
      <c r="G54" s="368"/>
      <c r="H54" s="311" t="s">
        <v>291</v>
      </c>
      <c r="I54" s="311" t="s">
        <v>291</v>
      </c>
      <c r="J54" s="313"/>
      <c r="K54" s="311" t="s">
        <v>291</v>
      </c>
      <c r="L54" s="311"/>
      <c r="M54" s="311"/>
      <c r="N54" s="311" t="s">
        <v>291</v>
      </c>
      <c r="O54" s="311" t="s">
        <v>291</v>
      </c>
      <c r="P54" s="311"/>
      <c r="Q54" s="314">
        <f>'Consumo Grupo B'!C119</f>
        <v>41652.521985414263</v>
      </c>
      <c r="R54" s="315">
        <f>'Histórico Tarifas - Grupo B'!C115</f>
        <v>1.1747927170825192</v>
      </c>
      <c r="S54" s="312" t="s">
        <v>230</v>
      </c>
      <c r="T54" s="316">
        <f>VLOOKUP(S54,CIP!$A$4:$G$24,7,0)</f>
        <v>1098.5414128140435</v>
      </c>
      <c r="U54" s="311">
        <v>7.8770000000000007E-2</v>
      </c>
      <c r="V54" s="317">
        <f>Q54*U54</f>
        <v>3280.9691567910818</v>
      </c>
      <c r="W54" s="311">
        <v>12</v>
      </c>
      <c r="X54" s="318" t="s">
        <v>291</v>
      </c>
      <c r="Y54" s="318" t="s">
        <v>291</v>
      </c>
      <c r="Z54" s="318"/>
      <c r="AA54" s="318"/>
      <c r="AB54" s="318"/>
      <c r="AC54" s="318"/>
      <c r="AD54" s="319">
        <f>Q54*R54+6*V54</f>
        <v>68618.894417330681</v>
      </c>
      <c r="AE54" s="319">
        <f>AD54*W54</f>
        <v>823426.73300796817</v>
      </c>
      <c r="AF54" s="320"/>
      <c r="AG54" s="320"/>
      <c r="AH54" s="321"/>
      <c r="AI54" s="320"/>
      <c r="AJ54" s="320"/>
      <c r="AK54" s="320"/>
      <c r="AL54" s="320"/>
      <c r="AM54" s="320"/>
      <c r="AN54" s="320"/>
      <c r="AO54" s="320"/>
      <c r="AP54" s="320"/>
      <c r="AQ54" s="320"/>
      <c r="AR54" s="320"/>
      <c r="AS54" s="320"/>
      <c r="AT54" s="320"/>
      <c r="AU54" s="320"/>
      <c r="AV54" s="320"/>
      <c r="AW54" s="320"/>
      <c r="AX54" s="320"/>
      <c r="AY54" s="320"/>
      <c r="AZ54" s="320"/>
      <c r="BA54" s="320"/>
      <c r="BB54" s="320"/>
      <c r="BC54" s="320"/>
      <c r="BD54" s="320"/>
      <c r="BE54" s="320"/>
      <c r="BF54" s="320"/>
      <c r="BG54" s="320"/>
      <c r="BH54" s="320"/>
      <c r="BI54" s="320"/>
      <c r="BJ54" s="320"/>
      <c r="BK54" s="317">
        <f>BK5*AE54</f>
        <v>178930.62908263147</v>
      </c>
      <c r="BL54" s="317">
        <f>BL5*AE54</f>
        <v>644496.10392533662</v>
      </c>
      <c r="BM54" s="323"/>
    </row>
    <row r="55" spans="1:65">
      <c r="B55" s="66"/>
      <c r="C55" s="66"/>
      <c r="D55" s="32"/>
      <c r="E55" s="32"/>
      <c r="F55" s="32"/>
      <c r="G55" s="32"/>
      <c r="H55" s="32"/>
      <c r="I55" s="32"/>
      <c r="J55" s="231"/>
      <c r="K55" s="32"/>
      <c r="L55" s="32"/>
      <c r="M55" s="32"/>
      <c r="N55" s="32"/>
      <c r="O55" s="32"/>
      <c r="P55" s="32"/>
      <c r="Q55" s="32"/>
      <c r="R55" s="32"/>
      <c r="S55" s="213"/>
      <c r="T55" s="39"/>
      <c r="U55" s="32"/>
      <c r="V55" s="32"/>
      <c r="W55" s="32"/>
      <c r="X55" s="37"/>
      <c r="Y55" s="37"/>
      <c r="Z55" s="37"/>
      <c r="AA55" s="37"/>
      <c r="AB55" s="37"/>
      <c r="AC55" s="37"/>
      <c r="AD55" s="35"/>
      <c r="AE55" s="258"/>
      <c r="AF55" s="32"/>
      <c r="AG55" s="32"/>
      <c r="AH55" s="326"/>
      <c r="AI55" s="35"/>
      <c r="AJ55" s="32"/>
      <c r="AK55" s="32"/>
      <c r="AL55" s="32"/>
      <c r="AM55" s="32"/>
      <c r="AN55" s="32"/>
      <c r="AO55" s="32"/>
      <c r="AP55" s="32"/>
      <c r="AQ55" s="32"/>
      <c r="AR55" s="32"/>
      <c r="AS55" s="32"/>
      <c r="AT55" s="32"/>
      <c r="AU55" s="32"/>
      <c r="AV55" s="32"/>
      <c r="AW55" s="32"/>
      <c r="AX55" s="32"/>
      <c r="AY55" s="32"/>
      <c r="AZ55" s="32"/>
      <c r="BA55" s="32"/>
      <c r="BB55" s="32"/>
      <c r="BC55" s="32"/>
      <c r="BD55" s="32"/>
      <c r="BE55" s="32"/>
      <c r="BF55" s="32"/>
      <c r="BG55" s="32"/>
      <c r="BH55" s="32"/>
      <c r="BI55" s="32"/>
      <c r="BJ55" s="32"/>
      <c r="BK55" s="32"/>
      <c r="BL55" s="32"/>
    </row>
    <row r="56" spans="1:65">
      <c r="B56" s="66"/>
      <c r="C56" s="66"/>
      <c r="D56" s="32"/>
      <c r="E56" s="32"/>
      <c r="F56" s="32"/>
      <c r="G56" s="32"/>
      <c r="H56" s="32"/>
      <c r="I56" s="32"/>
      <c r="J56" s="231"/>
      <c r="K56" s="32"/>
      <c r="L56" s="32"/>
      <c r="M56" s="32"/>
      <c r="N56" s="32"/>
      <c r="O56" s="32"/>
      <c r="P56" s="32"/>
      <c r="Q56" s="32"/>
      <c r="R56" s="32"/>
      <c r="S56" s="213"/>
      <c r="T56" s="39"/>
      <c r="U56" s="32"/>
      <c r="V56" s="32"/>
      <c r="W56" s="32"/>
      <c r="X56" s="37"/>
      <c r="Y56" s="37"/>
      <c r="Z56" s="37"/>
      <c r="AA56" s="37"/>
      <c r="AB56" s="37"/>
      <c r="AC56" s="37"/>
      <c r="AD56" s="35"/>
    </row>
    <row r="57" spans="1:65" s="214" customFormat="1" ht="29.25">
      <c r="B57" s="264" t="s">
        <v>318</v>
      </c>
      <c r="C57" s="332" t="s">
        <v>319</v>
      </c>
      <c r="D57" s="332" t="s">
        <v>320</v>
      </c>
      <c r="E57" s="213"/>
      <c r="F57" s="213"/>
      <c r="G57" s="213"/>
      <c r="H57" s="213"/>
      <c r="I57" s="213"/>
      <c r="J57" s="260"/>
      <c r="K57" s="213"/>
      <c r="L57" s="213"/>
      <c r="M57" s="213"/>
      <c r="N57" s="213"/>
      <c r="O57" s="213"/>
      <c r="P57" s="213"/>
      <c r="Q57" s="213"/>
      <c r="R57" s="213"/>
      <c r="S57" s="213"/>
      <c r="T57" s="261"/>
      <c r="U57" s="213"/>
      <c r="V57" s="213"/>
      <c r="W57" s="213"/>
      <c r="X57" s="262"/>
      <c r="Y57" s="262"/>
      <c r="Z57" s="262"/>
      <c r="AA57" s="262"/>
      <c r="AB57" s="262"/>
      <c r="AC57" s="262"/>
      <c r="AD57" s="66"/>
      <c r="AE57" s="65"/>
      <c r="AH57" s="263"/>
      <c r="AI57" s="65"/>
    </row>
    <row r="58" spans="1:65" ht="30" customHeight="1">
      <c r="B58" s="328" t="s">
        <v>273</v>
      </c>
      <c r="C58" s="327">
        <f>D58/12</f>
        <v>18482.485680000002</v>
      </c>
      <c r="D58" s="327">
        <f>AK6</f>
        <v>221789.82816</v>
      </c>
      <c r="E58" s="251"/>
      <c r="F58" s="32"/>
      <c r="G58" s="32"/>
      <c r="H58" s="32"/>
      <c r="I58" s="32"/>
      <c r="J58" s="231"/>
      <c r="K58" s="32"/>
      <c r="L58" s="32"/>
      <c r="M58" s="32"/>
      <c r="N58" s="32"/>
      <c r="O58" s="32"/>
      <c r="P58" s="32"/>
      <c r="Q58" s="32"/>
      <c r="R58" s="32"/>
      <c r="S58" s="213"/>
      <c r="T58" s="39"/>
      <c r="U58" s="32"/>
      <c r="V58" s="32"/>
      <c r="W58" s="32"/>
      <c r="X58" s="37"/>
      <c r="Y58" s="37"/>
      <c r="Z58" s="37"/>
      <c r="AA58" s="37"/>
      <c r="AB58" s="37"/>
      <c r="AC58" s="37"/>
      <c r="AD58" s="35"/>
    </row>
    <row r="59" spans="1:65" ht="30" customHeight="1">
      <c r="B59" s="329" t="s">
        <v>274</v>
      </c>
      <c r="C59" s="327">
        <f t="shared" ref="C59:C72" si="18">D59/12</f>
        <v>17716.544832</v>
      </c>
      <c r="D59" s="327">
        <f>AL6</f>
        <v>212598.537984</v>
      </c>
      <c r="E59" s="251"/>
      <c r="F59" s="32"/>
      <c r="G59" s="32"/>
      <c r="H59" s="32"/>
      <c r="I59" s="32"/>
      <c r="J59" s="231"/>
      <c r="K59" s="32"/>
      <c r="L59" s="32"/>
      <c r="M59" s="32"/>
      <c r="N59" s="32"/>
      <c r="O59" s="32"/>
      <c r="P59" s="32"/>
      <c r="Q59" s="32"/>
      <c r="R59" s="32"/>
      <c r="S59" s="213"/>
      <c r="T59" s="39"/>
      <c r="U59" s="32"/>
      <c r="V59" s="32"/>
      <c r="W59" s="32"/>
      <c r="X59" s="37"/>
      <c r="Y59" s="37"/>
      <c r="Z59" s="37"/>
      <c r="AA59" s="37"/>
      <c r="AB59" s="37"/>
      <c r="AC59" s="37"/>
      <c r="AD59" s="35"/>
    </row>
    <row r="60" spans="1:65" ht="30" customHeight="1">
      <c r="B60" s="329" t="s">
        <v>275</v>
      </c>
      <c r="C60" s="327">
        <f t="shared" si="18"/>
        <v>16750.793328</v>
      </c>
      <c r="D60" s="327">
        <f>AM6</f>
        <v>201009.519936</v>
      </c>
      <c r="E60" s="251"/>
      <c r="F60" s="32"/>
      <c r="G60" s="32"/>
      <c r="H60" s="32"/>
      <c r="I60" s="32"/>
      <c r="J60" s="231"/>
      <c r="K60" s="32"/>
      <c r="L60" s="32"/>
      <c r="M60" s="32"/>
      <c r="N60" s="32"/>
      <c r="O60" s="32"/>
      <c r="P60" s="32"/>
      <c r="Q60" s="32"/>
      <c r="R60" s="32"/>
      <c r="S60" s="213"/>
      <c r="T60" s="39"/>
      <c r="U60" s="32"/>
      <c r="V60" s="32"/>
      <c r="W60" s="32"/>
      <c r="X60" s="37"/>
      <c r="Y60" s="37"/>
      <c r="Z60" s="37"/>
      <c r="AA60" s="37"/>
      <c r="AB60" s="37"/>
      <c r="AC60" s="37"/>
      <c r="AD60" s="35"/>
    </row>
    <row r="61" spans="1:65" ht="30" customHeight="1">
      <c r="B61" s="328" t="s">
        <v>276</v>
      </c>
      <c r="C61" s="327">
        <f t="shared" si="18"/>
        <v>24776.521343999997</v>
      </c>
      <c r="D61" s="327">
        <f>AN6</f>
        <v>297318.25612799998</v>
      </c>
      <c r="E61" s="251"/>
      <c r="F61" s="32"/>
      <c r="G61" s="32"/>
      <c r="H61" s="32"/>
      <c r="I61" s="32"/>
      <c r="J61" s="231"/>
      <c r="K61" s="32"/>
      <c r="L61" s="32"/>
      <c r="M61" s="32"/>
      <c r="N61" s="32"/>
      <c r="O61" s="32"/>
      <c r="P61" s="32"/>
      <c r="Q61" s="32"/>
      <c r="R61" s="32"/>
      <c r="S61" s="213"/>
      <c r="T61" s="39"/>
      <c r="U61" s="32"/>
      <c r="V61" s="32"/>
      <c r="W61" s="32"/>
      <c r="X61" s="37"/>
      <c r="Y61" s="37"/>
      <c r="Z61" s="37"/>
      <c r="AA61" s="37"/>
      <c r="AB61" s="37"/>
      <c r="AC61" s="37"/>
      <c r="AD61" s="35"/>
    </row>
    <row r="62" spans="1:65" ht="30" customHeight="1">
      <c r="B62" s="328" t="s">
        <v>277</v>
      </c>
      <c r="C62" s="327">
        <f t="shared" si="18"/>
        <v>26791.278791999997</v>
      </c>
      <c r="D62" s="327">
        <f>AO6</f>
        <v>321495.34550399997</v>
      </c>
      <c r="E62" s="251"/>
      <c r="F62" s="32"/>
      <c r="G62" s="32"/>
      <c r="H62" s="32"/>
      <c r="I62" s="32"/>
      <c r="J62" s="231"/>
      <c r="K62" s="32"/>
      <c r="L62" s="32"/>
      <c r="M62" s="32"/>
      <c r="N62" s="32"/>
      <c r="O62" s="32"/>
      <c r="P62" s="32"/>
      <c r="Q62" s="32"/>
      <c r="R62" s="32"/>
      <c r="S62" s="213"/>
      <c r="T62" s="39"/>
      <c r="U62" s="32"/>
      <c r="V62" s="32"/>
      <c r="W62" s="32"/>
      <c r="X62" s="37"/>
      <c r="Y62" s="37"/>
      <c r="Z62" s="37"/>
      <c r="AA62" s="37"/>
      <c r="AB62" s="37"/>
      <c r="AC62" s="37"/>
      <c r="AD62" s="35"/>
    </row>
    <row r="63" spans="1:65" ht="30" customHeight="1">
      <c r="B63" s="328" t="s">
        <v>278</v>
      </c>
      <c r="C63" s="327">
        <f t="shared" si="18"/>
        <v>384707.88903900003</v>
      </c>
      <c r="D63" s="327">
        <f>AP6+BD31+BG35+AQ10+AQ14+AU18+AX22+AY26</f>
        <v>4616494.6684680004</v>
      </c>
      <c r="E63" s="251"/>
      <c r="F63" s="32"/>
      <c r="G63" s="32"/>
      <c r="H63" s="32"/>
      <c r="I63" s="32"/>
      <c r="J63" s="231"/>
      <c r="K63" s="32"/>
      <c r="L63" s="32"/>
      <c r="M63" s="32"/>
      <c r="N63" s="32"/>
      <c r="O63" s="32"/>
      <c r="P63" s="32"/>
      <c r="Q63" s="32"/>
      <c r="R63" s="32"/>
      <c r="S63" s="213"/>
      <c r="T63" s="39"/>
      <c r="U63" s="32"/>
      <c r="V63" s="32"/>
      <c r="W63" s="32"/>
      <c r="X63" s="37"/>
      <c r="Y63" s="37"/>
      <c r="Z63" s="37"/>
      <c r="AA63" s="37"/>
      <c r="AB63" s="37"/>
      <c r="AC63" s="37"/>
      <c r="AD63" s="35"/>
    </row>
    <row r="64" spans="1:65" ht="30" customHeight="1">
      <c r="B64" s="328" t="s">
        <v>284</v>
      </c>
      <c r="C64" s="327">
        <f t="shared" si="18"/>
        <v>314259.71472600003</v>
      </c>
      <c r="D64" s="327">
        <f>BA31+BE35+BH39+BK43</f>
        <v>3771116.5767120002</v>
      </c>
      <c r="E64" s="251"/>
      <c r="F64" s="32"/>
      <c r="G64" s="32"/>
      <c r="H64" s="32"/>
      <c r="I64" s="32"/>
      <c r="J64" s="231"/>
      <c r="K64" s="32"/>
      <c r="L64" s="32"/>
      <c r="M64" s="32"/>
      <c r="N64" s="32"/>
      <c r="O64" s="32"/>
      <c r="P64" s="32"/>
      <c r="Q64" s="32"/>
      <c r="R64" s="32"/>
      <c r="S64" s="213"/>
      <c r="T64" s="39"/>
      <c r="U64" s="32"/>
      <c r="V64" s="32"/>
      <c r="W64" s="32"/>
      <c r="X64" s="37"/>
      <c r="Y64" s="37"/>
      <c r="Z64" s="37"/>
      <c r="AA64" s="37"/>
      <c r="AB64" s="37"/>
      <c r="AC64" s="37"/>
      <c r="AD64" s="35"/>
    </row>
    <row r="65" spans="1:30" ht="30" customHeight="1">
      <c r="B65" s="330" t="s">
        <v>285</v>
      </c>
      <c r="C65" s="327">
        <f t="shared" si="18"/>
        <v>248012.000531</v>
      </c>
      <c r="D65" s="327">
        <f>BB31+BF35+BI39</f>
        <v>2976144.0063720001</v>
      </c>
      <c r="E65" s="251"/>
      <c r="F65" s="32"/>
      <c r="G65" s="32"/>
      <c r="H65" s="32"/>
      <c r="I65" s="32"/>
      <c r="J65" s="231"/>
      <c r="K65" s="32"/>
      <c r="L65" s="32"/>
      <c r="M65" s="32"/>
      <c r="N65" s="32"/>
      <c r="O65" s="32"/>
      <c r="P65" s="32"/>
      <c r="Q65" s="32"/>
      <c r="R65" s="32"/>
      <c r="S65" s="213"/>
      <c r="T65" s="39"/>
      <c r="U65" s="32"/>
      <c r="V65" s="32"/>
      <c r="W65" s="32"/>
      <c r="X65" s="37"/>
      <c r="Y65" s="37"/>
      <c r="Z65" s="37"/>
      <c r="AA65" s="37"/>
      <c r="AB65" s="37"/>
      <c r="AC65" s="37"/>
      <c r="AD65" s="35"/>
    </row>
    <row r="66" spans="1:30" ht="30" customHeight="1">
      <c r="B66" s="330" t="s">
        <v>286</v>
      </c>
      <c r="C66" s="327">
        <f t="shared" si="18"/>
        <v>21013.979685999999</v>
      </c>
      <c r="D66" s="327">
        <f>BC31</f>
        <v>252167.75623199999</v>
      </c>
      <c r="E66" s="251"/>
      <c r="F66" s="32"/>
      <c r="G66" s="32"/>
      <c r="H66" s="32"/>
      <c r="I66" s="32"/>
      <c r="J66" s="231"/>
      <c r="K66" s="32"/>
      <c r="L66" s="32"/>
      <c r="M66" s="32"/>
      <c r="N66" s="32"/>
      <c r="O66" s="32"/>
      <c r="P66" s="32"/>
      <c r="Q66" s="32"/>
      <c r="R66" s="32"/>
      <c r="S66" s="213"/>
      <c r="T66" s="39"/>
      <c r="U66" s="32"/>
      <c r="V66" s="32"/>
      <c r="W66" s="32"/>
      <c r="X66" s="37"/>
      <c r="Y66" s="37"/>
      <c r="Z66" s="37"/>
      <c r="AA66" s="37"/>
      <c r="AB66" s="37"/>
      <c r="AC66" s="37"/>
      <c r="AD66" s="35"/>
    </row>
    <row r="67" spans="1:30" ht="30" customHeight="1">
      <c r="B67" s="328" t="s">
        <v>279</v>
      </c>
      <c r="C67" s="327">
        <f t="shared" si="18"/>
        <v>154053.46097000001</v>
      </c>
      <c r="D67" s="327">
        <f>AR10+AR14+AZ26</f>
        <v>1848641.5316400002</v>
      </c>
      <c r="E67" s="251"/>
      <c r="F67" s="32"/>
      <c r="G67" s="32"/>
      <c r="H67" s="32"/>
      <c r="I67" s="32"/>
      <c r="J67" s="231"/>
      <c r="K67" s="32"/>
      <c r="L67" s="32"/>
      <c r="M67" s="32"/>
      <c r="N67" s="32"/>
      <c r="O67" s="32"/>
      <c r="P67" s="32"/>
      <c r="Q67" s="32"/>
      <c r="R67" s="32"/>
      <c r="S67" s="213"/>
      <c r="T67" s="39"/>
      <c r="U67" s="32"/>
      <c r="V67" s="32"/>
      <c r="W67" s="32"/>
      <c r="X67" s="37"/>
      <c r="Y67" s="37"/>
      <c r="Z67" s="37"/>
      <c r="AA67" s="37"/>
      <c r="AB67" s="37"/>
      <c r="AC67" s="37"/>
      <c r="AD67" s="35"/>
    </row>
    <row r="68" spans="1:30" ht="30" customHeight="1">
      <c r="B68" s="328" t="s">
        <v>280</v>
      </c>
      <c r="C68" s="327">
        <f t="shared" si="18"/>
        <v>188000.99359600001</v>
      </c>
      <c r="D68" s="327">
        <f>AS18</f>
        <v>2256011.9231520002</v>
      </c>
      <c r="E68" s="251"/>
      <c r="F68" s="32"/>
      <c r="G68" s="32"/>
      <c r="H68" s="32"/>
      <c r="I68" s="32"/>
      <c r="J68" s="231"/>
      <c r="K68" s="32"/>
      <c r="L68" s="32"/>
      <c r="M68" s="32"/>
      <c r="N68" s="32"/>
      <c r="O68" s="32"/>
      <c r="P68" s="32"/>
      <c r="Q68" s="32"/>
      <c r="R68" s="32"/>
      <c r="S68" s="213"/>
      <c r="T68" s="39"/>
      <c r="U68" s="32"/>
      <c r="V68" s="32"/>
      <c r="W68" s="32"/>
      <c r="X68" s="37"/>
      <c r="Y68" s="37"/>
      <c r="Z68" s="37"/>
      <c r="AA68" s="37"/>
      <c r="AB68" s="37"/>
      <c r="AC68" s="37"/>
      <c r="AD68" s="35"/>
    </row>
    <row r="69" spans="1:30" ht="30" customHeight="1">
      <c r="B69" s="331" t="s">
        <v>281</v>
      </c>
      <c r="C69" s="327">
        <f t="shared" si="18"/>
        <v>43802.508644000009</v>
      </c>
      <c r="D69" s="327">
        <f>AT18</f>
        <v>525630.10372800007</v>
      </c>
      <c r="E69" s="251"/>
      <c r="F69" s="32"/>
      <c r="G69" s="32"/>
      <c r="H69" s="32"/>
      <c r="I69" s="32"/>
      <c r="J69" s="231"/>
      <c r="K69" s="32"/>
      <c r="L69" s="32"/>
      <c r="M69" s="32"/>
      <c r="N69" s="32"/>
      <c r="O69" s="32"/>
      <c r="P69" s="32"/>
      <c r="Q69" s="32"/>
      <c r="R69" s="32"/>
      <c r="S69" s="213"/>
      <c r="T69" s="39"/>
      <c r="U69" s="32"/>
      <c r="V69" s="32"/>
      <c r="W69" s="32"/>
      <c r="X69" s="37"/>
      <c r="Y69" s="37"/>
      <c r="Z69" s="37"/>
      <c r="AA69" s="37"/>
      <c r="AB69" s="37"/>
      <c r="AC69" s="37"/>
      <c r="AD69" s="35"/>
    </row>
    <row r="70" spans="1:30" ht="30" customHeight="1">
      <c r="B70" s="328" t="s">
        <v>282</v>
      </c>
      <c r="C70" s="327">
        <f t="shared" si="18"/>
        <v>2166.6318340000003</v>
      </c>
      <c r="D70" s="327">
        <f>AV18</f>
        <v>25999.582008000001</v>
      </c>
      <c r="E70" s="251"/>
      <c r="F70" s="32"/>
      <c r="G70" s="32"/>
      <c r="H70" s="32"/>
      <c r="I70" s="32"/>
      <c r="J70" s="231"/>
      <c r="K70" s="32"/>
      <c r="L70" s="32"/>
      <c r="M70" s="32"/>
      <c r="N70" s="32"/>
      <c r="O70" s="32"/>
      <c r="P70" s="32"/>
      <c r="Q70" s="32"/>
      <c r="R70" s="259"/>
      <c r="S70" s="213"/>
      <c r="T70" s="39"/>
      <c r="U70" s="32"/>
      <c r="V70" s="32"/>
      <c r="W70" s="32"/>
      <c r="X70" s="37"/>
      <c r="Y70" s="37"/>
      <c r="Z70" s="37"/>
      <c r="AA70" s="37"/>
      <c r="AB70" s="37"/>
      <c r="AC70" s="37"/>
      <c r="AD70" s="35"/>
    </row>
    <row r="71" spans="1:30" ht="30" customHeight="1">
      <c r="B71" s="330" t="s">
        <v>283</v>
      </c>
      <c r="C71" s="327">
        <f t="shared" si="18"/>
        <v>2662.6077960000007</v>
      </c>
      <c r="D71" s="327">
        <f>AW18</f>
        <v>31951.293552000006</v>
      </c>
      <c r="E71" s="251"/>
      <c r="F71" s="32"/>
      <c r="G71" s="32"/>
      <c r="H71" s="32"/>
      <c r="I71" s="32"/>
      <c r="J71" s="231"/>
      <c r="K71" s="32"/>
      <c r="L71" s="32"/>
      <c r="M71" s="32"/>
      <c r="N71" s="32"/>
      <c r="O71" s="32"/>
      <c r="P71" s="32"/>
      <c r="Q71" s="32"/>
      <c r="R71" s="32"/>
      <c r="S71" s="213"/>
      <c r="T71" s="39"/>
      <c r="U71" s="32"/>
      <c r="V71" s="32"/>
      <c r="W71" s="32"/>
      <c r="X71" s="37"/>
      <c r="Y71" s="37"/>
      <c r="Z71" s="37"/>
      <c r="AA71" s="37"/>
      <c r="AB71" s="37"/>
      <c r="AC71" s="37"/>
      <c r="AD71" s="35"/>
    </row>
    <row r="72" spans="1:30" ht="30" customHeight="1">
      <c r="B72" s="330" t="s">
        <v>287</v>
      </c>
      <c r="C72" s="327">
        <f t="shared" si="18"/>
        <v>69630.289202</v>
      </c>
      <c r="D72" s="335">
        <f>BJ39+BL43</f>
        <v>835563.47042399994</v>
      </c>
      <c r="E72" s="251"/>
      <c r="F72" s="32"/>
      <c r="G72" s="32"/>
      <c r="H72" s="32"/>
      <c r="I72" s="32"/>
      <c r="J72" s="231"/>
      <c r="K72" s="32"/>
      <c r="L72" s="32"/>
      <c r="M72" s="32"/>
      <c r="N72" s="32"/>
      <c r="O72" s="32"/>
      <c r="P72" s="32"/>
      <c r="Q72" s="32"/>
      <c r="R72" s="32"/>
      <c r="S72" s="213"/>
      <c r="T72" s="39"/>
      <c r="U72" s="32"/>
      <c r="V72" s="32"/>
      <c r="W72" s="32"/>
      <c r="X72" s="37"/>
      <c r="Y72" s="37"/>
      <c r="Z72" s="37"/>
      <c r="AA72" s="37"/>
      <c r="AB72" s="37"/>
      <c r="AC72" s="37"/>
      <c r="AD72" s="35"/>
    </row>
    <row r="73" spans="1:30">
      <c r="B73" s="66"/>
      <c r="C73" s="334"/>
      <c r="D73" s="333">
        <f>SUM(D58:D72)</f>
        <v>18393932.400000002</v>
      </c>
      <c r="E73" s="251"/>
      <c r="F73" s="32"/>
      <c r="G73" s="32"/>
      <c r="H73" s="32"/>
      <c r="I73" s="32"/>
      <c r="J73" s="231"/>
      <c r="K73" s="32"/>
      <c r="L73" s="32"/>
      <c r="M73" s="32"/>
      <c r="N73" s="32"/>
      <c r="O73" s="32"/>
      <c r="P73" s="32"/>
      <c r="Q73" s="32"/>
      <c r="R73" s="32"/>
      <c r="S73" s="213"/>
      <c r="T73" s="39"/>
      <c r="U73" s="32"/>
      <c r="V73" s="32"/>
      <c r="W73" s="32"/>
      <c r="X73" s="37"/>
      <c r="Y73" s="37"/>
      <c r="Z73" s="37"/>
      <c r="AA73" s="37"/>
      <c r="AB73" s="37"/>
      <c r="AC73" s="37"/>
      <c r="AD73" s="35"/>
    </row>
    <row r="74" spans="1:30">
      <c r="B74" s="66"/>
      <c r="C74" s="66"/>
      <c r="D74" s="32"/>
      <c r="E74" s="32"/>
      <c r="F74" s="32"/>
      <c r="G74" s="32"/>
      <c r="H74" s="32"/>
      <c r="I74" s="32"/>
      <c r="J74" s="231"/>
      <c r="K74" s="32"/>
      <c r="L74" s="32"/>
      <c r="M74" s="32"/>
      <c r="N74" s="32"/>
      <c r="O74" s="32"/>
      <c r="P74" s="32"/>
      <c r="Q74" s="32"/>
      <c r="R74" s="32"/>
      <c r="S74" s="213"/>
      <c r="T74" s="39"/>
      <c r="U74" s="32"/>
      <c r="V74" s="32"/>
      <c r="W74" s="32"/>
      <c r="X74" s="37"/>
      <c r="Y74" s="37"/>
      <c r="Z74" s="37"/>
      <c r="AA74" s="37"/>
      <c r="AB74" s="37"/>
      <c r="AC74" s="37"/>
      <c r="AD74" s="35"/>
    </row>
    <row r="75" spans="1:30">
      <c r="B75" s="66"/>
      <c r="C75" s="66"/>
      <c r="D75" s="32"/>
      <c r="E75" s="32"/>
      <c r="F75" s="32"/>
      <c r="G75" s="32"/>
      <c r="H75" s="32"/>
      <c r="I75" s="32"/>
      <c r="J75" s="231"/>
      <c r="K75" s="32"/>
      <c r="L75" s="32"/>
      <c r="M75" s="32"/>
      <c r="N75" s="32"/>
      <c r="O75" s="32"/>
      <c r="P75" s="32"/>
      <c r="Q75" s="32"/>
      <c r="R75" s="32"/>
      <c r="S75" s="213"/>
      <c r="T75" s="39"/>
      <c r="U75" s="32"/>
      <c r="V75" s="32"/>
      <c r="W75" s="32"/>
      <c r="X75" s="37"/>
      <c r="Y75" s="37"/>
      <c r="Z75" s="37"/>
      <c r="AA75" s="37"/>
      <c r="AB75" s="37"/>
      <c r="AC75" s="37"/>
      <c r="AD75" s="35"/>
    </row>
    <row r="76" spans="1:30">
      <c r="A76" s="64" t="s">
        <v>321</v>
      </c>
      <c r="B76" s="265" t="s">
        <v>322</v>
      </c>
      <c r="C76" s="67"/>
    </row>
    <row r="77" spans="1:30">
      <c r="A77" s="64" t="s">
        <v>323</v>
      </c>
      <c r="B77" s="34" t="s">
        <v>324</v>
      </c>
    </row>
    <row r="78" spans="1:30">
      <c r="A78" s="64" t="s">
        <v>325</v>
      </c>
      <c r="B78" s="34" t="s">
        <v>326</v>
      </c>
    </row>
    <row r="79" spans="1:30">
      <c r="A79" s="64" t="s">
        <v>327</v>
      </c>
      <c r="B79" s="34" t="s">
        <v>328</v>
      </c>
    </row>
    <row r="80" spans="1:30">
      <c r="A80" s="64" t="s">
        <v>329</v>
      </c>
      <c r="B80" s="34" t="s">
        <v>330</v>
      </c>
    </row>
    <row r="81" spans="2:2">
      <c r="B81" s="34"/>
    </row>
  </sheetData>
  <mergeCells count="551">
    <mergeCell ref="B30:Y30"/>
    <mergeCell ref="B47:Y47"/>
    <mergeCell ref="B2:B5"/>
    <mergeCell ref="C2:C5"/>
    <mergeCell ref="D2:D5"/>
    <mergeCell ref="E2:E5"/>
    <mergeCell ref="F2:F5"/>
    <mergeCell ref="G2:G5"/>
    <mergeCell ref="BH3:BJ3"/>
    <mergeCell ref="AY3:AZ3"/>
    <mergeCell ref="N4:N5"/>
    <mergeCell ref="O4:O5"/>
    <mergeCell ref="Q4:Q5"/>
    <mergeCell ref="Y2:Y3"/>
    <mergeCell ref="AD2:AD3"/>
    <mergeCell ref="AE2:AE3"/>
    <mergeCell ref="I3:J3"/>
    <mergeCell ref="AK3:AP3"/>
    <mergeCell ref="BA3:BD3"/>
    <mergeCell ref="AG6:AG9"/>
    <mergeCell ref="AH6:AH9"/>
    <mergeCell ref="AB6:AB9"/>
    <mergeCell ref="AC6:AC9"/>
    <mergeCell ref="AH4:AI4"/>
    <mergeCell ref="BK3:BL3"/>
    <mergeCell ref="AC4:AC5"/>
    <mergeCell ref="H2:P2"/>
    <mergeCell ref="Z2:Z3"/>
    <mergeCell ref="Z4:Z5"/>
    <mergeCell ref="AA2:AA3"/>
    <mergeCell ref="AA4:AA5"/>
    <mergeCell ref="X2:X3"/>
    <mergeCell ref="S4:S5"/>
    <mergeCell ref="T4:T5"/>
    <mergeCell ref="U4:U5"/>
    <mergeCell ref="L4:L5"/>
    <mergeCell ref="M4:M5"/>
    <mergeCell ref="P4:P5"/>
    <mergeCell ref="BE3:BG3"/>
    <mergeCell ref="AQ3:AR3"/>
    <mergeCell ref="AS3:AW3"/>
    <mergeCell ref="Q2:R2"/>
    <mergeCell ref="S2:T3"/>
    <mergeCell ref="U2:V3"/>
    <mergeCell ref="W2:W5"/>
    <mergeCell ref="AB2:AB3"/>
    <mergeCell ref="AB4:AB5"/>
    <mergeCell ref="AC2:AC3"/>
    <mergeCell ref="B6:B9"/>
    <mergeCell ref="C6:C9"/>
    <mergeCell ref="D6:D9"/>
    <mergeCell ref="E6:E9"/>
    <mergeCell ref="Q6:Q9"/>
    <mergeCell ref="R6:R9"/>
    <mergeCell ref="S6:S9"/>
    <mergeCell ref="U6:U9"/>
    <mergeCell ref="V6:V9"/>
    <mergeCell ref="V4:V5"/>
    <mergeCell ref="X4:X5"/>
    <mergeCell ref="Y4:Y5"/>
    <mergeCell ref="AD4:AD5"/>
    <mergeCell ref="AE4:AE5"/>
    <mergeCell ref="AF4:AG4"/>
    <mergeCell ref="R4:R5"/>
    <mergeCell ref="H4:H5"/>
    <mergeCell ref="I4:J5"/>
    <mergeCell ref="K4:K5"/>
    <mergeCell ref="BK6:BK9"/>
    <mergeCell ref="BL6:BL9"/>
    <mergeCell ref="AT6:AT9"/>
    <mergeCell ref="AU6:AU9"/>
    <mergeCell ref="AV6:AV9"/>
    <mergeCell ref="AW6:AW9"/>
    <mergeCell ref="BH6:BH9"/>
    <mergeCell ref="BI6:BI9"/>
    <mergeCell ref="BE6:BE9"/>
    <mergeCell ref="BF6:BF9"/>
    <mergeCell ref="BG6:BG9"/>
    <mergeCell ref="BA6:BA9"/>
    <mergeCell ref="BB6:BB9"/>
    <mergeCell ref="BC6:BC9"/>
    <mergeCell ref="BD6:BD9"/>
    <mergeCell ref="B31:B34"/>
    <mergeCell ref="C31:C34"/>
    <mergeCell ref="D31:D34"/>
    <mergeCell ref="E31:E34"/>
    <mergeCell ref="Q31:Q34"/>
    <mergeCell ref="R31:R34"/>
    <mergeCell ref="BJ6:BJ9"/>
    <mergeCell ref="AX6:AX9"/>
    <mergeCell ref="AY6:AY9"/>
    <mergeCell ref="AZ6:AZ9"/>
    <mergeCell ref="AQ6:AQ9"/>
    <mergeCell ref="AR6:AR9"/>
    <mergeCell ref="AS6:AS9"/>
    <mergeCell ref="AO6:AO9"/>
    <mergeCell ref="AP6:AP9"/>
    <mergeCell ref="AI6:AI9"/>
    <mergeCell ref="AJ6:AJ9"/>
    <mergeCell ref="AK6:AK9"/>
    <mergeCell ref="AL6:AL9"/>
    <mergeCell ref="AM6:AM9"/>
    <mergeCell ref="AN6:AN9"/>
    <mergeCell ref="AD6:AD9"/>
    <mergeCell ref="AE6:AE9"/>
    <mergeCell ref="AF6:AF9"/>
    <mergeCell ref="S31:S34"/>
    <mergeCell ref="U31:U34"/>
    <mergeCell ref="V31:V34"/>
    <mergeCell ref="W31:W34"/>
    <mergeCell ref="AD31:AD34"/>
    <mergeCell ref="AE31:AE34"/>
    <mergeCell ref="Z31:Z34"/>
    <mergeCell ref="AA31:AA34"/>
    <mergeCell ref="AB31:AB34"/>
    <mergeCell ref="AC31:AC34"/>
    <mergeCell ref="AL31:AL34"/>
    <mergeCell ref="AM31:AM34"/>
    <mergeCell ref="AN31:AN34"/>
    <mergeCell ref="AO31:AO34"/>
    <mergeCell ref="AP31:AP34"/>
    <mergeCell ref="BA31:BA34"/>
    <mergeCell ref="AF31:AF34"/>
    <mergeCell ref="AG31:AG34"/>
    <mergeCell ref="AH31:AH34"/>
    <mergeCell ref="AI31:AI34"/>
    <mergeCell ref="AJ31:AJ34"/>
    <mergeCell ref="AK31:AK34"/>
    <mergeCell ref="AQ31:AQ34"/>
    <mergeCell ref="AR31:AR34"/>
    <mergeCell ref="AS31:AS34"/>
    <mergeCell ref="AT31:AT34"/>
    <mergeCell ref="AU31:AU34"/>
    <mergeCell ref="AV31:AV34"/>
    <mergeCell ref="BB31:BB34"/>
    <mergeCell ref="BC31:BC34"/>
    <mergeCell ref="BD31:BD34"/>
    <mergeCell ref="AZ31:AZ34"/>
    <mergeCell ref="BK31:BK34"/>
    <mergeCell ref="BL31:BL34"/>
    <mergeCell ref="AW31:AW34"/>
    <mergeCell ref="BH31:BH34"/>
    <mergeCell ref="BI31:BI34"/>
    <mergeCell ref="BJ31:BJ34"/>
    <mergeCell ref="AX31:AX34"/>
    <mergeCell ref="AY31:AY34"/>
    <mergeCell ref="BE31:BE34"/>
    <mergeCell ref="BF31:BF34"/>
    <mergeCell ref="BG31:BG34"/>
    <mergeCell ref="AG35:AG38"/>
    <mergeCell ref="AH35:AH38"/>
    <mergeCell ref="Z35:Z38"/>
    <mergeCell ref="AA35:AA38"/>
    <mergeCell ref="AB35:AB38"/>
    <mergeCell ref="AC35:AC38"/>
    <mergeCell ref="B35:B38"/>
    <mergeCell ref="C35:C38"/>
    <mergeCell ref="D35:D38"/>
    <mergeCell ref="E35:E38"/>
    <mergeCell ref="Q35:Q38"/>
    <mergeCell ref="R35:R38"/>
    <mergeCell ref="S35:S38"/>
    <mergeCell ref="U35:U38"/>
    <mergeCell ref="V35:V38"/>
    <mergeCell ref="BK35:BK38"/>
    <mergeCell ref="BL35:BL38"/>
    <mergeCell ref="AT35:AT38"/>
    <mergeCell ref="AU35:AU38"/>
    <mergeCell ref="AV35:AV38"/>
    <mergeCell ref="AW35:AW38"/>
    <mergeCell ref="BH35:BH38"/>
    <mergeCell ref="BI35:BI38"/>
    <mergeCell ref="BE35:BE38"/>
    <mergeCell ref="BF35:BF38"/>
    <mergeCell ref="BG35:BG38"/>
    <mergeCell ref="BA35:BA38"/>
    <mergeCell ref="BB35:BB38"/>
    <mergeCell ref="BC35:BC38"/>
    <mergeCell ref="BD35:BD38"/>
    <mergeCell ref="B10:B13"/>
    <mergeCell ref="C10:C13"/>
    <mergeCell ref="D10:D13"/>
    <mergeCell ref="E10:E13"/>
    <mergeCell ref="Q10:Q13"/>
    <mergeCell ref="R10:R13"/>
    <mergeCell ref="BJ35:BJ38"/>
    <mergeCell ref="AX35:AX38"/>
    <mergeCell ref="AY35:AY38"/>
    <mergeCell ref="AZ35:AZ38"/>
    <mergeCell ref="AQ35:AQ38"/>
    <mergeCell ref="AR35:AR38"/>
    <mergeCell ref="AS35:AS38"/>
    <mergeCell ref="AO35:AO38"/>
    <mergeCell ref="AP35:AP38"/>
    <mergeCell ref="AI35:AI38"/>
    <mergeCell ref="AJ35:AJ38"/>
    <mergeCell ref="AK35:AK38"/>
    <mergeCell ref="AL35:AL38"/>
    <mergeCell ref="AM35:AM38"/>
    <mergeCell ref="AN35:AN38"/>
    <mergeCell ref="AD35:AD38"/>
    <mergeCell ref="AE35:AE38"/>
    <mergeCell ref="AF35:AF38"/>
    <mergeCell ref="S10:S13"/>
    <mergeCell ref="U10:U13"/>
    <mergeCell ref="V10:V13"/>
    <mergeCell ref="W10:W13"/>
    <mergeCell ref="AD10:AD13"/>
    <mergeCell ref="AE10:AE13"/>
    <mergeCell ref="Z10:Z13"/>
    <mergeCell ref="AA10:AA13"/>
    <mergeCell ref="AB10:AB13"/>
    <mergeCell ref="AC10:AC13"/>
    <mergeCell ref="AL10:AL13"/>
    <mergeCell ref="AM10:AM13"/>
    <mergeCell ref="AN10:AN13"/>
    <mergeCell ref="AO10:AO13"/>
    <mergeCell ref="AP10:AP13"/>
    <mergeCell ref="BA10:BA13"/>
    <mergeCell ref="AF10:AF13"/>
    <mergeCell ref="AG10:AG13"/>
    <mergeCell ref="AH10:AH13"/>
    <mergeCell ref="AI10:AI13"/>
    <mergeCell ref="AJ10:AJ13"/>
    <mergeCell ref="AK10:AK13"/>
    <mergeCell ref="AQ10:AQ13"/>
    <mergeCell ref="AR10:AR13"/>
    <mergeCell ref="AS10:AS13"/>
    <mergeCell ref="AT10:AT13"/>
    <mergeCell ref="AU10:AU13"/>
    <mergeCell ref="AV10:AV13"/>
    <mergeCell ref="BB10:BB13"/>
    <mergeCell ref="BC10:BC13"/>
    <mergeCell ref="BD10:BD13"/>
    <mergeCell ref="AZ10:AZ13"/>
    <mergeCell ref="BK10:BK13"/>
    <mergeCell ref="BL10:BL13"/>
    <mergeCell ref="AW10:AW13"/>
    <mergeCell ref="BH10:BH13"/>
    <mergeCell ref="BI10:BI13"/>
    <mergeCell ref="BJ10:BJ13"/>
    <mergeCell ref="AX10:AX13"/>
    <mergeCell ref="AY10:AY13"/>
    <mergeCell ref="BE10:BE13"/>
    <mergeCell ref="BF10:BF13"/>
    <mergeCell ref="BG10:BG13"/>
    <mergeCell ref="AG14:AG17"/>
    <mergeCell ref="AH14:AH17"/>
    <mergeCell ref="Z14:Z17"/>
    <mergeCell ref="AA14:AA17"/>
    <mergeCell ref="AB14:AB17"/>
    <mergeCell ref="AC14:AC17"/>
    <mergeCell ref="B14:B17"/>
    <mergeCell ref="C14:C17"/>
    <mergeCell ref="D14:D17"/>
    <mergeCell ref="E14:E17"/>
    <mergeCell ref="Q14:Q17"/>
    <mergeCell ref="R14:R17"/>
    <mergeCell ref="S14:S17"/>
    <mergeCell ref="U14:U17"/>
    <mergeCell ref="V14:V17"/>
    <mergeCell ref="BK14:BK17"/>
    <mergeCell ref="BL14:BL17"/>
    <mergeCell ref="AT14:AT17"/>
    <mergeCell ref="AU14:AU17"/>
    <mergeCell ref="AV14:AV17"/>
    <mergeCell ref="AW14:AW17"/>
    <mergeCell ref="BH14:BH17"/>
    <mergeCell ref="BI14:BI17"/>
    <mergeCell ref="BE14:BE17"/>
    <mergeCell ref="BF14:BF17"/>
    <mergeCell ref="BG14:BG17"/>
    <mergeCell ref="BA14:BA17"/>
    <mergeCell ref="BB14:BB17"/>
    <mergeCell ref="BC14:BC17"/>
    <mergeCell ref="BD14:BD17"/>
    <mergeCell ref="B18:B21"/>
    <mergeCell ref="C18:C21"/>
    <mergeCell ref="D18:D21"/>
    <mergeCell ref="E18:E21"/>
    <mergeCell ref="Q18:Q21"/>
    <mergeCell ref="R18:R21"/>
    <mergeCell ref="BJ14:BJ17"/>
    <mergeCell ref="AX14:AX17"/>
    <mergeCell ref="AY14:AY17"/>
    <mergeCell ref="AZ14:AZ17"/>
    <mergeCell ref="AQ14:AQ17"/>
    <mergeCell ref="AR14:AR17"/>
    <mergeCell ref="AS14:AS17"/>
    <mergeCell ref="AO14:AO17"/>
    <mergeCell ref="AP14:AP17"/>
    <mergeCell ref="AI14:AI17"/>
    <mergeCell ref="AJ14:AJ17"/>
    <mergeCell ref="AK14:AK17"/>
    <mergeCell ref="AL14:AL17"/>
    <mergeCell ref="AM14:AM17"/>
    <mergeCell ref="AN14:AN17"/>
    <mergeCell ref="AD14:AD17"/>
    <mergeCell ref="AE14:AE17"/>
    <mergeCell ref="AF14:AF17"/>
    <mergeCell ref="S18:S21"/>
    <mergeCell ref="U18:U21"/>
    <mergeCell ref="V18:V21"/>
    <mergeCell ref="W18:W21"/>
    <mergeCell ref="AD18:AD21"/>
    <mergeCell ref="AE18:AE21"/>
    <mergeCell ref="Z18:Z21"/>
    <mergeCell ref="AA18:AA21"/>
    <mergeCell ref="AB18:AB21"/>
    <mergeCell ref="AC18:AC21"/>
    <mergeCell ref="AL18:AL21"/>
    <mergeCell ref="AM18:AM21"/>
    <mergeCell ref="AN18:AN21"/>
    <mergeCell ref="AO18:AO21"/>
    <mergeCell ref="AP18:AP21"/>
    <mergeCell ref="BA18:BA21"/>
    <mergeCell ref="AF18:AF21"/>
    <mergeCell ref="AG18:AG21"/>
    <mergeCell ref="AH18:AH21"/>
    <mergeCell ref="AI18:AI21"/>
    <mergeCell ref="AJ18:AJ21"/>
    <mergeCell ref="AK18:AK21"/>
    <mergeCell ref="AQ18:AQ21"/>
    <mergeCell ref="AR18:AR21"/>
    <mergeCell ref="AS18:AS21"/>
    <mergeCell ref="AT18:AT21"/>
    <mergeCell ref="AU18:AU21"/>
    <mergeCell ref="AV18:AV21"/>
    <mergeCell ref="BB18:BB21"/>
    <mergeCell ref="BC18:BC21"/>
    <mergeCell ref="BD18:BD21"/>
    <mergeCell ref="AZ18:AZ21"/>
    <mergeCell ref="BK18:BK21"/>
    <mergeCell ref="BL18:BL21"/>
    <mergeCell ref="AW18:AW21"/>
    <mergeCell ref="BH18:BH21"/>
    <mergeCell ref="BI18:BI21"/>
    <mergeCell ref="BJ18:BJ21"/>
    <mergeCell ref="AX18:AX21"/>
    <mergeCell ref="AY18:AY21"/>
    <mergeCell ref="BE18:BE21"/>
    <mergeCell ref="BF18:BF21"/>
    <mergeCell ref="BG18:BG21"/>
    <mergeCell ref="Z39:Z42"/>
    <mergeCell ref="AA39:AA42"/>
    <mergeCell ref="AB39:AB42"/>
    <mergeCell ref="AC39:AC42"/>
    <mergeCell ref="B39:B42"/>
    <mergeCell ref="C39:C42"/>
    <mergeCell ref="D39:D42"/>
    <mergeCell ref="E39:E42"/>
    <mergeCell ref="Q39:Q42"/>
    <mergeCell ref="R39:R42"/>
    <mergeCell ref="S39:S42"/>
    <mergeCell ref="U39:U42"/>
    <mergeCell ref="V39:V42"/>
    <mergeCell ref="BK39:BK42"/>
    <mergeCell ref="BL39:BL42"/>
    <mergeCell ref="AT39:AT42"/>
    <mergeCell ref="AU39:AU42"/>
    <mergeCell ref="AV39:AV42"/>
    <mergeCell ref="AW39:AW42"/>
    <mergeCell ref="BH39:BH42"/>
    <mergeCell ref="BI39:BI42"/>
    <mergeCell ref="BE39:BE42"/>
    <mergeCell ref="BF39:BF42"/>
    <mergeCell ref="BG39:BG42"/>
    <mergeCell ref="BA39:BA42"/>
    <mergeCell ref="BB39:BB42"/>
    <mergeCell ref="BC39:BC42"/>
    <mergeCell ref="BD39:BD42"/>
    <mergeCell ref="AI39:AI42"/>
    <mergeCell ref="AJ39:AJ42"/>
    <mergeCell ref="AK39:AK42"/>
    <mergeCell ref="AL39:AL42"/>
    <mergeCell ref="AM39:AM42"/>
    <mergeCell ref="AN39:AN42"/>
    <mergeCell ref="AD39:AD42"/>
    <mergeCell ref="AE39:AE42"/>
    <mergeCell ref="AF39:AF42"/>
    <mergeCell ref="AG39:AG42"/>
    <mergeCell ref="AH39:AH42"/>
    <mergeCell ref="BJ39:BJ42"/>
    <mergeCell ref="AX39:AX42"/>
    <mergeCell ref="AY39:AY42"/>
    <mergeCell ref="AZ39:AZ42"/>
    <mergeCell ref="AQ39:AQ42"/>
    <mergeCell ref="AR39:AR42"/>
    <mergeCell ref="AS39:AS42"/>
    <mergeCell ref="AO39:AO42"/>
    <mergeCell ref="AP39:AP42"/>
    <mergeCell ref="AD22:AD25"/>
    <mergeCell ref="AE22:AE25"/>
    <mergeCell ref="Z22:Z25"/>
    <mergeCell ref="AA22:AA25"/>
    <mergeCell ref="AB22:AB25"/>
    <mergeCell ref="AC22:AC25"/>
    <mergeCell ref="B22:B25"/>
    <mergeCell ref="C22:C25"/>
    <mergeCell ref="D22:D25"/>
    <mergeCell ref="E22:E25"/>
    <mergeCell ref="Q22:Q25"/>
    <mergeCell ref="R22:R25"/>
    <mergeCell ref="AL22:AL25"/>
    <mergeCell ref="AM22:AM25"/>
    <mergeCell ref="AN22:AN25"/>
    <mergeCell ref="AO22:AO25"/>
    <mergeCell ref="AP22:AP25"/>
    <mergeCell ref="BA22:BA25"/>
    <mergeCell ref="AF22:AF25"/>
    <mergeCell ref="AG22:AG25"/>
    <mergeCell ref="AH22:AH25"/>
    <mergeCell ref="AI22:AI25"/>
    <mergeCell ref="AJ22:AJ25"/>
    <mergeCell ref="AK22:AK25"/>
    <mergeCell ref="AQ22:AQ25"/>
    <mergeCell ref="AR22:AR25"/>
    <mergeCell ref="AS22:AS25"/>
    <mergeCell ref="AT22:AT25"/>
    <mergeCell ref="AU22:AU25"/>
    <mergeCell ref="AV22:AV25"/>
    <mergeCell ref="BB22:BB25"/>
    <mergeCell ref="BC22:BC25"/>
    <mergeCell ref="BD22:BD25"/>
    <mergeCell ref="AZ22:AZ25"/>
    <mergeCell ref="BK22:BK25"/>
    <mergeCell ref="BL22:BL25"/>
    <mergeCell ref="AW22:AW25"/>
    <mergeCell ref="BH22:BH25"/>
    <mergeCell ref="BI22:BI25"/>
    <mergeCell ref="BJ22:BJ25"/>
    <mergeCell ref="AX22:AX25"/>
    <mergeCell ref="AY22:AY25"/>
    <mergeCell ref="BE22:BE25"/>
    <mergeCell ref="BF22:BF25"/>
    <mergeCell ref="BG22:BG25"/>
    <mergeCell ref="AH26:AH29"/>
    <mergeCell ref="Z26:Z29"/>
    <mergeCell ref="AA26:AA29"/>
    <mergeCell ref="AB26:AB29"/>
    <mergeCell ref="AC26:AC29"/>
    <mergeCell ref="B26:B29"/>
    <mergeCell ref="C26:C29"/>
    <mergeCell ref="D26:D29"/>
    <mergeCell ref="E26:E29"/>
    <mergeCell ref="Q26:Q29"/>
    <mergeCell ref="R26:R29"/>
    <mergeCell ref="S26:S29"/>
    <mergeCell ref="U26:U29"/>
    <mergeCell ref="V26:V29"/>
    <mergeCell ref="BK26:BK29"/>
    <mergeCell ref="BL26:BL29"/>
    <mergeCell ref="AT26:AT29"/>
    <mergeCell ref="AU26:AU29"/>
    <mergeCell ref="AV26:AV29"/>
    <mergeCell ref="AW26:AW29"/>
    <mergeCell ref="BH26:BH29"/>
    <mergeCell ref="BI26:BI29"/>
    <mergeCell ref="BE26:BE29"/>
    <mergeCell ref="BF26:BF29"/>
    <mergeCell ref="BG26:BG29"/>
    <mergeCell ref="BA26:BA29"/>
    <mergeCell ref="BB26:BB29"/>
    <mergeCell ref="BC26:BC29"/>
    <mergeCell ref="BD26:BD29"/>
    <mergeCell ref="C43:C46"/>
    <mergeCell ref="D43:D46"/>
    <mergeCell ref="E43:E46"/>
    <mergeCell ref="Q43:Q46"/>
    <mergeCell ref="R43:R46"/>
    <mergeCell ref="BJ26:BJ29"/>
    <mergeCell ref="AX26:AX29"/>
    <mergeCell ref="AY26:AY29"/>
    <mergeCell ref="AZ26:AZ29"/>
    <mergeCell ref="AQ26:AQ29"/>
    <mergeCell ref="AR26:AR29"/>
    <mergeCell ref="AS26:AS29"/>
    <mergeCell ref="AO26:AO29"/>
    <mergeCell ref="AP26:AP29"/>
    <mergeCell ref="AI26:AI29"/>
    <mergeCell ref="AJ26:AJ29"/>
    <mergeCell ref="AK26:AK29"/>
    <mergeCell ref="AL26:AL29"/>
    <mergeCell ref="AM26:AM29"/>
    <mergeCell ref="AN26:AN29"/>
    <mergeCell ref="AD26:AD29"/>
    <mergeCell ref="AE26:AE29"/>
    <mergeCell ref="AF26:AF29"/>
    <mergeCell ref="AG26:AG29"/>
    <mergeCell ref="AK43:AK46"/>
    <mergeCell ref="AL43:AL46"/>
    <mergeCell ref="AM43:AM46"/>
    <mergeCell ref="AN43:AN46"/>
    <mergeCell ref="AO43:AO46"/>
    <mergeCell ref="AP43:AP46"/>
    <mergeCell ref="S43:S46"/>
    <mergeCell ref="U43:U46"/>
    <mergeCell ref="V43:V46"/>
    <mergeCell ref="W43:W46"/>
    <mergeCell ref="AD43:AD46"/>
    <mergeCell ref="AE43:AE46"/>
    <mergeCell ref="AB43:AB46"/>
    <mergeCell ref="AC43:AC46"/>
    <mergeCell ref="B43:B46"/>
    <mergeCell ref="B50:Y50"/>
    <mergeCell ref="BK43:BK46"/>
    <mergeCell ref="BL43:BL46"/>
    <mergeCell ref="AV43:AV46"/>
    <mergeCell ref="AW43:AW46"/>
    <mergeCell ref="BH43:BH46"/>
    <mergeCell ref="BI43:BI46"/>
    <mergeCell ref="BJ43:BJ46"/>
    <mergeCell ref="AX43:AX46"/>
    <mergeCell ref="BG43:BG46"/>
    <mergeCell ref="BE43:BE46"/>
    <mergeCell ref="BF43:BF46"/>
    <mergeCell ref="AQ43:AQ46"/>
    <mergeCell ref="AR43:AR46"/>
    <mergeCell ref="AS43:AS46"/>
    <mergeCell ref="AT43:AT46"/>
    <mergeCell ref="AU43:AU46"/>
    <mergeCell ref="BA43:BA46"/>
    <mergeCell ref="BB43:BB46"/>
    <mergeCell ref="BC43:BC46"/>
    <mergeCell ref="BD43:BD46"/>
    <mergeCell ref="AY43:AY46"/>
    <mergeCell ref="AZ43:AZ46"/>
    <mergeCell ref="P6:P9"/>
    <mergeCell ref="P31:P34"/>
    <mergeCell ref="P35:P38"/>
    <mergeCell ref="P10:P13"/>
    <mergeCell ref="F54:G54"/>
    <mergeCell ref="Z6:Z9"/>
    <mergeCell ref="AA6:AA9"/>
    <mergeCell ref="P14:P17"/>
    <mergeCell ref="P18:P21"/>
    <mergeCell ref="P39:P42"/>
    <mergeCell ref="P22:P25"/>
    <mergeCell ref="P26:P29"/>
    <mergeCell ref="P43:P46"/>
    <mergeCell ref="W26:W29"/>
    <mergeCell ref="W39:W42"/>
    <mergeCell ref="W14:W17"/>
    <mergeCell ref="W35:W38"/>
    <mergeCell ref="W6:W9"/>
    <mergeCell ref="Z43:Z46"/>
    <mergeCell ref="AA43:AA46"/>
    <mergeCell ref="S22:S25"/>
    <mergeCell ref="U22:U25"/>
    <mergeCell ref="V22:V25"/>
    <mergeCell ref="W22:W25"/>
  </mergeCells>
  <hyperlinks>
    <hyperlink ref="B76" r:id="rId1" xr:uid="{912A3919-14EF-4A89-B57C-E2DAFBD78B1B}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D623B6-C259-48AA-9A1E-DD9FAE8570F5}">
  <dimension ref="B1:AR25"/>
  <sheetViews>
    <sheetView workbookViewId="0">
      <pane xSplit="2" ySplit="3" topLeftCell="C4" activePane="bottomRight" state="frozen"/>
      <selection pane="bottomRight" activeCell="L5" sqref="L5"/>
      <selection pane="bottomLeft" activeCell="A4" sqref="A4"/>
      <selection pane="topRight" activeCell="C1" sqref="C1"/>
    </sheetView>
  </sheetViews>
  <sheetFormatPr defaultRowHeight="15"/>
  <sheetData>
    <row r="1" spans="2:44" ht="15.75" thickBot="1"/>
    <row r="2" spans="2:44" ht="60.75" thickBot="1">
      <c r="B2" s="233"/>
      <c r="C2" s="234" t="s">
        <v>331</v>
      </c>
      <c r="D2" s="235"/>
      <c r="E2" s="234" t="s">
        <v>332</v>
      </c>
      <c r="F2" s="235"/>
      <c r="G2" s="234" t="s">
        <v>333</v>
      </c>
      <c r="H2" s="235"/>
      <c r="I2" s="234" t="s">
        <v>334</v>
      </c>
      <c r="J2" s="235"/>
      <c r="K2" s="234" t="s">
        <v>335</v>
      </c>
      <c r="L2" s="235"/>
      <c r="M2" s="234" t="s">
        <v>336</v>
      </c>
      <c r="N2" s="235"/>
      <c r="O2" s="234" t="s">
        <v>337</v>
      </c>
      <c r="P2" s="235"/>
      <c r="Q2" s="234" t="s">
        <v>338</v>
      </c>
      <c r="R2" s="235"/>
      <c r="S2" s="234" t="s">
        <v>339</v>
      </c>
      <c r="T2" s="235"/>
      <c r="U2" s="234" t="s">
        <v>340</v>
      </c>
      <c r="V2" s="235"/>
      <c r="W2" s="234" t="s">
        <v>341</v>
      </c>
      <c r="X2" s="235"/>
      <c r="Y2" s="234" t="s">
        <v>342</v>
      </c>
      <c r="Z2" s="235"/>
      <c r="AA2" s="234" t="s">
        <v>343</v>
      </c>
      <c r="AB2" s="235"/>
      <c r="AC2" s="236" t="s">
        <v>344</v>
      </c>
      <c r="AD2" s="235"/>
      <c r="AE2" s="236" t="s">
        <v>345</v>
      </c>
      <c r="AF2" s="235"/>
      <c r="AG2" s="237" t="s">
        <v>346</v>
      </c>
      <c r="AH2" s="235"/>
      <c r="AI2" s="236" t="s">
        <v>347</v>
      </c>
      <c r="AJ2" s="235"/>
      <c r="AK2" s="237" t="s">
        <v>348</v>
      </c>
      <c r="AL2" s="235"/>
      <c r="AM2" s="237" t="s">
        <v>169</v>
      </c>
      <c r="AN2" s="235"/>
      <c r="AO2" s="238" t="s">
        <v>349</v>
      </c>
      <c r="AP2" s="237"/>
      <c r="AQ2" s="238" t="s">
        <v>350</v>
      </c>
      <c r="AR2" s="237"/>
    </row>
    <row r="3" spans="2:44" ht="45.75">
      <c r="B3" s="239"/>
      <c r="C3" s="240" t="s">
        <v>351</v>
      </c>
      <c r="D3" s="240" t="s">
        <v>352</v>
      </c>
      <c r="E3" s="240" t="s">
        <v>351</v>
      </c>
      <c r="F3" s="240" t="s">
        <v>352</v>
      </c>
      <c r="G3" s="240" t="s">
        <v>351</v>
      </c>
      <c r="H3" s="240" t="s">
        <v>352</v>
      </c>
      <c r="I3" s="240" t="s">
        <v>351</v>
      </c>
      <c r="J3" s="240" t="s">
        <v>352</v>
      </c>
      <c r="K3" s="240" t="s">
        <v>351</v>
      </c>
      <c r="L3" s="240" t="s">
        <v>352</v>
      </c>
      <c r="M3" s="240" t="s">
        <v>351</v>
      </c>
      <c r="N3" s="240" t="s">
        <v>352</v>
      </c>
      <c r="O3" s="240" t="s">
        <v>351</v>
      </c>
      <c r="P3" s="240" t="s">
        <v>352</v>
      </c>
      <c r="Q3" s="240" t="s">
        <v>351</v>
      </c>
      <c r="R3" s="240" t="s">
        <v>352</v>
      </c>
      <c r="S3" s="240" t="s">
        <v>351</v>
      </c>
      <c r="T3" s="240" t="s">
        <v>352</v>
      </c>
      <c r="U3" s="240" t="s">
        <v>351</v>
      </c>
      <c r="V3" s="240" t="s">
        <v>352</v>
      </c>
      <c r="W3" s="240" t="s">
        <v>351</v>
      </c>
      <c r="X3" s="240" t="s">
        <v>352</v>
      </c>
      <c r="Y3" s="240" t="s">
        <v>351</v>
      </c>
      <c r="Z3" s="240" t="s">
        <v>352</v>
      </c>
      <c r="AA3" s="240" t="s">
        <v>351</v>
      </c>
      <c r="AB3" s="240" t="s">
        <v>352</v>
      </c>
      <c r="AC3" s="240" t="s">
        <v>351</v>
      </c>
      <c r="AD3" s="240" t="s">
        <v>352</v>
      </c>
      <c r="AE3" s="240" t="s">
        <v>351</v>
      </c>
      <c r="AF3" s="240" t="s">
        <v>352</v>
      </c>
      <c r="AG3" s="240" t="s">
        <v>351</v>
      </c>
      <c r="AH3" s="240" t="s">
        <v>352</v>
      </c>
      <c r="AI3" s="240" t="s">
        <v>351</v>
      </c>
      <c r="AJ3" s="240" t="s">
        <v>352</v>
      </c>
      <c r="AK3" s="240" t="s">
        <v>351</v>
      </c>
      <c r="AL3" s="240" t="s">
        <v>352</v>
      </c>
      <c r="AM3" s="240" t="s">
        <v>351</v>
      </c>
      <c r="AN3" s="240" t="s">
        <v>352</v>
      </c>
      <c r="AO3" s="240" t="s">
        <v>351</v>
      </c>
      <c r="AP3" s="240" t="s">
        <v>352</v>
      </c>
      <c r="AQ3" s="240" t="s">
        <v>351</v>
      </c>
      <c r="AR3" s="240" t="s">
        <v>352</v>
      </c>
    </row>
    <row r="4" spans="2:44" ht="60.75">
      <c r="B4" s="239" t="s">
        <v>353</v>
      </c>
      <c r="C4" s="241">
        <v>11042.11</v>
      </c>
      <c r="D4" s="242">
        <v>1</v>
      </c>
      <c r="E4" s="241">
        <v>12843.68</v>
      </c>
      <c r="F4" s="242">
        <v>1</v>
      </c>
      <c r="G4" s="241">
        <v>12356.36</v>
      </c>
      <c r="H4" s="242">
        <v>1</v>
      </c>
      <c r="I4" s="241">
        <v>10660.34</v>
      </c>
      <c r="J4" s="242">
        <v>1</v>
      </c>
      <c r="K4" s="241">
        <v>11551.74</v>
      </c>
      <c r="L4" s="242">
        <v>1</v>
      </c>
      <c r="M4" s="241">
        <v>15549.91</v>
      </c>
      <c r="N4" s="242">
        <v>1</v>
      </c>
      <c r="O4" s="241">
        <v>4831.12</v>
      </c>
      <c r="P4" s="242">
        <v>1</v>
      </c>
      <c r="Q4" s="241">
        <v>15725.13</v>
      </c>
      <c r="R4" s="242">
        <v>1</v>
      </c>
      <c r="S4" s="241">
        <v>4214.09</v>
      </c>
      <c r="T4" s="242">
        <v>1</v>
      </c>
      <c r="U4" s="241">
        <v>7576.01</v>
      </c>
      <c r="V4" s="242">
        <v>1</v>
      </c>
      <c r="W4" s="241">
        <v>9090.98</v>
      </c>
      <c r="X4" s="242">
        <v>1</v>
      </c>
      <c r="Y4" s="241">
        <v>4604.46</v>
      </c>
      <c r="Z4" s="242">
        <v>1</v>
      </c>
      <c r="AA4" s="243">
        <v>0</v>
      </c>
      <c r="AB4" s="242">
        <v>0</v>
      </c>
      <c r="AC4" s="241">
        <v>2477.25</v>
      </c>
      <c r="AD4" s="242">
        <v>1</v>
      </c>
      <c r="AE4" s="241">
        <v>3290.63</v>
      </c>
      <c r="AF4" s="242">
        <v>1</v>
      </c>
      <c r="AG4" s="241">
        <v>1425.25</v>
      </c>
      <c r="AH4" s="242">
        <v>1</v>
      </c>
      <c r="AI4" s="241">
        <v>2865.04</v>
      </c>
      <c r="AJ4" s="242">
        <v>1</v>
      </c>
      <c r="AK4" s="243">
        <v>697.54</v>
      </c>
      <c r="AL4" s="242">
        <v>1</v>
      </c>
      <c r="AM4" s="241">
        <v>1804.28</v>
      </c>
      <c r="AN4" s="242">
        <v>1</v>
      </c>
      <c r="AO4" s="243">
        <v>923.12</v>
      </c>
      <c r="AP4" s="242">
        <v>1</v>
      </c>
      <c r="AQ4" s="243">
        <v>250</v>
      </c>
      <c r="AR4" s="242">
        <v>1</v>
      </c>
    </row>
    <row r="5" spans="2:44">
      <c r="B5" s="239" t="s">
        <v>278</v>
      </c>
      <c r="C5" s="241">
        <v>4110.57</v>
      </c>
      <c r="D5" s="242">
        <v>0.37230000000000002</v>
      </c>
      <c r="E5" s="243">
        <v>328.58</v>
      </c>
      <c r="F5" s="242">
        <v>2.5600000000000001E-2</v>
      </c>
      <c r="G5" s="241">
        <v>1155.81</v>
      </c>
      <c r="H5" s="242">
        <v>9.35E-2</v>
      </c>
      <c r="I5" s="241">
        <v>7685.34</v>
      </c>
      <c r="J5" s="242">
        <v>0.72089999999999999</v>
      </c>
      <c r="K5" s="240">
        <v>273.74</v>
      </c>
      <c r="L5" s="242">
        <v>2.3699999999999999E-2</v>
      </c>
      <c r="M5" s="241">
        <v>6449.95</v>
      </c>
      <c r="N5" s="242">
        <v>0.4148</v>
      </c>
      <c r="O5" s="240"/>
      <c r="P5" s="242">
        <v>0</v>
      </c>
      <c r="Q5" s="243">
        <v>431.3</v>
      </c>
      <c r="R5" s="242">
        <v>2.7400000000000001E-2</v>
      </c>
      <c r="S5" s="240"/>
      <c r="T5" s="242">
        <v>0</v>
      </c>
      <c r="U5" s="240"/>
      <c r="V5" s="242">
        <v>0</v>
      </c>
      <c r="W5" s="241">
        <v>9090.98</v>
      </c>
      <c r="X5" s="242">
        <v>1</v>
      </c>
      <c r="Y5" s="241">
        <v>1506.23</v>
      </c>
      <c r="Z5" s="242">
        <v>0.3271</v>
      </c>
      <c r="AA5" s="240"/>
      <c r="AB5" s="242">
        <v>0</v>
      </c>
      <c r="AC5" s="240"/>
      <c r="AD5" s="242">
        <v>0</v>
      </c>
      <c r="AE5" s="240"/>
      <c r="AF5" s="242">
        <v>0</v>
      </c>
      <c r="AG5" s="243">
        <v>1425.25</v>
      </c>
      <c r="AH5" s="242">
        <v>1</v>
      </c>
      <c r="AI5" s="240"/>
      <c r="AJ5" s="242">
        <v>0</v>
      </c>
      <c r="AK5" s="243">
        <v>697.54</v>
      </c>
      <c r="AL5" s="242">
        <v>1</v>
      </c>
      <c r="AM5" s="243">
        <v>392.79</v>
      </c>
      <c r="AN5" s="242">
        <v>0.2177</v>
      </c>
      <c r="AO5" s="243">
        <v>923.12</v>
      </c>
      <c r="AP5" s="242">
        <v>1</v>
      </c>
      <c r="AQ5" s="243">
        <v>250</v>
      </c>
      <c r="AR5" s="242">
        <v>1</v>
      </c>
    </row>
    <row r="6" spans="2:44">
      <c r="B6" s="239" t="s">
        <v>280</v>
      </c>
      <c r="C6" s="240"/>
      <c r="D6" s="242">
        <v>0</v>
      </c>
      <c r="E6" s="240"/>
      <c r="F6" s="242">
        <v>0</v>
      </c>
      <c r="G6" s="241">
        <v>8897.5400000000009</v>
      </c>
      <c r="H6" s="242">
        <v>0.72019999999999995</v>
      </c>
      <c r="I6" s="240"/>
      <c r="J6" s="242">
        <v>0</v>
      </c>
      <c r="K6" s="240"/>
      <c r="L6" s="242">
        <v>0</v>
      </c>
      <c r="M6" s="240"/>
      <c r="N6" s="242">
        <v>0</v>
      </c>
      <c r="O6" s="240"/>
      <c r="P6" s="242">
        <v>0</v>
      </c>
      <c r="Q6" s="240"/>
      <c r="R6" s="242">
        <v>0</v>
      </c>
      <c r="S6" s="240"/>
      <c r="T6" s="242">
        <v>0</v>
      </c>
      <c r="U6" s="240"/>
      <c r="V6" s="242">
        <v>0</v>
      </c>
      <c r="W6" s="240"/>
      <c r="X6" s="242">
        <v>0</v>
      </c>
      <c r="Y6" s="240"/>
      <c r="Z6" s="242">
        <v>0</v>
      </c>
      <c r="AA6" s="240"/>
      <c r="AB6" s="242">
        <v>0</v>
      </c>
      <c r="AC6" s="240"/>
      <c r="AD6" s="242">
        <v>0</v>
      </c>
      <c r="AE6" s="240"/>
      <c r="AF6" s="242">
        <v>0</v>
      </c>
      <c r="AG6" s="240"/>
      <c r="AH6" s="242">
        <v>0</v>
      </c>
      <c r="AI6" s="240"/>
      <c r="AJ6" s="242">
        <v>0</v>
      </c>
      <c r="AK6" s="240"/>
      <c r="AL6" s="242">
        <v>0</v>
      </c>
      <c r="AM6" s="240"/>
      <c r="AN6" s="242">
        <v>0</v>
      </c>
      <c r="AO6" s="240"/>
      <c r="AP6" s="242">
        <v>0</v>
      </c>
      <c r="AQ6" s="240"/>
      <c r="AR6" s="242">
        <v>0</v>
      </c>
    </row>
    <row r="7" spans="2:44">
      <c r="B7" s="239" t="s">
        <v>281</v>
      </c>
      <c r="C7" s="240"/>
      <c r="D7" s="242">
        <v>0</v>
      </c>
      <c r="E7" s="240"/>
      <c r="F7" s="242">
        <v>0</v>
      </c>
      <c r="G7" s="241">
        <v>2073.83</v>
      </c>
      <c r="H7" s="242">
        <v>0.1678</v>
      </c>
      <c r="I7" s="240"/>
      <c r="J7" s="242">
        <v>0</v>
      </c>
      <c r="K7" s="240"/>
      <c r="L7" s="242">
        <v>0</v>
      </c>
      <c r="M7" s="240"/>
      <c r="N7" s="242">
        <v>0</v>
      </c>
      <c r="O7" s="240"/>
      <c r="P7" s="242">
        <v>0</v>
      </c>
      <c r="Q7" s="240"/>
      <c r="R7" s="242">
        <v>0</v>
      </c>
      <c r="S7" s="240"/>
      <c r="T7" s="242">
        <v>0</v>
      </c>
      <c r="U7" s="240"/>
      <c r="V7" s="242">
        <v>0</v>
      </c>
      <c r="W7" s="240"/>
      <c r="X7" s="242">
        <v>0</v>
      </c>
      <c r="Y7" s="240"/>
      <c r="Z7" s="242">
        <v>0</v>
      </c>
      <c r="AA7" s="240"/>
      <c r="AB7" s="242">
        <v>0</v>
      </c>
      <c r="AC7" s="240"/>
      <c r="AD7" s="242">
        <v>0</v>
      </c>
      <c r="AE7" s="240"/>
      <c r="AF7" s="242">
        <v>0</v>
      </c>
      <c r="AG7" s="240"/>
      <c r="AH7" s="242">
        <v>0</v>
      </c>
      <c r="AI7" s="240"/>
      <c r="AJ7" s="242">
        <v>0</v>
      </c>
      <c r="AK7" s="240"/>
      <c r="AL7" s="242">
        <v>0</v>
      </c>
      <c r="AM7" s="240"/>
      <c r="AN7" s="242">
        <v>0</v>
      </c>
      <c r="AO7" s="240"/>
      <c r="AP7" s="242">
        <v>0</v>
      </c>
      <c r="AQ7" s="240"/>
      <c r="AR7" s="242">
        <v>0</v>
      </c>
    </row>
    <row r="8" spans="2:44">
      <c r="B8" s="239" t="s">
        <v>284</v>
      </c>
      <c r="C8" s="240"/>
      <c r="D8" s="242">
        <v>0</v>
      </c>
      <c r="E8" s="240"/>
      <c r="F8" s="242">
        <v>0</v>
      </c>
      <c r="G8" s="240"/>
      <c r="H8" s="242">
        <v>0</v>
      </c>
      <c r="I8" s="240"/>
      <c r="J8" s="242">
        <v>0</v>
      </c>
      <c r="K8" s="241">
        <v>7182.07</v>
      </c>
      <c r="L8" s="242">
        <v>0.62180000000000002</v>
      </c>
      <c r="M8" s="243">
        <v>310.79000000000002</v>
      </c>
      <c r="N8" s="242">
        <v>0.02</v>
      </c>
      <c r="O8" s="240"/>
      <c r="P8" s="242">
        <v>0</v>
      </c>
      <c r="Q8" s="241">
        <v>7923.92</v>
      </c>
      <c r="R8" s="242">
        <v>0.50390000000000001</v>
      </c>
      <c r="S8" s="243">
        <v>915.7</v>
      </c>
      <c r="T8" s="242">
        <v>0.21729999999999999</v>
      </c>
      <c r="U8" s="241">
        <v>1975.31</v>
      </c>
      <c r="V8" s="242">
        <v>0.26069999999999999</v>
      </c>
      <c r="W8" s="240"/>
      <c r="X8" s="242">
        <v>0</v>
      </c>
      <c r="Y8" s="240"/>
      <c r="Z8" s="242">
        <v>0</v>
      </c>
      <c r="AA8" s="240"/>
      <c r="AB8" s="242">
        <v>0</v>
      </c>
      <c r="AC8" s="240"/>
      <c r="AD8" s="242">
        <v>0</v>
      </c>
      <c r="AE8" s="243">
        <v>3290.63</v>
      </c>
      <c r="AF8" s="242">
        <v>1</v>
      </c>
      <c r="AG8" s="240"/>
      <c r="AH8" s="242">
        <v>0</v>
      </c>
      <c r="AI8" s="240"/>
      <c r="AJ8" s="242">
        <v>0</v>
      </c>
      <c r="AK8" s="240"/>
      <c r="AL8" s="242">
        <v>0</v>
      </c>
      <c r="AM8" s="240"/>
      <c r="AN8" s="242">
        <v>0</v>
      </c>
      <c r="AO8" s="240"/>
      <c r="AP8" s="242">
        <v>0</v>
      </c>
      <c r="AQ8" s="240"/>
      <c r="AR8" s="242">
        <v>0</v>
      </c>
    </row>
    <row r="9" spans="2:44">
      <c r="B9" s="239" t="s">
        <v>285</v>
      </c>
      <c r="C9" s="240"/>
      <c r="D9" s="242">
        <v>0</v>
      </c>
      <c r="E9" s="240"/>
      <c r="F9" s="242">
        <v>0</v>
      </c>
      <c r="G9" s="240"/>
      <c r="H9" s="242">
        <v>0</v>
      </c>
      <c r="I9" s="240"/>
      <c r="J9" s="242">
        <v>0</v>
      </c>
      <c r="K9" s="241">
        <v>2845.73</v>
      </c>
      <c r="L9" s="242">
        <v>0.24629999999999999</v>
      </c>
      <c r="M9" s="240"/>
      <c r="N9" s="242">
        <v>0</v>
      </c>
      <c r="O9" s="241">
        <v>4831.12</v>
      </c>
      <c r="P9" s="242">
        <v>1</v>
      </c>
      <c r="Q9" s="241">
        <v>7369.91</v>
      </c>
      <c r="R9" s="242">
        <v>0.46870000000000001</v>
      </c>
      <c r="S9" s="240"/>
      <c r="T9" s="242">
        <v>0</v>
      </c>
      <c r="U9" s="241">
        <v>4023.94</v>
      </c>
      <c r="V9" s="242">
        <v>0.53120000000000001</v>
      </c>
      <c r="W9" s="240"/>
      <c r="X9" s="242">
        <v>0</v>
      </c>
      <c r="Y9" s="240"/>
      <c r="Z9" s="242">
        <v>0</v>
      </c>
      <c r="AA9" s="240"/>
      <c r="AB9" s="242">
        <v>0</v>
      </c>
      <c r="AC9" s="241">
        <v>2477.25</v>
      </c>
      <c r="AD9" s="242">
        <v>1</v>
      </c>
      <c r="AE9" s="240"/>
      <c r="AF9" s="242">
        <v>0</v>
      </c>
      <c r="AG9" s="240"/>
      <c r="AH9" s="242">
        <v>0</v>
      </c>
      <c r="AI9" s="240"/>
      <c r="AJ9" s="242">
        <v>0</v>
      </c>
      <c r="AK9" s="240"/>
      <c r="AL9" s="242">
        <v>0</v>
      </c>
      <c r="AM9" s="240"/>
      <c r="AN9" s="242">
        <v>0</v>
      </c>
      <c r="AO9" s="240"/>
      <c r="AP9" s="242">
        <v>0</v>
      </c>
      <c r="AQ9" s="240"/>
      <c r="AR9" s="242">
        <v>0</v>
      </c>
    </row>
    <row r="10" spans="2:44">
      <c r="B10" s="239" t="s">
        <v>286</v>
      </c>
      <c r="C10" s="240"/>
      <c r="D10" s="242">
        <v>0</v>
      </c>
      <c r="E10" s="240"/>
      <c r="F10" s="242">
        <v>0</v>
      </c>
      <c r="G10" s="240"/>
      <c r="H10" s="242">
        <v>0</v>
      </c>
      <c r="I10" s="240"/>
      <c r="J10" s="242">
        <v>0</v>
      </c>
      <c r="K10" s="241">
        <v>1250.2</v>
      </c>
      <c r="L10" s="242">
        <v>0.1082</v>
      </c>
      <c r="M10" s="240"/>
      <c r="N10" s="242">
        <v>0</v>
      </c>
      <c r="O10" s="240"/>
      <c r="P10" s="242">
        <v>0</v>
      </c>
      <c r="Q10" s="240"/>
      <c r="R10" s="242">
        <v>0</v>
      </c>
      <c r="S10" s="240"/>
      <c r="T10" s="242">
        <v>0</v>
      </c>
      <c r="U10" s="240"/>
      <c r="V10" s="242">
        <v>0</v>
      </c>
      <c r="W10" s="240"/>
      <c r="X10" s="242">
        <v>0</v>
      </c>
      <c r="Y10" s="240"/>
      <c r="Z10" s="242">
        <v>0</v>
      </c>
      <c r="AA10" s="240"/>
      <c r="AB10" s="242">
        <v>0</v>
      </c>
      <c r="AC10" s="240"/>
      <c r="AD10" s="242">
        <v>0</v>
      </c>
      <c r="AE10" s="240"/>
      <c r="AF10" s="242">
        <v>0</v>
      </c>
      <c r="AG10" s="240"/>
      <c r="AH10" s="242">
        <v>0</v>
      </c>
      <c r="AI10" s="240"/>
      <c r="AJ10" s="242">
        <v>0</v>
      </c>
      <c r="AK10" s="240"/>
      <c r="AL10" s="242">
        <v>0</v>
      </c>
      <c r="AM10" s="243">
        <v>640.70000000000005</v>
      </c>
      <c r="AN10" s="244">
        <v>0.35510000000000003</v>
      </c>
      <c r="AO10" s="243">
        <v>0</v>
      </c>
      <c r="AP10" s="244">
        <v>0</v>
      </c>
      <c r="AQ10" s="243">
        <v>0</v>
      </c>
      <c r="AR10" s="245">
        <v>0</v>
      </c>
    </row>
    <row r="11" spans="2:44">
      <c r="B11" s="239" t="s">
        <v>287</v>
      </c>
      <c r="C11" s="240"/>
      <c r="D11" s="242">
        <v>0</v>
      </c>
      <c r="E11" s="240"/>
      <c r="F11" s="242">
        <v>0</v>
      </c>
      <c r="G11" s="240"/>
      <c r="H11" s="242">
        <v>0</v>
      </c>
      <c r="I11" s="240"/>
      <c r="J11" s="242">
        <v>0</v>
      </c>
      <c r="K11" s="240"/>
      <c r="L11" s="242">
        <v>0</v>
      </c>
      <c r="M11" s="240"/>
      <c r="N11" s="242">
        <v>0</v>
      </c>
      <c r="O11" s="240"/>
      <c r="P11" s="242">
        <v>0</v>
      </c>
      <c r="Q11" s="240"/>
      <c r="R11" s="242">
        <v>0</v>
      </c>
      <c r="S11" s="241">
        <v>3298.39</v>
      </c>
      <c r="T11" s="242">
        <v>0.78269999999999995</v>
      </c>
      <c r="U11" s="241">
        <v>1576.76</v>
      </c>
      <c r="V11" s="242">
        <v>0.20810000000000001</v>
      </c>
      <c r="W11" s="240"/>
      <c r="X11" s="242">
        <v>0</v>
      </c>
      <c r="Y11" s="240"/>
      <c r="Z11" s="242">
        <v>0</v>
      </c>
      <c r="AA11" s="240"/>
      <c r="AB11" s="242">
        <v>0</v>
      </c>
      <c r="AC11" s="240"/>
      <c r="AD11" s="242">
        <v>0</v>
      </c>
      <c r="AE11" s="240"/>
      <c r="AF11" s="242">
        <v>0</v>
      </c>
      <c r="AG11" s="240"/>
      <c r="AH11" s="242">
        <v>0</v>
      </c>
      <c r="AI11" s="240"/>
      <c r="AJ11" s="242">
        <v>0</v>
      </c>
      <c r="AK11" s="240"/>
      <c r="AL11" s="242">
        <v>0</v>
      </c>
      <c r="AM11" s="243">
        <v>770.79</v>
      </c>
      <c r="AN11" s="246">
        <v>0.42720000000000002</v>
      </c>
      <c r="AO11" s="243">
        <v>0</v>
      </c>
      <c r="AP11" s="246">
        <v>0</v>
      </c>
      <c r="AQ11" s="243">
        <v>0</v>
      </c>
      <c r="AR11" s="247">
        <v>0</v>
      </c>
    </row>
    <row r="12" spans="2:44">
      <c r="B12" s="239" t="s">
        <v>279</v>
      </c>
      <c r="C12" s="240"/>
      <c r="D12" s="242">
        <v>0</v>
      </c>
      <c r="E12" s="240"/>
      <c r="F12" s="242">
        <v>0</v>
      </c>
      <c r="G12" s="240"/>
      <c r="H12" s="242">
        <v>0</v>
      </c>
      <c r="I12" s="241">
        <v>2975</v>
      </c>
      <c r="J12" s="242">
        <v>0.27910000000000001</v>
      </c>
      <c r="K12" s="240"/>
      <c r="L12" s="242">
        <v>0</v>
      </c>
      <c r="M12" s="240"/>
      <c r="N12" s="242">
        <v>0</v>
      </c>
      <c r="O12" s="240"/>
      <c r="P12" s="242">
        <v>0</v>
      </c>
      <c r="Q12" s="240"/>
      <c r="R12" s="242">
        <v>0</v>
      </c>
      <c r="S12" s="240"/>
      <c r="T12" s="242">
        <v>0</v>
      </c>
      <c r="U12" s="240"/>
      <c r="V12" s="242">
        <v>0</v>
      </c>
      <c r="W12" s="240"/>
      <c r="X12" s="242">
        <v>0</v>
      </c>
      <c r="Y12" s="241">
        <v>3098.23</v>
      </c>
      <c r="Z12" s="242">
        <v>0.67290000000000005</v>
      </c>
      <c r="AA12" s="240"/>
      <c r="AB12" s="242">
        <v>0</v>
      </c>
      <c r="AC12" s="240"/>
      <c r="AD12" s="242">
        <v>0</v>
      </c>
      <c r="AE12" s="240"/>
      <c r="AF12" s="242">
        <v>0</v>
      </c>
      <c r="AG12" s="240"/>
      <c r="AH12" s="242">
        <v>0</v>
      </c>
      <c r="AI12" s="240"/>
      <c r="AJ12" s="242">
        <v>0</v>
      </c>
      <c r="AK12" s="240"/>
      <c r="AL12" s="242">
        <v>0</v>
      </c>
      <c r="AM12" s="240"/>
      <c r="AN12" s="242">
        <v>0</v>
      </c>
      <c r="AO12" s="240"/>
      <c r="AP12" s="242">
        <v>0</v>
      </c>
      <c r="AQ12" s="240"/>
      <c r="AR12" s="242">
        <v>0</v>
      </c>
    </row>
    <row r="13" spans="2:44">
      <c r="B13" s="239" t="s">
        <v>273</v>
      </c>
      <c r="C13" s="241">
        <v>1225.96</v>
      </c>
      <c r="D13" s="242">
        <v>0.111</v>
      </c>
      <c r="E13" s="240"/>
      <c r="F13" s="242">
        <v>0</v>
      </c>
      <c r="G13" s="240"/>
      <c r="H13" s="242">
        <v>0</v>
      </c>
      <c r="I13" s="240"/>
      <c r="J13" s="242">
        <v>0</v>
      </c>
      <c r="K13" s="240"/>
      <c r="L13" s="242">
        <v>0</v>
      </c>
      <c r="M13" s="240"/>
      <c r="N13" s="242">
        <v>0</v>
      </c>
      <c r="O13" s="240"/>
      <c r="P13" s="242">
        <v>0</v>
      </c>
      <c r="Q13" s="240"/>
      <c r="R13" s="242">
        <v>0</v>
      </c>
      <c r="S13" s="240"/>
      <c r="T13" s="242">
        <v>0</v>
      </c>
      <c r="U13" s="240"/>
      <c r="V13" s="242">
        <v>0</v>
      </c>
      <c r="W13" s="240"/>
      <c r="X13" s="242">
        <v>0</v>
      </c>
      <c r="Y13" s="240"/>
      <c r="Z13" s="242">
        <v>0</v>
      </c>
      <c r="AA13" s="240"/>
      <c r="AB13" s="242">
        <v>0</v>
      </c>
      <c r="AC13" s="240"/>
      <c r="AD13" s="242">
        <v>0</v>
      </c>
      <c r="AE13" s="240"/>
      <c r="AF13" s="242">
        <v>0</v>
      </c>
      <c r="AG13" s="240"/>
      <c r="AH13" s="242">
        <v>0</v>
      </c>
      <c r="AI13" s="240"/>
      <c r="AJ13" s="242">
        <v>0</v>
      </c>
      <c r="AK13" s="240"/>
      <c r="AL13" s="242">
        <v>0</v>
      </c>
      <c r="AM13" s="240"/>
      <c r="AN13" s="242">
        <v>0</v>
      </c>
      <c r="AO13" s="240"/>
      <c r="AP13" s="242">
        <v>0</v>
      </c>
      <c r="AQ13" s="240"/>
      <c r="AR13" s="242">
        <v>0</v>
      </c>
    </row>
    <row r="14" spans="2:44">
      <c r="B14" s="239" t="s">
        <v>274</v>
      </c>
      <c r="C14" s="241">
        <v>1174.97</v>
      </c>
      <c r="D14" s="242">
        <v>0.10639999999999999</v>
      </c>
      <c r="E14" s="240"/>
      <c r="F14" s="242">
        <v>0</v>
      </c>
      <c r="G14" s="240"/>
      <c r="H14" s="242">
        <v>0</v>
      </c>
      <c r="I14" s="240"/>
      <c r="J14" s="242">
        <v>0</v>
      </c>
      <c r="K14" s="240"/>
      <c r="L14" s="242">
        <v>0</v>
      </c>
      <c r="M14" s="240"/>
      <c r="N14" s="242">
        <v>0</v>
      </c>
      <c r="O14" s="240"/>
      <c r="P14" s="242">
        <v>0</v>
      </c>
      <c r="Q14" s="240"/>
      <c r="R14" s="242">
        <v>0</v>
      </c>
      <c r="S14" s="240"/>
      <c r="T14" s="242">
        <v>0</v>
      </c>
      <c r="U14" s="240"/>
      <c r="V14" s="242">
        <v>0</v>
      </c>
      <c r="W14" s="240"/>
      <c r="X14" s="242">
        <v>0</v>
      </c>
      <c r="Y14" s="240"/>
      <c r="Z14" s="242">
        <v>0</v>
      </c>
      <c r="AA14" s="240"/>
      <c r="AB14" s="242">
        <v>0</v>
      </c>
      <c r="AC14" s="240"/>
      <c r="AD14" s="242">
        <v>0</v>
      </c>
      <c r="AE14" s="240"/>
      <c r="AF14" s="242">
        <v>0</v>
      </c>
      <c r="AG14" s="240"/>
      <c r="AH14" s="242">
        <v>0</v>
      </c>
      <c r="AI14" s="240"/>
      <c r="AJ14" s="242">
        <v>0</v>
      </c>
      <c r="AK14" s="240"/>
      <c r="AL14" s="242">
        <v>0</v>
      </c>
      <c r="AM14" s="240"/>
      <c r="AN14" s="242">
        <v>0</v>
      </c>
      <c r="AO14" s="240"/>
      <c r="AP14" s="242">
        <v>0</v>
      </c>
      <c r="AQ14" s="240"/>
      <c r="AR14" s="242">
        <v>0</v>
      </c>
    </row>
    <row r="15" spans="2:44">
      <c r="B15" s="239" t="s">
        <v>275</v>
      </c>
      <c r="C15" s="241">
        <v>1110.74</v>
      </c>
      <c r="D15" s="242">
        <v>0.10059999999999999</v>
      </c>
      <c r="E15" s="240"/>
      <c r="F15" s="242">
        <v>0</v>
      </c>
      <c r="G15" s="240"/>
      <c r="H15" s="242">
        <v>0</v>
      </c>
      <c r="I15" s="240"/>
      <c r="J15" s="242">
        <v>0</v>
      </c>
      <c r="K15" s="240"/>
      <c r="L15" s="242">
        <v>0</v>
      </c>
      <c r="M15" s="243">
        <v>646.54999999999995</v>
      </c>
      <c r="N15" s="242">
        <v>4.1599999999999998E-2</v>
      </c>
      <c r="O15" s="240"/>
      <c r="P15" s="242">
        <v>0</v>
      </c>
      <c r="Q15" s="240"/>
      <c r="R15" s="242">
        <v>0</v>
      </c>
      <c r="S15" s="240"/>
      <c r="T15" s="242">
        <v>0</v>
      </c>
      <c r="U15" s="240"/>
      <c r="V15" s="242">
        <v>0</v>
      </c>
      <c r="W15" s="240"/>
      <c r="X15" s="242">
        <v>0</v>
      </c>
      <c r="Y15" s="240"/>
      <c r="Z15" s="242">
        <v>0</v>
      </c>
      <c r="AA15" s="240"/>
      <c r="AB15" s="242">
        <v>0</v>
      </c>
      <c r="AC15" s="240"/>
      <c r="AD15" s="242">
        <v>0</v>
      </c>
      <c r="AE15" s="240"/>
      <c r="AF15" s="242">
        <v>0</v>
      </c>
      <c r="AG15" s="240"/>
      <c r="AH15" s="242">
        <v>0</v>
      </c>
      <c r="AI15" s="240"/>
      <c r="AJ15" s="242">
        <v>0</v>
      </c>
      <c r="AK15" s="240"/>
      <c r="AL15" s="242">
        <v>0</v>
      </c>
      <c r="AM15" s="240"/>
      <c r="AN15" s="242">
        <v>0</v>
      </c>
      <c r="AO15" s="240"/>
      <c r="AP15" s="242">
        <v>0</v>
      </c>
      <c r="AQ15" s="240"/>
      <c r="AR15" s="242">
        <v>0</v>
      </c>
    </row>
    <row r="16" spans="2:44">
      <c r="B16" s="239" t="s">
        <v>276</v>
      </c>
      <c r="C16" s="241">
        <v>1642.74</v>
      </c>
      <c r="D16" s="242">
        <v>0.14879999999999999</v>
      </c>
      <c r="E16" s="240"/>
      <c r="F16" s="242">
        <v>0</v>
      </c>
      <c r="G16" s="240"/>
      <c r="H16" s="242">
        <v>0</v>
      </c>
      <c r="I16" s="240"/>
      <c r="J16" s="242">
        <v>0</v>
      </c>
      <c r="K16" s="240"/>
      <c r="L16" s="242">
        <v>0</v>
      </c>
      <c r="M16" s="240"/>
      <c r="N16" s="242">
        <v>0</v>
      </c>
      <c r="O16" s="240"/>
      <c r="P16" s="242">
        <v>0</v>
      </c>
      <c r="Q16" s="240"/>
      <c r="R16" s="242">
        <v>0</v>
      </c>
      <c r="S16" s="240"/>
      <c r="T16" s="242">
        <v>0</v>
      </c>
      <c r="U16" s="240"/>
      <c r="V16" s="242">
        <v>0</v>
      </c>
      <c r="W16" s="240"/>
      <c r="X16" s="242">
        <v>0</v>
      </c>
      <c r="Y16" s="240"/>
      <c r="Z16" s="242">
        <v>0</v>
      </c>
      <c r="AA16" s="240"/>
      <c r="AB16" s="242">
        <v>0</v>
      </c>
      <c r="AC16" s="240"/>
      <c r="AD16" s="242">
        <v>0</v>
      </c>
      <c r="AE16" s="240"/>
      <c r="AF16" s="242">
        <v>0</v>
      </c>
      <c r="AG16" s="240"/>
      <c r="AH16" s="242">
        <v>0</v>
      </c>
      <c r="AI16" s="240"/>
      <c r="AJ16" s="242">
        <v>0</v>
      </c>
      <c r="AK16" s="240"/>
      <c r="AL16" s="242">
        <v>0</v>
      </c>
      <c r="AM16" s="240"/>
      <c r="AN16" s="242">
        <v>0</v>
      </c>
      <c r="AO16" s="240"/>
      <c r="AP16" s="242">
        <v>0</v>
      </c>
      <c r="AQ16" s="240"/>
      <c r="AR16" s="242">
        <v>0</v>
      </c>
    </row>
    <row r="17" spans="2:44">
      <c r="B17" s="239" t="s">
        <v>277</v>
      </c>
      <c r="C17" s="241">
        <v>1777.13</v>
      </c>
      <c r="D17" s="242">
        <v>0.16089999999999999</v>
      </c>
      <c r="E17" s="240"/>
      <c r="F17" s="242">
        <v>0</v>
      </c>
      <c r="G17" s="240"/>
      <c r="H17" s="242">
        <v>0</v>
      </c>
      <c r="I17" s="240"/>
      <c r="J17" s="242">
        <v>0</v>
      </c>
      <c r="K17" s="240"/>
      <c r="L17" s="242">
        <v>0</v>
      </c>
      <c r="M17" s="240"/>
      <c r="N17" s="242">
        <v>0</v>
      </c>
      <c r="O17" s="240"/>
      <c r="P17" s="242">
        <v>0</v>
      </c>
      <c r="Q17" s="240"/>
      <c r="R17" s="242">
        <v>0</v>
      </c>
      <c r="S17" s="240"/>
      <c r="T17" s="242">
        <v>0</v>
      </c>
      <c r="U17" s="240"/>
      <c r="V17" s="242">
        <v>0</v>
      </c>
      <c r="W17" s="240"/>
      <c r="X17" s="242">
        <v>0</v>
      </c>
      <c r="Y17" s="240"/>
      <c r="Z17" s="242">
        <v>0</v>
      </c>
      <c r="AA17" s="240"/>
      <c r="AB17" s="242">
        <v>0</v>
      </c>
      <c r="AC17" s="240"/>
      <c r="AD17" s="242">
        <v>0</v>
      </c>
      <c r="AE17" s="240"/>
      <c r="AF17" s="242">
        <v>0</v>
      </c>
      <c r="AG17" s="240"/>
      <c r="AH17" s="242">
        <v>0</v>
      </c>
      <c r="AI17" s="240"/>
      <c r="AJ17" s="242">
        <v>0</v>
      </c>
      <c r="AK17" s="240"/>
      <c r="AL17" s="242">
        <v>0</v>
      </c>
      <c r="AM17" s="240"/>
      <c r="AN17" s="242">
        <v>0</v>
      </c>
      <c r="AO17" s="240"/>
      <c r="AP17" s="242">
        <v>0</v>
      </c>
      <c r="AQ17" s="240"/>
      <c r="AR17" s="242">
        <v>0</v>
      </c>
    </row>
    <row r="18" spans="2:44">
      <c r="B18" s="239" t="s">
        <v>354</v>
      </c>
      <c r="C18" s="240"/>
      <c r="D18" s="242">
        <v>0</v>
      </c>
      <c r="E18" s="241">
        <v>6914.9</v>
      </c>
      <c r="F18" s="242">
        <v>0.53839999999999999</v>
      </c>
      <c r="G18" s="240"/>
      <c r="H18" s="242">
        <v>0</v>
      </c>
      <c r="I18" s="240"/>
      <c r="J18" s="242">
        <v>0</v>
      </c>
      <c r="K18" s="240"/>
      <c r="L18" s="242">
        <v>0</v>
      </c>
      <c r="M18" s="241">
        <v>7167.32</v>
      </c>
      <c r="N18" s="242">
        <v>0.46089999999999998</v>
      </c>
      <c r="O18" s="240"/>
      <c r="P18" s="242">
        <v>0</v>
      </c>
      <c r="Q18" s="240"/>
      <c r="R18" s="242">
        <v>0</v>
      </c>
      <c r="S18" s="240"/>
      <c r="T18" s="242">
        <v>0</v>
      </c>
      <c r="U18" s="240"/>
      <c r="V18" s="242">
        <v>0</v>
      </c>
      <c r="W18" s="240"/>
      <c r="X18" s="242">
        <v>0</v>
      </c>
      <c r="Y18" s="240"/>
      <c r="Z18" s="242">
        <v>0</v>
      </c>
      <c r="AA18" s="240"/>
      <c r="AB18" s="242">
        <v>0</v>
      </c>
      <c r="AC18" s="240"/>
      <c r="AD18" s="242">
        <v>0</v>
      </c>
      <c r="AE18" s="240"/>
      <c r="AF18" s="242">
        <v>0</v>
      </c>
      <c r="AG18" s="240"/>
      <c r="AH18" s="242">
        <v>0</v>
      </c>
      <c r="AI18" s="243">
        <v>2865.04</v>
      </c>
      <c r="AJ18" s="242">
        <v>1</v>
      </c>
      <c r="AK18" s="240"/>
      <c r="AL18" s="242">
        <v>0</v>
      </c>
      <c r="AM18" s="240"/>
      <c r="AN18" s="242">
        <v>0</v>
      </c>
      <c r="AO18" s="240"/>
      <c r="AP18" s="242">
        <v>0</v>
      </c>
      <c r="AQ18" s="240"/>
      <c r="AR18" s="242">
        <v>0</v>
      </c>
    </row>
    <row r="19" spans="2:44">
      <c r="B19" s="239" t="s">
        <v>355</v>
      </c>
      <c r="C19" s="240"/>
      <c r="D19" s="242">
        <v>0</v>
      </c>
      <c r="E19" s="241">
        <v>5600.2</v>
      </c>
      <c r="F19" s="242">
        <v>0.436</v>
      </c>
      <c r="G19" s="240"/>
      <c r="H19" s="242">
        <v>0</v>
      </c>
      <c r="I19" s="240"/>
      <c r="J19" s="242">
        <v>0</v>
      </c>
      <c r="K19" s="240"/>
      <c r="L19" s="242">
        <v>0</v>
      </c>
      <c r="M19" s="241">
        <v>975.3</v>
      </c>
      <c r="N19" s="242">
        <v>6.2700000000000006E-2</v>
      </c>
      <c r="O19" s="240"/>
      <c r="P19" s="242">
        <v>0</v>
      </c>
      <c r="Q19" s="240"/>
      <c r="R19" s="242">
        <v>0</v>
      </c>
      <c r="S19" s="240"/>
      <c r="T19" s="242">
        <v>0</v>
      </c>
      <c r="U19" s="240"/>
      <c r="V19" s="242">
        <v>0</v>
      </c>
      <c r="W19" s="240"/>
      <c r="X19" s="242">
        <v>0</v>
      </c>
      <c r="Y19" s="240"/>
      <c r="Z19" s="242">
        <v>0</v>
      </c>
      <c r="AA19" s="240"/>
      <c r="AB19" s="242">
        <v>0</v>
      </c>
      <c r="AC19" s="240"/>
      <c r="AD19" s="242">
        <v>0</v>
      </c>
      <c r="AE19" s="240"/>
      <c r="AF19" s="242">
        <v>0</v>
      </c>
      <c r="AG19" s="240"/>
      <c r="AH19" s="242">
        <v>0</v>
      </c>
      <c r="AI19" s="240"/>
      <c r="AJ19" s="242">
        <v>0</v>
      </c>
      <c r="AK19" s="240"/>
      <c r="AL19" s="242">
        <v>0</v>
      </c>
      <c r="AM19" s="240"/>
      <c r="AN19" s="242">
        <v>0</v>
      </c>
      <c r="AO19" s="240"/>
      <c r="AP19" s="242">
        <v>0</v>
      </c>
      <c r="AQ19" s="240"/>
      <c r="AR19" s="242">
        <v>0</v>
      </c>
    </row>
    <row r="20" spans="2:44">
      <c r="B20" s="239" t="s">
        <v>282</v>
      </c>
      <c r="C20" s="240"/>
      <c r="D20" s="242">
        <v>0</v>
      </c>
      <c r="E20" s="240"/>
      <c r="F20" s="242">
        <v>0</v>
      </c>
      <c r="G20" s="243">
        <v>103</v>
      </c>
      <c r="H20" s="242">
        <v>8.3000000000000001E-3</v>
      </c>
      <c r="I20" s="240"/>
      <c r="J20" s="242">
        <v>0</v>
      </c>
      <c r="K20" s="240"/>
      <c r="L20" s="242">
        <v>0</v>
      </c>
      <c r="M20" s="240"/>
      <c r="N20" s="242">
        <v>0</v>
      </c>
      <c r="O20" s="240"/>
      <c r="P20" s="242">
        <v>0</v>
      </c>
      <c r="Q20" s="240"/>
      <c r="R20" s="242">
        <v>0</v>
      </c>
      <c r="S20" s="240"/>
      <c r="T20" s="242">
        <v>0</v>
      </c>
      <c r="U20" s="240"/>
      <c r="V20" s="242">
        <v>0</v>
      </c>
      <c r="W20" s="240"/>
      <c r="X20" s="242">
        <v>0</v>
      </c>
      <c r="Y20" s="240"/>
      <c r="Z20" s="242">
        <v>0</v>
      </c>
      <c r="AA20" s="240"/>
      <c r="AB20" s="242">
        <v>0</v>
      </c>
      <c r="AC20" s="240"/>
      <c r="AD20" s="242">
        <v>0</v>
      </c>
      <c r="AE20" s="240"/>
      <c r="AF20" s="242">
        <v>0</v>
      </c>
      <c r="AG20" s="240"/>
      <c r="AH20" s="242">
        <v>0</v>
      </c>
      <c r="AI20" s="240"/>
      <c r="AJ20" s="242">
        <v>0</v>
      </c>
      <c r="AK20" s="240"/>
      <c r="AL20" s="242">
        <v>0</v>
      </c>
      <c r="AM20" s="240"/>
      <c r="AN20" s="242">
        <v>0</v>
      </c>
      <c r="AO20" s="240"/>
      <c r="AP20" s="242">
        <v>0</v>
      </c>
      <c r="AQ20" s="240"/>
      <c r="AR20" s="242">
        <v>0</v>
      </c>
    </row>
    <row r="21" spans="2:44" ht="30.75">
      <c r="B21" s="239" t="s">
        <v>283</v>
      </c>
      <c r="C21" s="240"/>
      <c r="D21" s="242">
        <v>0</v>
      </c>
      <c r="E21" s="240"/>
      <c r="F21" s="242">
        <v>0</v>
      </c>
      <c r="G21" s="243">
        <v>126.18</v>
      </c>
      <c r="H21" s="242">
        <v>1.0200000000000001E-2</v>
      </c>
      <c r="I21" s="240"/>
      <c r="J21" s="242">
        <v>0</v>
      </c>
      <c r="K21" s="240"/>
      <c r="L21" s="242">
        <v>0</v>
      </c>
      <c r="M21" s="240"/>
      <c r="N21" s="242">
        <v>0</v>
      </c>
      <c r="O21" s="240"/>
      <c r="P21" s="242">
        <v>0</v>
      </c>
      <c r="Q21" s="240"/>
      <c r="R21" s="242">
        <v>0</v>
      </c>
      <c r="S21" s="240"/>
      <c r="T21" s="242">
        <v>0</v>
      </c>
      <c r="U21" s="240"/>
      <c r="V21" s="242">
        <v>0</v>
      </c>
      <c r="W21" s="240"/>
      <c r="X21" s="242">
        <v>0</v>
      </c>
      <c r="Y21" s="240"/>
      <c r="Z21" s="242">
        <v>0</v>
      </c>
      <c r="AA21" s="240"/>
      <c r="AB21" s="242">
        <v>0</v>
      </c>
      <c r="AC21" s="240"/>
      <c r="AD21" s="242">
        <v>0</v>
      </c>
      <c r="AE21" s="240"/>
      <c r="AF21" s="242">
        <v>0</v>
      </c>
      <c r="AG21" s="240"/>
      <c r="AH21" s="242">
        <v>0</v>
      </c>
      <c r="AI21" s="240"/>
      <c r="AJ21" s="242">
        <v>0</v>
      </c>
      <c r="AK21" s="240"/>
      <c r="AL21" s="242">
        <v>0</v>
      </c>
      <c r="AM21" s="240"/>
      <c r="AN21" s="242">
        <v>0</v>
      </c>
      <c r="AO21" s="240"/>
      <c r="AP21" s="242">
        <v>0</v>
      </c>
      <c r="AQ21" s="240"/>
      <c r="AR21" s="242">
        <v>0</v>
      </c>
    </row>
    <row r="22" spans="2:44">
      <c r="B22" s="239" t="s">
        <v>356</v>
      </c>
      <c r="C22" s="240"/>
      <c r="D22" s="242">
        <v>0</v>
      </c>
      <c r="E22" s="240"/>
      <c r="F22" s="242">
        <v>0</v>
      </c>
      <c r="G22" s="240"/>
      <c r="H22" s="242">
        <v>0</v>
      </c>
      <c r="I22" s="240"/>
      <c r="J22" s="242">
        <v>0</v>
      </c>
      <c r="K22" s="240"/>
      <c r="L22" s="242">
        <v>0</v>
      </c>
      <c r="M22" s="240"/>
      <c r="N22" s="242">
        <v>0</v>
      </c>
      <c r="O22" s="240"/>
      <c r="P22" s="242">
        <v>0</v>
      </c>
      <c r="Q22" s="240"/>
      <c r="R22" s="242">
        <v>0</v>
      </c>
      <c r="S22" s="240"/>
      <c r="T22" s="242">
        <v>0</v>
      </c>
      <c r="U22" s="240"/>
      <c r="V22" s="242">
        <v>0</v>
      </c>
      <c r="W22" s="240"/>
      <c r="X22" s="242">
        <v>0</v>
      </c>
      <c r="Y22" s="240"/>
      <c r="Z22" s="242">
        <v>0</v>
      </c>
      <c r="AA22" s="240"/>
      <c r="AB22" s="243">
        <v>0</v>
      </c>
      <c r="AC22" s="241">
        <v>2477.25</v>
      </c>
      <c r="AD22" s="240" t="s">
        <v>357</v>
      </c>
      <c r="AE22" s="241">
        <v>3290.63</v>
      </c>
      <c r="AF22" s="240" t="s">
        <v>357</v>
      </c>
      <c r="AG22" s="241">
        <v>1425.25</v>
      </c>
      <c r="AH22" s="240" t="s">
        <v>357</v>
      </c>
      <c r="AI22" s="243">
        <v>2865.04</v>
      </c>
      <c r="AJ22" s="240" t="s">
        <v>357</v>
      </c>
      <c r="AK22" s="243">
        <v>697.54</v>
      </c>
      <c r="AL22" s="240" t="s">
        <v>357</v>
      </c>
      <c r="AM22" s="241">
        <v>1804.28</v>
      </c>
      <c r="AN22" s="240" t="s">
        <v>357</v>
      </c>
      <c r="AO22" s="243">
        <v>923.12</v>
      </c>
      <c r="AP22" s="240" t="s">
        <v>357</v>
      </c>
      <c r="AQ22" s="243">
        <v>250</v>
      </c>
      <c r="AR22" s="240" t="s">
        <v>357</v>
      </c>
    </row>
    <row r="23" spans="2:44">
      <c r="B23" s="248" t="s">
        <v>358</v>
      </c>
      <c r="C23" s="248"/>
      <c r="D23" s="249">
        <v>0</v>
      </c>
      <c r="E23" s="248"/>
      <c r="F23" s="249">
        <v>0</v>
      </c>
      <c r="G23" s="248"/>
      <c r="H23" s="249">
        <v>0</v>
      </c>
      <c r="I23" s="248"/>
      <c r="J23" s="249">
        <v>0</v>
      </c>
      <c r="K23" s="248"/>
      <c r="L23" s="249">
        <v>0</v>
      </c>
      <c r="M23" s="248"/>
      <c r="N23" s="249">
        <v>0</v>
      </c>
      <c r="O23" s="248"/>
      <c r="P23" s="249">
        <v>0</v>
      </c>
      <c r="Q23" s="248"/>
      <c r="R23" s="249">
        <v>0</v>
      </c>
      <c r="S23" s="248"/>
      <c r="T23" s="249">
        <v>0</v>
      </c>
      <c r="U23" s="248"/>
      <c r="V23" s="249">
        <v>0</v>
      </c>
      <c r="W23" s="248"/>
      <c r="X23" s="249">
        <v>0</v>
      </c>
      <c r="Y23" s="248"/>
      <c r="Z23" s="249">
        <v>0</v>
      </c>
      <c r="AA23" s="248"/>
      <c r="AB23" s="249">
        <v>0</v>
      </c>
      <c r="AC23" s="248"/>
      <c r="AD23" s="248"/>
      <c r="AE23" s="248"/>
      <c r="AF23" s="248"/>
      <c r="AG23" s="248"/>
      <c r="AH23" s="248"/>
      <c r="AI23" s="248"/>
      <c r="AJ23" s="248"/>
      <c r="AK23" s="248"/>
      <c r="AL23" s="248"/>
      <c r="AM23" s="248"/>
      <c r="AN23" s="248"/>
      <c r="AO23" s="248"/>
      <c r="AP23" s="248"/>
      <c r="AQ23" s="248"/>
      <c r="AR23" s="248"/>
    </row>
    <row r="24" spans="2:44">
      <c r="B24" s="248" t="s">
        <v>359</v>
      </c>
      <c r="C24" s="248"/>
      <c r="D24" s="249">
        <v>0</v>
      </c>
      <c r="E24" s="248"/>
      <c r="F24" s="249">
        <v>0</v>
      </c>
      <c r="G24" s="248"/>
      <c r="H24" s="249">
        <v>0</v>
      </c>
      <c r="I24" s="248"/>
      <c r="J24" s="249">
        <v>0</v>
      </c>
      <c r="K24" s="248"/>
      <c r="L24" s="249">
        <v>0</v>
      </c>
      <c r="M24" s="248"/>
      <c r="N24" s="249">
        <v>0</v>
      </c>
      <c r="O24" s="248"/>
      <c r="P24" s="249">
        <v>0</v>
      </c>
      <c r="Q24" s="248"/>
      <c r="R24" s="249">
        <v>0</v>
      </c>
      <c r="S24" s="248"/>
      <c r="T24" s="249">
        <v>0</v>
      </c>
      <c r="U24" s="248"/>
      <c r="V24" s="249">
        <v>0</v>
      </c>
      <c r="W24" s="248"/>
      <c r="X24" s="249">
        <v>0</v>
      </c>
      <c r="Y24" s="248"/>
      <c r="Z24" s="249">
        <v>0</v>
      </c>
      <c r="AA24" s="248"/>
      <c r="AB24" s="249">
        <v>0</v>
      </c>
      <c r="AC24" s="248"/>
      <c r="AD24" s="248"/>
      <c r="AE24" s="248"/>
      <c r="AF24" s="248"/>
      <c r="AG24" s="248"/>
      <c r="AH24" s="248"/>
      <c r="AI24" s="248"/>
      <c r="AJ24" s="248"/>
      <c r="AK24" s="248"/>
      <c r="AL24" s="248"/>
      <c r="AM24" s="248"/>
      <c r="AN24" s="248"/>
      <c r="AO24" s="248"/>
      <c r="AP24" s="248"/>
      <c r="AQ24" s="248"/>
      <c r="AR24" s="248"/>
    </row>
    <row r="25" spans="2:44">
      <c r="B25" s="248" t="s">
        <v>360</v>
      </c>
      <c r="C25" s="248"/>
      <c r="D25" s="249">
        <v>0</v>
      </c>
      <c r="E25" s="248"/>
      <c r="F25" s="249">
        <v>0</v>
      </c>
      <c r="G25" s="248"/>
      <c r="H25" s="249">
        <v>0</v>
      </c>
      <c r="I25" s="248"/>
      <c r="J25" s="249">
        <v>0</v>
      </c>
      <c r="K25" s="248"/>
      <c r="L25" s="249">
        <v>0</v>
      </c>
      <c r="M25" s="248"/>
      <c r="N25" s="249">
        <v>0</v>
      </c>
      <c r="O25" s="248"/>
      <c r="P25" s="249">
        <v>0</v>
      </c>
      <c r="Q25" s="248"/>
      <c r="R25" s="249">
        <v>0</v>
      </c>
      <c r="S25" s="248"/>
      <c r="T25" s="249">
        <v>0</v>
      </c>
      <c r="U25" s="248"/>
      <c r="V25" s="249">
        <v>0</v>
      </c>
      <c r="W25" s="248"/>
      <c r="X25" s="249">
        <v>0</v>
      </c>
      <c r="Y25" s="248"/>
      <c r="Z25" s="249">
        <v>0</v>
      </c>
      <c r="AA25" s="248"/>
      <c r="AB25" s="249">
        <v>0</v>
      </c>
      <c r="AC25" s="248"/>
      <c r="AD25" s="248"/>
      <c r="AE25" s="248"/>
      <c r="AF25" s="248"/>
      <c r="AG25" s="248"/>
      <c r="AH25" s="248"/>
      <c r="AI25" s="248"/>
      <c r="AJ25" s="248"/>
      <c r="AK25" s="248"/>
      <c r="AL25" s="248"/>
      <c r="AM25" s="248"/>
      <c r="AN25" s="248"/>
      <c r="AO25" s="248"/>
      <c r="AP25" s="248"/>
      <c r="AQ25" s="248"/>
      <c r="AR25" s="248"/>
    </row>
  </sheetData>
  <pageMargins left="0.511811024" right="0.511811024" top="0.78740157499999996" bottom="0.78740157499999996" header="0.31496062000000002" footer="0.3149606200000000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6D1D902F9AFB0458A156704A0C1878F" ma:contentTypeVersion="20" ma:contentTypeDescription="Crie um novo documento." ma:contentTypeScope="" ma:versionID="2ed45d104805f3f7ac434ada60aab0b2">
  <xsd:schema xmlns:xsd="http://www.w3.org/2001/XMLSchema" xmlns:xs="http://www.w3.org/2001/XMLSchema" xmlns:p="http://schemas.microsoft.com/office/2006/metadata/properties" xmlns:ns2="feb27506-d0cb-4764-903f-1304ed79efc7" xmlns:ns3="8ce77f6a-f1fb-45c7-a4e1-13af6ce189a7" targetNamespace="http://schemas.microsoft.com/office/2006/metadata/properties" ma:root="true" ma:fieldsID="3b94d42061becc2df869c3c26df6355d" ns2:_="" ns3:_="">
    <xsd:import namespace="feb27506-d0cb-4764-903f-1304ed79efc7"/>
    <xsd:import namespace="8ce77f6a-f1fb-45c7-a4e1-13af6ce189a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  <xsd:element ref="ns2:Respons_x00e1_vel" minOccurs="0"/>
                <xsd:element ref="ns2:Respons_x00e1_vei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eb27506-d0cb-4764-903f-1304ed79efc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7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Marcações de imagem" ma:readOnly="false" ma:fieldId="{5cf76f15-5ced-4ddc-b409-7134ff3c332f}" ma:taxonomyMulti="true" ma:sspId="bf897d17-34fd-4a01-8f80-908009a6c4a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5" nillable="true" ma:displayName="Location" ma:description="" ma:indexed="true" ma:internalName="MediaServiceLocation" ma:readOnly="true">
      <xsd:simpleType>
        <xsd:restriction base="dms:Text"/>
      </xsd:simpleType>
    </xsd:element>
    <xsd:element name="Respons_x00e1_vel" ma:index="26" nillable="true" ma:displayName="Responsável" ma:format="Dropdown" ma:list="UserInfo" ma:SharePointGroup="0" ma:internalName="Respons_x00e1_vel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Respons_x00e1_veis" ma:index="27" nillable="true" ma:displayName="Responsáveis" ma:format="Dropdown" ma:list="UserInfo" ma:SharePointGroup="0" ma:internalName="Respons_x00e1_veis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ce77f6a-f1fb-45c7-a4e1-13af6ce189a7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9efa143d-6b0d-41bf-bdc4-b3ddcfc330cd}" ma:internalName="TaxCatchAll" ma:showField="CatchAllData" ma:web="8ce77f6a-f1fb-45c7-a4e1-13af6ce189a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eb27506-d0cb-4764-903f-1304ed79efc7">
      <Terms xmlns="http://schemas.microsoft.com/office/infopath/2007/PartnerControls"/>
    </lcf76f155ced4ddcb4097134ff3c332f>
    <Respons_x00e1_veis xmlns="feb27506-d0cb-4764-903f-1304ed79efc7">
      <UserInfo>
        <DisplayName/>
        <AccountId xsi:nil="true"/>
        <AccountType/>
      </UserInfo>
    </Respons_x00e1_veis>
    <Respons_x00e1_vel xmlns="feb27506-d0cb-4764-903f-1304ed79efc7">
      <UserInfo>
        <DisplayName/>
        <AccountId xsi:nil="true"/>
        <AccountType/>
      </UserInfo>
    </Respons_x00e1_vel>
    <TaxCatchAll xmlns="8ce77f6a-f1fb-45c7-a4e1-13af6ce189a7" xsi:nil="true"/>
  </documentManagement>
</p:properties>
</file>

<file path=customXml/itemProps1.xml><?xml version="1.0" encoding="utf-8"?>
<ds:datastoreItem xmlns:ds="http://schemas.openxmlformats.org/officeDocument/2006/customXml" ds:itemID="{BC4845FF-DCD2-4269-B63B-1B98FA4CFBF6}"/>
</file>

<file path=customXml/itemProps2.xml><?xml version="1.0" encoding="utf-8"?>
<ds:datastoreItem xmlns:ds="http://schemas.openxmlformats.org/officeDocument/2006/customXml" ds:itemID="{7115C0EE-C788-441C-AED4-C817A21B3D1E}"/>
</file>

<file path=customXml/itemProps3.xml><?xml version="1.0" encoding="utf-8"?>
<ds:datastoreItem xmlns:ds="http://schemas.openxmlformats.org/officeDocument/2006/customXml" ds:itemID="{539367C1-5D5C-4692-9C17-44B0BC40789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Celso Santana</dc:creator>
  <cp:keywords/>
  <dc:description/>
  <cp:lastModifiedBy/>
  <cp:revision/>
  <dcterms:created xsi:type="dcterms:W3CDTF">2024-07-30T22:03:16Z</dcterms:created>
  <dcterms:modified xsi:type="dcterms:W3CDTF">2024-12-05T17:11:45Z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0x01010046D1D902F9AFB0458A156704A0C1878F</vt:lpwstr>
  </property>
  <property fmtid="{D5CDD505-2E9C-101B-9397-08002B2CF9AE}" pid="3" name="MediaServiceImageTags">
    <vt:lpwstr/>
  </property>
</Properties>
</file>