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CP 50-2026 CONSTRUÇÃO CAIXA D' AGUA\"/>
    </mc:Choice>
  </mc:AlternateContent>
  <xr:revisionPtr revIDLastSave="0" documentId="8_{A44E8789-1ABD-4F60-B916-A21316F48D99}" xr6:coauthVersionLast="47" xr6:coauthVersionMax="47" xr10:uidLastSave="{00000000-0000-0000-0000-000000000000}"/>
  <bookViews>
    <workbookView xWindow="-120" yWindow="-120" windowWidth="20730" windowHeight="11160" tabRatio="500" firstSheet="1" activeTab="3" xr2:uid="{00000000-000D-0000-FFFF-FFFF00000000}"/>
  </bookViews>
  <sheets>
    <sheet name="Orcam Sintetico - S Joao" sheetId="1" r:id="rId1"/>
    <sheet name="Composicao BDI" sheetId="2" r:id="rId2"/>
    <sheet name="Cronograma Fisico-Financeiro" sheetId="3" r:id="rId3"/>
    <sheet name="Composicoes Proprias" sheetId="4" r:id="rId4"/>
  </sheets>
  <definedNames>
    <definedName name="_xlnm.Print_Area" localSheetId="1">'Composicao BDI'!$A$1:$C$27</definedName>
    <definedName name="_xlnm.Print_Area" localSheetId="2">'Cronograma Fisico-Financeiro'!$A$1:$G$26</definedName>
    <definedName name="_xlnm.Print_Area" localSheetId="0">'Orcam Sintetico - S Joao'!$A$1:$J$38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0" i="1" l="1"/>
  <c r="G2" i="1"/>
  <c r="E25" i="4"/>
  <c r="E26" i="4" s="1"/>
  <c r="G24" i="1" s="1"/>
  <c r="E20" i="4"/>
  <c r="E19" i="4"/>
  <c r="E18" i="4"/>
  <c r="E17" i="4"/>
  <c r="E16" i="4"/>
  <c r="E15" i="4"/>
  <c r="E21" i="4" s="1"/>
  <c r="G23" i="1" s="1"/>
  <c r="E7" i="4"/>
  <c r="E8" i="4" s="1"/>
  <c r="G13" i="1" s="1"/>
  <c r="C14" i="2"/>
  <c r="C19" i="2" s="1"/>
  <c r="H29" i="1" l="1"/>
  <c r="H31" i="1" l="1"/>
  <c r="H13" i="1"/>
  <c r="I13" i="1" s="1"/>
  <c r="H23" i="1"/>
  <c r="I23" i="1" s="1"/>
  <c r="H16" i="1"/>
  <c r="I16" i="1" s="1"/>
  <c r="J16" i="1" l="1"/>
  <c r="H21" i="1"/>
  <c r="I21" i="1" s="1"/>
  <c r="J21" i="1" s="1"/>
  <c r="H24" i="1"/>
  <c r="I24" i="1" s="1"/>
  <c r="H12" i="1"/>
  <c r="I12" i="1" s="1"/>
  <c r="J12" i="1" s="1"/>
  <c r="H7" i="1"/>
  <c r="I7" i="1" s="1"/>
  <c r="H28" i="1"/>
  <c r="I28" i="1" s="1"/>
  <c r="J28" i="1" s="1"/>
  <c r="H27" i="1"/>
  <c r="I27" i="1" s="1"/>
  <c r="J27" i="1" s="1"/>
  <c r="H15" i="1"/>
  <c r="I15" i="1" s="1"/>
  <c r="H6" i="1"/>
  <c r="I6" i="1" s="1"/>
  <c r="H26" i="1"/>
  <c r="I26" i="1" s="1"/>
  <c r="H11" i="1"/>
  <c r="I11" i="1" s="1"/>
  <c r="J11" i="1" s="1"/>
  <c r="H10" i="1"/>
  <c r="I10" i="1" s="1"/>
  <c r="J10" i="1" s="1"/>
  <c r="H9" i="1"/>
  <c r="I9" i="1" s="1"/>
  <c r="J9" i="1" s="1"/>
  <c r="H8" i="1"/>
  <c r="I8" i="1" s="1"/>
  <c r="H20" i="1"/>
  <c r="I20" i="1" s="1"/>
  <c r="H19" i="1"/>
  <c r="I19" i="1" s="1"/>
  <c r="H17" i="1"/>
  <c r="I17" i="1" s="1"/>
  <c r="J17" i="1" s="1"/>
  <c r="B4" i="3"/>
  <c r="J13" i="1"/>
  <c r="J23" i="1"/>
  <c r="I14" i="1"/>
  <c r="J20" i="1" l="1"/>
  <c r="B10" i="3"/>
  <c r="J19" i="1"/>
  <c r="B11" i="3"/>
  <c r="H18" i="1"/>
  <c r="I18" i="1"/>
  <c r="J18" i="1" s="1"/>
  <c r="J24" i="1"/>
  <c r="I22" i="1"/>
  <c r="B9" i="3" s="1"/>
  <c r="H22" i="1"/>
  <c r="J7" i="1"/>
  <c r="B6" i="3"/>
  <c r="J15" i="1"/>
  <c r="H14" i="1"/>
  <c r="B5" i="3"/>
  <c r="H5" i="1"/>
  <c r="J6" i="1"/>
  <c r="I5" i="1"/>
  <c r="J5" i="1" s="1"/>
  <c r="J26" i="1"/>
  <c r="H25" i="1"/>
  <c r="I25" i="1"/>
  <c r="J8" i="1"/>
  <c r="B7" i="3"/>
  <c r="D4" i="3"/>
  <c r="F4" i="3"/>
  <c r="J22" i="1"/>
  <c r="J14" i="1"/>
  <c r="B8" i="3"/>
  <c r="D10" i="3" l="1"/>
  <c r="F10" i="3"/>
  <c r="F11" i="3"/>
  <c r="D11" i="3"/>
  <c r="D6" i="3"/>
  <c r="F6" i="3"/>
  <c r="F5" i="3"/>
  <c r="D5" i="3"/>
  <c r="J25" i="1"/>
  <c r="B12" i="3"/>
  <c r="C12" i="3" s="1"/>
  <c r="D7" i="3"/>
  <c r="F7" i="3"/>
  <c r="B13" i="3"/>
  <c r="D9" i="3"/>
  <c r="F9" i="3"/>
  <c r="D8" i="3"/>
  <c r="F8" i="3"/>
  <c r="C13" i="3" l="1"/>
  <c r="C4" i="3"/>
  <c r="C10" i="3"/>
  <c r="C9" i="3"/>
  <c r="C6" i="3"/>
  <c r="C5" i="3"/>
  <c r="C7" i="3"/>
  <c r="C8" i="3"/>
  <c r="C11" i="3"/>
  <c r="F12" i="3"/>
  <c r="F13" i="3" s="1"/>
  <c r="G13" i="3" s="1"/>
  <c r="G15" i="3" s="1"/>
  <c r="D12" i="3"/>
  <c r="D13" i="3"/>
  <c r="E13" i="3" l="1"/>
  <c r="E15" i="3" s="1"/>
  <c r="D1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F6" authorId="0" shapeId="0" xr:uid="{00000000-0006-0000-0000-000001000000}">
      <text>
        <r>
          <rPr>
            <sz val="10"/>
            <rFont val="Arial"/>
            <family val="2"/>
          </rPr>
          <t>Calculado: V = pi x (7,80/2)^2 x 0,20 (espessura HIPOTESE do radier, a confirmar em projeto estrutural).</t>
        </r>
      </text>
    </comment>
    <comment ref="F7" authorId="0" shapeId="0" xr:uid="{00000000-0006-0000-0000-000002000000}">
      <text>
        <r>
          <rPr>
            <sz val="10"/>
            <rFont val="Arial"/>
            <family val="2"/>
          </rPr>
          <t>Placas da PAREDE. Calculado: V = pi x (7,00+0,15) x 5,40 x 0,15 (circunf. media x altura x espessura).</t>
        </r>
      </text>
    </comment>
    <comment ref="F8" authorId="0" shapeId="0" xr:uid="{00000000-0006-0000-0000-000003000000}">
      <text>
        <r>
          <rPr>
            <sz val="10"/>
            <rFont val="Arial"/>
            <family val="2"/>
          </rPr>
          <t>NOVO ITEM - faltava no orcamento original. Placas da TAMPA CONICA. Calculado: area lateral do cone (pi x R x geratriz) x espessura da placa.</t>
        </r>
      </text>
    </comment>
    <comment ref="F9" authorId="0" shapeId="0" xr:uid="{00000000-0006-0000-0000-000004000000}">
      <text>
        <r>
          <rPr>
            <sz val="10"/>
            <rFont val="Arial"/>
            <family val="2"/>
          </rPr>
          <t>NOVO ITEM - faltava no orcamento original. Viga circular no topo da parede que ancora as 10 barras verticais. Secao HIPOTESE 0,15x0,20m.</t>
        </r>
      </text>
    </comment>
    <comment ref="F10" authorId="0" shapeId="0" xr:uid="{00000000-0006-0000-0000-000005000000}">
      <text>
        <r>
          <rPr>
            <sz val="10"/>
            <rFont val="Arial"/>
            <family val="2"/>
          </rPr>
          <t>NOVO ITEM - faltava no orcamento original. Preco de REFERENCIA NACIONAL (vergalhao CA-50 + corte/dobra) - CONFIRMAR na tabela SINAPI-GO 05/2026 vigente antes da licitacao. Bitola das barras (hipotese 10mm) a confirmar em projeto estrutural.</t>
        </r>
      </text>
    </comment>
    <comment ref="F11" authorId="0" shapeId="0" xr:uid="{00000000-0006-0000-0000-000006000000}">
      <text>
        <r>
          <rPr>
            <sz val="10"/>
            <rFont val="Arial"/>
            <family val="2"/>
          </rPr>
          <t>Reduzido a pedido do engenheiro: 50h (era 70,4h - estimativa por fator volumetrico).</t>
        </r>
      </text>
    </comment>
    <comment ref="F12" authorId="0" shapeId="0" xr:uid="{00000000-0006-0000-0000-000007000000}">
      <text>
        <r>
          <rPr>
            <sz val="10"/>
            <rFont val="Arial"/>
            <family val="2"/>
          </rPr>
          <t>Reduzido a pedido do engenheiro: 80h (era 105,7h - estimativa por fator volumetrico).</t>
        </r>
      </text>
    </comment>
    <comment ref="G13" authorId="0" shapeId="0" xr:uid="{00000000-0006-0000-0000-000013000000}">
      <text>
        <r>
          <rPr>
            <sz val="10"/>
            <rFont val="Arial"/>
            <family val="2"/>
          </rPr>
          <t>Preco vem da aba 'Composicoes Proprias' (COMP.001), com detalhamento de material e mao de obra.</t>
        </r>
      </text>
    </comment>
    <comment ref="F15" authorId="0" shapeId="0" xr:uid="{00000000-0006-0000-0000-000008000000}">
      <text>
        <r>
          <rPr>
            <sz val="10"/>
            <rFont val="Arial"/>
            <family val="2"/>
          </rPr>
          <t>ESTIMATIVA: comprimento de Piteira (36m) escalado pelo fator volumetrico 1,761. Confirmar em projeto hidraulico executivo.</t>
        </r>
      </text>
    </comment>
    <comment ref="F16" authorId="0" shapeId="0" xr:uid="{00000000-0006-0000-0000-000009000000}">
      <text>
        <r>
          <rPr>
            <sz val="10"/>
            <rFont val="Arial"/>
            <family val="2"/>
          </rPr>
          <t>1 entrada (aducao) + 3 saidas (distribuicao/extravasor/descarga de fundo) = 4 pontos.</t>
        </r>
      </text>
    </comment>
    <comment ref="F17" authorId="0" shapeId="0" xr:uid="{00000000-0006-0000-0000-00000A000000}">
      <text>
        <r>
          <rPr>
            <sz val="10"/>
            <rFont val="Arial"/>
            <family val="2"/>
          </rPr>
          <t>Ajustado para 4 (um por ponto de conexao). Confirmar em projeto hidraulico executivo.</t>
        </r>
      </text>
    </comment>
    <comment ref="F19" authorId="0" shapeId="0" xr:uid="{00000000-0006-0000-0000-00000B000000}">
      <text>
        <r>
          <rPr>
            <sz val="10"/>
            <rFont val="Arial"/>
            <family val="2"/>
          </rPr>
          <t>ESTIMATIVA: area de Piteira (27,33 m2) escalada pelo fator volumetrico 1,761. Item para elementos metalicos (escada) - confirmar.</t>
        </r>
      </text>
    </comment>
    <comment ref="F20" authorId="0" shapeId="0" xr:uid="{00000000-0006-0000-0000-00000C000000}">
      <text>
        <r>
          <rPr>
            <sz val="10"/>
            <rFont val="Arial"/>
            <family val="2"/>
          </rPr>
          <t>Calculado: area do fundo (pi x 3,50^2) + area lateral interna (pi x 7,00 x 5,40).</t>
        </r>
      </text>
    </comment>
    <comment ref="F21" authorId="0" shapeId="0" xr:uid="{00000000-0006-0000-0000-00000D000000}">
      <text>
        <r>
          <rPr>
            <sz val="10"/>
            <rFont val="Arial"/>
            <family val="2"/>
          </rPr>
          <t>Calculado: area lateral externa = pi x (7,00+2x0,15) x 5,40.</t>
        </r>
      </text>
    </comment>
    <comment ref="F23" authorId="0" shapeId="0" xr:uid="{00000000-0006-0000-0000-00000E000000}">
      <text>
        <r>
          <rPr>
            <sz val="10"/>
            <rFont val="Arial"/>
            <family val="2"/>
          </rPr>
          <t>NOVO ITEM - faltava no orcamento original. Preco de REFERENCIA DE MERCADO - cotar com fornecedor antes da licitacao.</t>
        </r>
      </text>
    </comment>
    <comment ref="G23" authorId="0" shapeId="0" xr:uid="{00000000-0006-0000-0000-000014000000}">
      <text>
        <r>
          <rPr>
            <sz val="10"/>
            <rFont val="Arial"/>
            <family val="2"/>
          </rPr>
          <t>Preco vem da aba 'Composicoes Proprias' (COMP.002), com detalhamento de material e mao de obra. CONFIRMAR com cotacao real de fornecedor antes da licitacao.</t>
        </r>
      </text>
    </comment>
    <comment ref="G24" authorId="0" shapeId="0" xr:uid="{00000000-0006-0000-0000-000015000000}">
      <text>
        <r>
          <rPr>
            <sz val="10"/>
            <rFont val="Arial"/>
            <family val="2"/>
          </rPr>
          <t>Preco vem da aba 'Composicoes Proprias' (COMP.003), com detalhamento de material e mao de obra. CONFIRMAR com cotacao real de fornecedor antes da licitacao.</t>
        </r>
      </text>
    </comment>
    <comment ref="F25" authorId="0" shapeId="0" xr:uid="{00000000-0006-0000-0000-00000F000000}">
      <text>
        <r>
          <rPr>
            <sz val="10"/>
            <rFont val="Arial"/>
            <family val="2"/>
          </rPr>
          <t>Verba de administracao local (canteiro/comunicacao/transporte/apoio administrativo). Preco unitario agora vem da aba 'Composicoes Proprias' (COMP.004), com detalhamento item a item. Confirmar/ajustar cada insumo antes da publicacao do edital.</t>
        </r>
      </text>
    </comment>
    <comment ref="F26" authorId="0" shapeId="0" xr:uid="{00000000-0006-0000-0000-000010000000}">
      <text>
        <r>
          <rPr>
            <sz val="10"/>
            <rFont val="Arial"/>
            <family val="2"/>
          </rPr>
          <t>Area estimada de limpeza (radier + area de trabalho no entorno). AJUSTAR conforme levantamento real do terreno.</t>
        </r>
      </text>
    </comment>
    <comment ref="F27" authorId="0" shapeId="0" xr:uid="{00000000-0006-0000-0000-000011000000}">
      <text>
        <r>
          <rPr>
            <sz val="10"/>
            <rFont val="Arial"/>
            <family val="2"/>
          </rPr>
          <t>Area estimada da construcao a ser limpa na entrega. AJUSTAR conforme area real.</t>
        </r>
      </text>
    </comment>
    <comment ref="F28" authorId="0" shapeId="0" xr:uid="{00000000-0006-0000-0000-000012000000}">
      <text>
        <r>
          <rPr>
            <sz val="10"/>
            <rFont val="Arial"/>
            <family val="2"/>
          </rPr>
          <t>Perimetro do radier (pi x 7,80m = 24,5m, arredondado p/ 25m) para locacao/gabarito da obra.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E7" authorId="0" shapeId="0" xr:uid="{00000000-0006-0000-0300-000008000000}">
      <text>
        <r>
          <rPr>
            <sz val="10"/>
            <rFont val="Arial"/>
            <family val="2"/>
          </rPr>
          <t>Media nacional SINAPI 05/2026. CONFIRMAR valor especifico da tabela SINAPI-GO 05/2026 vigente antes da licitacao.</t>
        </r>
      </text>
    </comment>
    <comment ref="D15" authorId="0" shapeId="0" xr:uid="{00000000-0006-0000-0300-000002000000}">
      <text>
        <r>
          <rPr>
            <sz val="10"/>
            <rFont val="Arial"/>
            <family val="2"/>
          </rPr>
          <t>Insumo SINAPI e=5/8 (15,88mm) - mais grosso que o necessario (3mm). Usado como referencia de preco/kg do aco; peso da chapa 3mm recalculado a parte (8,5kg).</t>
        </r>
      </text>
    </comment>
    <comment ref="D20" authorId="0" shapeId="0" xr:uid="{00000000-0006-0000-0300-000003000000}">
      <text>
        <r>
          <rPr>
            <sz val="10"/>
            <rFont val="Arial"/>
            <family val="2"/>
          </rPr>
          <t>Nao foi localizado codigo SINAPI/GOINFRA especifico para dobradica. Valor de referencia de mercado - confirmar com fornecedor.</t>
        </r>
      </text>
    </comment>
    <comment ref="E25" authorId="0" shapeId="0" xr:uid="{00000000-0006-0000-0300-000009000000}">
      <text>
        <r>
          <rPr>
            <sz val="10"/>
            <rFont val="Arial"/>
            <family val="2"/>
          </rPr>
          <t>Referencia de banco (composicao antiga, base anterior a 2026). CONFIRMAR valor atualizado na tabela SINAPI-GO 05/2026 vigente antes da licitacao. Inclui gaiola de protecao (mais seguranca que a composicao propria anterior).</t>
        </r>
      </text>
    </comment>
    <comment ref="D35" authorId="0" shapeId="0" xr:uid="{00000000-0006-0000-0300-000004000000}">
      <text>
        <r>
          <rPr>
            <sz val="10"/>
            <rFont val="Arial"/>
            <family val="2"/>
          </rPr>
          <t>Insumo SINAPI (nao inclui mobilizacao/desmobilizacao). Confirmar preco vigente na tabela SINAPI-GO 05/2026.</t>
        </r>
      </text>
    </comment>
    <comment ref="D36" authorId="0" shapeId="0" xr:uid="{00000000-0006-0000-0300-000005000000}">
      <text>
        <r>
          <rPr>
            <sz val="10"/>
            <rFont val="Arial"/>
            <family val="2"/>
          </rPr>
          <t>Fonte: Tabela de Composicao Administracao Local GOINFRA. Adotado apenas 1 mes (meio periodo/obra pequena) do total de 2 meses de obra.</t>
        </r>
      </text>
    </comment>
    <comment ref="D37" authorId="0" shapeId="0" xr:uid="{00000000-0006-0000-0300-000006000000}">
      <text>
        <r>
          <rPr>
            <sz val="10"/>
            <rFont val="Arial"/>
            <family val="2"/>
          </rPr>
          <t>Fonte: Tabela de Composicao Administracao Local GOINFRA. Fracao de 0,30 mes adotada (uso pontual, obra pequena) sobre os 2 meses.</t>
        </r>
      </text>
    </comment>
    <comment ref="D38" authorId="0" shapeId="0" xr:uid="{00000000-0006-0000-0300-000007000000}">
      <text>
        <r>
          <rPr>
            <sz val="10"/>
            <rFont val="Arial"/>
            <family val="2"/>
          </rPr>
          <t>Nao ha insumo SINAPI/GOINFRA padrao para telefonia/internet de canteiro pequeno. Referencia de mercado.</t>
        </r>
      </text>
    </comment>
    <comment ref="A39" authorId="0" shapeId="0" xr:uid="{00000000-0006-0000-0300-000001000000}">
      <text>
        <r>
          <rPr>
            <sz val="10"/>
            <rFont val="Arial"/>
            <family val="2"/>
          </rPr>
          <t>Detalhamento do item 6 do Orcamento Sintetico (era verba fechada). Valores de referencia de mercado - ajustar conforme realidade do municipio antes da licitacao. Ultimo item (apoio administrativo) calculado como residuo para fechar o total de R$ 4.899,11 definido para o orcamento.</t>
        </r>
      </text>
    </comment>
  </commentList>
</comments>
</file>

<file path=xl/sharedStrings.xml><?xml version="1.0" encoding="utf-8"?>
<sst xmlns="http://schemas.openxmlformats.org/spreadsheetml/2006/main" count="221" uniqueCount="163">
  <si>
    <t>Obra</t>
  </si>
  <si>
    <t>Bancos</t>
  </si>
  <si>
    <t>B.D.I.</t>
  </si>
  <si>
    <t>Encargos Sociais</t>
  </si>
  <si>
    <t>CAIXA D'AGUA - POVOADO SAO JOAO (200.000 L)</t>
  </si>
  <si>
    <t>SINAPI - 05/2026 - Goias
AGETOP CIVIL - 02/2026 - Goias
(mesma base de precos de Piteira - confirmar vigencia na data da licitacao)</t>
  </si>
  <si>
    <t>Desonerado: embutido nos precos unitario dos insumos de mao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</si>
  <si>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</si>
  <si>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</si>
  <si>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</si>
  <si>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</si>
  <si>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</si>
  <si>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</si>
  <si>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</si>
  <si>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</si>
  <si>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</si>
  <si>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</si>
  <si>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</si>
  <si>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</si>
  <si>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</si>
  <si>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 E FUNDAÇÃO</t>
  </si>
  <si>
    <t xml:space="preserve"> 1.1 </t>
  </si>
  <si>
    <t xml:space="preserve"> 102483</t>
  </si>
  <si>
    <t>SINAPI</t>
  </si>
  <si>
    <t>CONCRETO FCK = 30MPA, TRAÇO 1:1,9:2,3 (EM MASSA SECA DE CIMENTO/ AREIA MÉDIA/ SEIXO ROLADO) - PREPARO MECÂNICO COM BETONEIRA 600 L. AF_05/2021</t>
  </si>
  <si>
    <t>m³</t>
  </si>
  <si>
    <t xml:space="preserve"> 1.2 </t>
  </si>
  <si>
    <t xml:space="preserve"> 97737</t>
  </si>
  <si>
    <t>PEÇA RETANGULAR PRÉ-MOLDADA, VOLUME DE CONCRETO DE 30 A 70 LITROS, TAXA DE AÇO APROXIMADA DE 70KG/M³. AF_03/2024</t>
  </si>
  <si>
    <t xml:space="preserve"> 1.3 </t>
  </si>
  <si>
    <t>PEÇA RETANGULAR PRÉ-MOLDADA, VOLUME DE CONCRETO DE 30 A 70 LITROS, TAXA DE AÇO APROXIMADA DE 70KG/M³. AF_03/2024 (COBERTURA CÔNICA)</t>
  </si>
  <si>
    <t xml:space="preserve"> 1.4 </t>
  </si>
  <si>
    <t>CONCRETO FCK = 30MPA, TRAÇO 1:1,9:2,3 (EM MASSA SECA DE CIMENTO/ AREIA MÉDIA/ SEIXO ROLADO) - PREPARO MECÂNICO COM BETONEIRA 600 L. AF_05/2021 (CINTA DE COROAMENTO)</t>
  </si>
  <si>
    <t xml:space="preserve"> 1.5 </t>
  </si>
  <si>
    <t xml:space="preserve"> 92919</t>
  </si>
  <si>
    <t>SINAPI (ref.)</t>
  </si>
  <si>
    <t>ARMAÇÃO DE ESTRUTURAS DIVERSAS DE CONCRETO ARMADO, UTILIZANDO AÇO CA-50 - MONTAGEM (10 BARRAS VERTICAIS + CINTA DE COROAMENTO)</t>
  </si>
  <si>
    <t>kg</t>
  </si>
  <si>
    <t xml:space="preserve"> 1.6 </t>
  </si>
  <si>
    <t xml:space="preserve"> 90779</t>
  </si>
  <si>
    <t>ENGENHEIRO CIVIL DE OBRA SENIOR COM ENCARGOS COMPLEMENTARES</t>
  </si>
  <si>
    <t>H</t>
  </si>
  <si>
    <t xml:space="preserve"> 1.7 </t>
  </si>
  <si>
    <t xml:space="preserve"> 90776</t>
  </si>
  <si>
    <t>ENCARREGADO GERAL COM ENCARGOS COMPLEMENTARES</t>
  </si>
  <si>
    <t xml:space="preserve"> 2 </t>
  </si>
  <si>
    <t xml:space="preserve"> 103689</t>
  </si>
  <si>
    <t>FORNECIMENTO E INSTALAÇÃO DE PLACA DE OBRA COM CHAPA GALVANIZADA E ESTRUTURA DE MADEIRA. AF_03/2022_PS</t>
  </si>
  <si>
    <t>m²</t>
  </si>
  <si>
    <t xml:space="preserve"> 3 </t>
  </si>
  <si>
    <t>HIDRAULICA</t>
  </si>
  <si>
    <t xml:space="preserve"> 3.1 </t>
  </si>
  <si>
    <t xml:space="preserve"> 081008</t>
  </si>
  <si>
    <t>AGETOP CIVIL</t>
  </si>
  <si>
    <t>TUBO SOLDAVEL PVC MARROM DIAM. 75 MM</t>
  </si>
  <si>
    <t>m</t>
  </si>
  <si>
    <t xml:space="preserve"> 3.2 </t>
  </si>
  <si>
    <t xml:space="preserve"> 080911</t>
  </si>
  <si>
    <t>REGISTRO DE GAVETA BRUTO DIAMETRO 3"</t>
  </si>
  <si>
    <t>Un</t>
  </si>
  <si>
    <t xml:space="preserve"> 3.3 </t>
  </si>
  <si>
    <t xml:space="preserve"> 081326</t>
  </si>
  <si>
    <t>JOELHO 90 GRAUS SOLDAVEL DIAMETRO 75 mm</t>
  </si>
  <si>
    <t xml:space="preserve"> 4 </t>
  </si>
  <si>
    <t>PINTURA</t>
  </si>
  <si>
    <t xml:space="preserve"> 4.1 </t>
  </si>
  <si>
    <t xml:space="preserve"> 261550</t>
  </si>
  <si>
    <t>PINTURA TINTA ESMALTE SINTETICO PARA PAREDES - 2 DEMÃOS C/SELADOR</t>
  </si>
  <si>
    <t xml:space="preserve"> 4.2 </t>
  </si>
  <si>
    <t xml:space="preserve"> 98562</t>
  </si>
  <si>
    <t>IMPERMEABILIZAÇÃO DE SUPERFÍCIE COM ARGAMASSA DE CIMENTO E AREIA, COM ADITIVO IMPERMEABILIZANTE, E = 1,5CM. AF_09/2023</t>
  </si>
  <si>
    <t xml:space="preserve"> 4.3 </t>
  </si>
  <si>
    <t xml:space="preserve"> 104642</t>
  </si>
  <si>
    <t>PINTURA LÁTEX ACRÍLICA STANDARD, APLICAÇÃO MANUAL EM PAREDES, DUAS DEMÃOS. AF_04/2023</t>
  </si>
  <si>
    <t xml:space="preserve"> 5 </t>
  </si>
  <si>
    <t>ESTRUTURAS METÁLICAS COMPLEMENTARES</t>
  </si>
  <si>
    <t xml:space="preserve"> 5.1 </t>
  </si>
  <si>
    <t xml:space="preserve"> COMP.002</t>
  </si>
  <si>
    <t>Próprio</t>
  </si>
  <si>
    <t>ESCOTILHA METÁLICA 0,60x0,60m COM TAMPA ARTICULADA, CHAPA GALVANIZADA</t>
  </si>
  <si>
    <t xml:space="preserve"> 5.2 </t>
  </si>
  <si>
    <t xml:space="preserve"> 74194/001</t>
  </si>
  <si>
    <t>ESCADA TIPO MARINHEIRO EM TUBO AÇO GALVANIZADO 1.1/2", 10 DEGRAUS COM GAIOLA DE PROTEÇÃO, MONTAGEM E INSTALAÇÃO</t>
  </si>
  <si>
    <t xml:space="preserve"> 6 </t>
  </si>
  <si>
    <t>SERVIÇOS COMPLEMENTARES (TERRENO E LOCAÇÃO)</t>
  </si>
  <si>
    <t xml:space="preserve"> 6.1 </t>
  </si>
  <si>
    <t xml:space="preserve"> 73822/002</t>
  </si>
  <si>
    <t>LIMPEZA MECANIZADA DE TERRENO COM REMOÇÃO DE CAMADA VEGETAL, UTILIZANDO MOTONIVELADORA</t>
  </si>
  <si>
    <t xml:space="preserve"> 6.2 </t>
  </si>
  <si>
    <t xml:space="preserve"> 9537</t>
  </si>
  <si>
    <t>LIMPEZA FINAL DA OBRA</t>
  </si>
  <si>
    <t xml:space="preserve"> 6.3 </t>
  </si>
  <si>
    <t xml:space="preserve"> 74077/002</t>
  </si>
  <si>
    <t>LOCAÇÃO CONVENCIONAL DE OBRA, ATRAVÉS DE GABARITO DE TÁBUAS CORRIDAS PONTALETADAS, COM REAPROVEITAMENTO DE 10 UTILIZAÇÕES</t>
  </si>
  <si>
    <t>Total sem BDI</t>
  </si>
  <si>
    <t>Total do BDI</t>
  </si>
  <si>
    <t>Total Geral</t>
  </si>
  <si>
    <t>GILLIARDE JESUS DE SÁ</t>
  </si>
  <si>
    <t>Engenheiro Civil - CREA 28677/D-DF</t>
  </si>
  <si>
    <t>Responsável Técnico</t>
  </si>
  <si>
    <t>COMPOSIÇÃO DETALHADA DO BDI - RESERVATÓRIO SÃO JOÃO (200.000 L)</t>
  </si>
  <si>
    <t>Parcela</t>
  </si>
  <si>
    <t>Sigla</t>
  </si>
  <si>
    <t>% adotado</t>
  </si>
  <si>
    <t>Administração Central</t>
  </si>
  <si>
    <t>AC</t>
  </si>
  <si>
    <t>Seguro + Garantia</t>
  </si>
  <si>
    <t>S+G</t>
  </si>
  <si>
    <t>Risco</t>
  </si>
  <si>
    <t>R</t>
  </si>
  <si>
    <t>Despesas Financeiras</t>
  </si>
  <si>
    <t>DF</t>
  </si>
  <si>
    <t>Lucro</t>
  </si>
  <si>
    <t>L</t>
  </si>
  <si>
    <t>TRIBUTOS (I)</t>
  </si>
  <si>
    <t>PIS</t>
  </si>
  <si>
    <t>COFINS</t>
  </si>
  <si>
    <t>ISS</t>
  </si>
  <si>
    <t>Total tributos (I)</t>
  </si>
  <si>
    <t>FÓRMULA (Acórdão TCU 2622/2013):</t>
  </si>
  <si>
    <t>BDI = [ (1+AC+S+G+R) x (1+DF) x (1+L) / (1-I) ] - 1</t>
  </si>
  <si>
    <t>BDI CALCULADO (adotar na planilha orçamentária)</t>
  </si>
  <si>
    <t>CRONOGRAMA FÍSICO-FINANCEIRO - RESERVATÓRIO SÃO JOÃO (200.000 L)</t>
  </si>
  <si>
    <t>Etapa</t>
  </si>
  <si>
    <t>Valor Total (R$)</t>
  </si>
  <si>
    <t>Mês 1 (R$)</t>
  </si>
  <si>
    <t>Mês 1 (%)</t>
  </si>
  <si>
    <t>Mês 2 (R$)</t>
  </si>
  <si>
    <t>Mês 2 (%)</t>
  </si>
  <si>
    <t>Serviços preliminares e mobilização</t>
  </si>
  <si>
    <t>Fundação - Radier</t>
  </si>
  <si>
    <t>Montagem placas parede + cinta + armação + mão de obra</t>
  </si>
  <si>
    <t>Montagem cobertura cônica</t>
  </si>
  <si>
    <t>Instalações hidráulicas</t>
  </si>
  <si>
    <t>Estruturas metálicas (escotilha + escada)</t>
  </si>
  <si>
    <t>Impermeabilização</t>
  </si>
  <si>
    <t>Pintura (esmalte + látex)</t>
  </si>
  <si>
    <t>Administração local da obra</t>
  </si>
  <si>
    <t>TOTAL</t>
  </si>
  <si>
    <t>Percentual financeiro acumulado</t>
  </si>
  <si>
    <t>COMPOSIÇÕES DE PREÇO UNITÁRIO - ITENS PRÓPRIOS (SEM BASE SINAPI/GOINFRA)</t>
  </si>
  <si>
    <t>Itens 'Banco: Próprio' do Orçamento Sintético. Os valores unitários abaixo são REFERÊNCIA DE MERCADO e devem ser confirmados por cotação de fornecedor antes da publicação do edital.</t>
  </si>
  <si>
    <t>COMP.001 - PLACA DE OBRA EM CHAPA DE AÇO GALVANIZADO  (unidade: m²)  [SUBSTITUÍDO POR CÓDIGO SINAPI]</t>
  </si>
  <si>
    <t>Descrição do insumo/serviço</t>
  </si>
  <si>
    <t>Coeficiente</t>
  </si>
  <si>
    <t>Valor Unit (R$)</t>
  </si>
  <si>
    <t>Total (R$)</t>
  </si>
  <si>
    <t>SINAPI 103689 - FORNECIMENTO E INSTALAÇÃO DE PLACA DE OBRA COM CHAPA GALVANIZADA E ESTRUTURA DE MADEIRA. AF_03/2022_PS</t>
  </si>
  <si>
    <t>TOTAL (m²)</t>
  </si>
  <si>
    <t>COMP.002 - ESCOTILHA METÁLICA 0,60x0,60m COM TAMPA ARTICULADA  (unidade: un)  [INSUMOS SINAPI]</t>
  </si>
  <si>
    <t>SINAPI 00001334 - CHAPA DE AÇO ASTM A36 (insumo mais próximo disponível; especificar chapa fina 3mm com o fornecedor)</t>
  </si>
  <si>
    <t>SINAPI 88315 - SERRALHEIRO COM ENCARGOS COMPLEMENTARES</t>
  </si>
  <si>
    <t>h</t>
  </si>
  <si>
    <t>SINAPI 88251 - AUXILIAR DE SERRALHEIRO COM ENCARGOS COMPLEMENTARES</t>
  </si>
  <si>
    <t>SINAPI 00038151 - FECHADURA COM CILINDRO E CHAVE (trava/fechamento da escotilha)</t>
  </si>
  <si>
    <t>cj</t>
  </si>
  <si>
    <t>SINAPI 00007307 - FUNDO ANTICORROSIVO PARA METAIS FERROSOS (ZARCÃO)</t>
  </si>
  <si>
    <t>Dobradiças de aço (sem código SINAPI/GOINFRA localizado - referência de mercado)</t>
  </si>
  <si>
    <t>un</t>
  </si>
  <si>
    <t>COMP.003 - ESCADA METÁLICA TIPO MARINHEIRO, GALVANIZADA, FIXADA EXTERNAMENTE  (unidade: m)  [SUBSTITUÍDO POR CÓDIGO SINAPI]</t>
  </si>
  <si>
    <t>SINAPI 74194/001 - ESCADA TIPO MARINHEIRO EM TUBO AÇO GALVANIZADO 1.1/2", 10 DEGRAUS COM GAIOLA DE PROTEÇÃO, MONTAGEM E INSTALAÇÃO</t>
  </si>
  <si>
    <t>TOTAL (m)</t>
  </si>
  <si>
    <t>COMP.004 - [OBSOLETO] Administração Local substituída por: Limpeza do Terreno (6.1) + Limpeza Final (6.2) + Locação de Obra (6.3), itens 6.1-6.3 direto no Orçamento Sintético com códigos SINAPI reais.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</si>
</sst>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2" x14ac:knownFonts="1">
    <font>
      <sz val="11"/>
      <name val="Arial"/>
      <family val="1"/>
      <charset val="1"/>
    </font>
    <font>
      <b/>
      <sz val="11"/>
      <name val="Arial"/>
      <family val="1"/>
      <charset val="1"/>
    </font>
    <font>
      <b/>
      <sz val="10"/>
      <name val="Arial"/>
      <family val="1"/>
      <charset val="1"/>
    </font>
    <font>
      <b/>
      <sz val="11"/>
      <color rgb="FF000000"/>
      <name val="Cambria"/>
      <charset val="1"/>
    </font>
    <font>
      <sz val="11"/>
      <color rgb="FF000000"/>
      <name val="Cambria"/>
      <charset val="1"/>
    </font>
    <font>
      <sz val="11"/>
      <name val="Cambria"/>
      <charset val="1"/>
    </font>
    <font>
      <b/>
      <sz val="11"/>
      <name val="Cambria"/>
      <charset val="1"/>
    </font>
    <font>
      <sz val="10"/>
      <name val="Arial"/>
      <family val="2"/>
    </font>
    <font>
      <b/>
      <sz val="13"/>
      <name val="Cambria"/>
      <charset val="1"/>
    </font>
    <font>
      <i/>
      <sz val="9"/>
      <color rgb="FF7A7A7A"/>
      <name val="Cambria"/>
      <charset val="1"/>
    </font>
    <font>
      <b/>
      <sz val="12"/>
      <color rgb="FFFFFFFF"/>
      <name val="Cambria"/>
      <charset val="1"/>
    </font>
    <font>
      <b/>
      <i/>
      <sz val="10"/>
      <color rgb="FF999999"/>
      <name val="Cambri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BAD4EF"/>
        <bgColor rgb="FFCCCCCC"/>
      </patternFill>
    </fill>
    <fill>
      <patternFill patternType="solid">
        <fgColor rgb="FFDEE2E6"/>
        <bgColor rgb="FFF2F2F2"/>
      </patternFill>
    </fill>
    <fill>
      <patternFill patternType="solid">
        <fgColor rgb="FF1F3864"/>
        <bgColor rgb="FF333333"/>
      </patternFill>
    </fill>
    <fill>
      <patternFill patternType="solid">
        <fgColor rgb="FFF2F2F2"/>
        <bgColor rgb="FFFFFFFF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8" fillId="0" borderId="0" xfId="0" applyFont="1"/>
    <xf numFmtId="0" fontId="5" fillId="0" borderId="0" xfId="0" applyFont="1"/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3" fillId="0" borderId="0" xfId="0" applyFont="1"/>
    <xf numFmtId="4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4" borderId="0" xfId="0" applyFont="1" applyFill="1"/>
    <xf numFmtId="0" fontId="0" fillId="4" borderId="0" xfId="0" applyFill="1"/>
    <xf numFmtId="0" fontId="10" fillId="0" borderId="0" xfId="0" applyFont="1"/>
    <xf numFmtId="0" fontId="10" fillId="5" borderId="0" xfId="0" applyFont="1" applyFill="1"/>
    <xf numFmtId="0" fontId="6" fillId="0" borderId="1" xfId="0" applyFont="1" applyBorder="1"/>
    <xf numFmtId="4" fontId="6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5" fillId="4" borderId="0" xfId="0" applyFont="1" applyFill="1"/>
    <xf numFmtId="4" fontId="5" fillId="4" borderId="0" xfId="0" applyNumberFormat="1" applyFont="1" applyFill="1"/>
    <xf numFmtId="4" fontId="6" fillId="4" borderId="0" xfId="0" applyNumberFormat="1" applyFont="1" applyFill="1"/>
    <xf numFmtId="4" fontId="5" fillId="0" borderId="0" xfId="0" applyNumberFormat="1" applyFont="1"/>
    <xf numFmtId="0" fontId="11" fillId="6" borderId="0" xfId="0" applyFont="1" applyFill="1"/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4" fontId="4" fillId="4" borderId="2" xfId="0" applyNumberFormat="1" applyFont="1" applyFill="1" applyBorder="1" applyAlignment="1">
      <alignment horizontal="center" vertical="top" wrapText="1"/>
    </xf>
    <xf numFmtId="164" fontId="4" fillId="4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4" fontId="3" fillId="3" borderId="2" xfId="0" applyNumberFormat="1" applyFont="1" applyFill="1" applyBorder="1" applyAlignment="1">
      <alignment horizontal="center" vertical="top" wrapText="1"/>
    </xf>
    <xf numFmtId="164" fontId="3" fillId="3" borderId="2" xfId="0" applyNumberFormat="1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/>
    </xf>
    <xf numFmtId="4" fontId="4" fillId="4" borderId="2" xfId="0" applyNumberFormat="1" applyFont="1" applyFill="1" applyBorder="1" applyAlignment="1">
      <alignment horizontal="center"/>
    </xf>
    <xf numFmtId="164" fontId="4" fillId="4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" fontId="3" fillId="3" borderId="2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10" fontId="6" fillId="0" borderId="2" xfId="0" applyNumberFormat="1" applyFont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4" fontId="0" fillId="0" borderId="2" xfId="0" applyNumberFormat="1" applyBorder="1" applyAlignment="1">
      <alignment horizontal="center" wrapText="1"/>
    </xf>
    <xf numFmtId="10" fontId="0" fillId="0" borderId="2" xfId="0" applyNumberFormat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4" fontId="6" fillId="3" borderId="2" xfId="0" applyNumberFormat="1" applyFont="1" applyFill="1" applyBorder="1" applyAlignment="1">
      <alignment horizontal="center" wrapText="1"/>
    </xf>
    <xf numFmtId="10" fontId="6" fillId="3" borderId="2" xfId="0" applyNumberFormat="1" applyFont="1" applyFill="1" applyBorder="1" applyAlignment="1">
      <alignment horizont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4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0" fontId="5" fillId="0" borderId="0" xfId="0" applyFont="1"/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10" fontId="2" fillId="2" borderId="0" xfId="0" applyNumberFormat="1" applyFont="1" applyFill="1" applyAlignment="1">
      <alignment horizontal="left" vertical="top" wrapText="1"/>
    </xf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A7A7A"/>
      <rgbColor rgb="FF9999FF"/>
      <rgbColor rgb="FF993366"/>
      <rgbColor rgb="FFF2F2F2"/>
      <rgbColor rgb="FFDEE2E6"/>
      <rgbColor rgb="FF660066"/>
      <rgbColor rgb="FFFF8080"/>
      <rgbColor rgb="FF0066CC"/>
      <rgbColor rgb="FFBAD4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CCCCCC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13466</xdr:colOff>
      <xdr:row>0</xdr:row>
      <xdr:rowOff>95181</xdr:rowOff>
    </xdr:from>
    <xdr:to>
      <xdr:col>2</xdr:col>
      <xdr:colOff>306519</xdr:colOff>
      <xdr:row>1</xdr:row>
      <xdr:rowOff>775607</xdr:rowOff>
    </xdr:to>
    <xdr:pic>
      <xdr:nvPicPr>
        <xdr:cNvPr id="2" name="Imagem 2" descr="Prefeitura De São Domingos-GO (@prefeiturasaodomingos) · São Domingos, 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466" y="95181"/>
          <a:ext cx="2021160" cy="126553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376560</xdr:colOff>
      <xdr:row>0</xdr:row>
      <xdr:rowOff>519480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76560" cy="519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376560</xdr:colOff>
      <xdr:row>0</xdr:row>
      <xdr:rowOff>519480</xdr:rowOff>
    </xdr:to>
    <xdr:pic>
      <xdr:nvPicPr>
        <xdr:cNvPr id="3" name="Imag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76560" cy="5194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opLeftCell="A19" zoomScale="70" zoomScaleNormal="70" workbookViewId="0">
      <selection activeCell="E25" sqref="E25"/>
    </sheetView>
  </sheetViews>
  <sheetFormatPr defaultColWidth="8.625" defaultRowHeight="14.25" x14ac:dyDescent="0.2"/>
  <cols>
    <col min="1" max="1" width="12.625" customWidth="1"/>
    <col min="2" max="2" width="10" customWidth="1"/>
    <col min="3" max="3" width="15" customWidth="1"/>
    <col min="4" max="4" width="60" customWidth="1"/>
    <col min="5" max="5" width="8" customWidth="1"/>
    <col min="6" max="10" width="13" customWidth="1"/>
  </cols>
  <sheetData>
    <row r="1" spans="1:10" ht="45.75" customHeight="1" x14ac:dyDescent="0.2">
      <c r="A1" s="67"/>
      <c r="B1" s="67"/>
      <c r="C1" s="67"/>
      <c r="D1" s="4" t="s">
        <v>0</v>
      </c>
      <c r="E1" s="67" t="s">
        <v>1</v>
      </c>
      <c r="F1" s="67"/>
      <c r="G1" s="67" t="s">
        <v>2</v>
      </c>
      <c r="H1" s="67"/>
      <c r="I1" s="67" t="s">
        <v>3</v>
      </c>
      <c r="J1" s="67"/>
    </row>
    <row r="2" spans="1:10" ht="79.5" customHeight="1" x14ac:dyDescent="0.2">
      <c r="A2" s="3"/>
      <c r="C2" s="3"/>
      <c r="D2" s="3" t="s">
        <v>4</v>
      </c>
      <c r="E2" s="68" t="s">
        <v>5</v>
      </c>
      <c r="F2" s="68"/>
      <c r="G2" s="69">
        <f>'Composicao BDI'!C19</f>
        <v>0.22987244663382578</v>
      </c>
      <c r="H2" s="68"/>
      <c r="I2" s="68" t="s">
        <v>6</v>
      </c>
      <c r="J2" s="68"/>
    </row>
    <row r="3" spans="1:10" ht="15" customHeight="1" x14ac:dyDescent="0.25">
      <c r="A3" s="23" t="s">
        <v>7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30" customHeight="1" x14ac:dyDescent="0.2">
      <c r="A4" s="24" t="s">
        <v>8</v>
      </c>
      <c r="B4" s="24" t="s">
        <v>9</v>
      </c>
      <c r="C4" s="24" t="s">
        <v>10</v>
      </c>
      <c r="D4" s="24" t="s">
        <v>11</v>
      </c>
      <c r="E4" s="24" t="s">
        <v>12</v>
      </c>
      <c r="F4" s="24" t="s">
        <v>13</v>
      </c>
      <c r="G4" s="24" t="s">
        <v>14</v>
      </c>
      <c r="H4" s="24" t="s">
        <v>15</v>
      </c>
      <c r="I4" s="24" t="s">
        <v>16</v>
      </c>
      <c r="J4" s="24" t="s">
        <v>17</v>
      </c>
    </row>
    <row r="5" spans="1:10" ht="24" customHeight="1" x14ac:dyDescent="0.2">
      <c r="A5" s="25" t="s">
        <v>18</v>
      </c>
      <c r="B5" s="25" t="s">
        <v>19</v>
      </c>
      <c r="C5" s="25"/>
      <c r="D5" s="25" t="s">
        <v>20</v>
      </c>
      <c r="E5" s="25"/>
      <c r="F5" s="25">
        <v>1</v>
      </c>
      <c r="G5" s="25"/>
      <c r="H5" s="31">
        <f>SUM(I6:I12)</f>
        <v>126704.50055781554</v>
      </c>
      <c r="I5" s="31">
        <f>SUM(I6:I12)</f>
        <v>126704.50055781554</v>
      </c>
      <c r="J5" s="32">
        <f>I5/$H$31</f>
        <v>0.81486784926538314</v>
      </c>
    </row>
    <row r="6" spans="1:10" ht="39" customHeight="1" x14ac:dyDescent="0.2">
      <c r="A6" s="26" t="s">
        <v>21</v>
      </c>
      <c r="B6" s="26" t="s">
        <v>22</v>
      </c>
      <c r="C6" s="26" t="s">
        <v>23</v>
      </c>
      <c r="D6" s="26" t="s">
        <v>24</v>
      </c>
      <c r="E6" s="26" t="s">
        <v>25</v>
      </c>
      <c r="F6" s="26">
        <v>9.56</v>
      </c>
      <c r="G6" s="27">
        <v>893.85</v>
      </c>
      <c r="H6" s="27">
        <f t="shared" ref="H6:H13" si="0">G6*(1+$G$2)</f>
        <v>1099.3214864236452</v>
      </c>
      <c r="I6" s="27">
        <f t="shared" ref="I6:I13" si="1">F6*H6</f>
        <v>10509.513410210049</v>
      </c>
      <c r="J6" s="28">
        <f t="shared" ref="J6:J28" si="2">I6/$H$31</f>
        <v>6.7589269139621877E-2</v>
      </c>
    </row>
    <row r="7" spans="1:10" ht="39" customHeight="1" x14ac:dyDescent="0.2">
      <c r="A7" s="26" t="s">
        <v>26</v>
      </c>
      <c r="B7" s="26" t="s">
        <v>27</v>
      </c>
      <c r="C7" s="26" t="s">
        <v>23</v>
      </c>
      <c r="D7" s="26" t="s">
        <v>28</v>
      </c>
      <c r="E7" s="26" t="s">
        <v>25</v>
      </c>
      <c r="F7" s="26">
        <v>18.190000000000001</v>
      </c>
      <c r="G7" s="27">
        <v>3359.42</v>
      </c>
      <c r="H7" s="27">
        <f t="shared" si="0"/>
        <v>4131.6580946706072</v>
      </c>
      <c r="I7" s="27">
        <f t="shared" si="1"/>
        <v>75154.860742058343</v>
      </c>
      <c r="J7" s="28">
        <f t="shared" si="2"/>
        <v>0.48333941939793945</v>
      </c>
    </row>
    <row r="8" spans="1:10" ht="42.75" x14ac:dyDescent="0.2">
      <c r="A8" s="26" t="s">
        <v>29</v>
      </c>
      <c r="B8" s="26" t="s">
        <v>27</v>
      </c>
      <c r="C8" s="26" t="s">
        <v>23</v>
      </c>
      <c r="D8" s="26" t="s">
        <v>30</v>
      </c>
      <c r="E8" s="26" t="s">
        <v>25</v>
      </c>
      <c r="F8" s="26">
        <v>6.1</v>
      </c>
      <c r="G8" s="27">
        <v>3359.42</v>
      </c>
      <c r="H8" s="27">
        <f t="shared" si="0"/>
        <v>4131.6580946706072</v>
      </c>
      <c r="I8" s="27">
        <f t="shared" si="1"/>
        <v>25203.114377490703</v>
      </c>
      <c r="J8" s="28">
        <f t="shared" si="2"/>
        <v>0.16208743586187085</v>
      </c>
    </row>
    <row r="9" spans="1:10" ht="42.75" x14ac:dyDescent="0.2">
      <c r="A9" s="26" t="s">
        <v>31</v>
      </c>
      <c r="B9" s="26" t="s">
        <v>22</v>
      </c>
      <c r="C9" s="26" t="s">
        <v>23</v>
      </c>
      <c r="D9" s="26" t="s">
        <v>32</v>
      </c>
      <c r="E9" s="26" t="s">
        <v>25</v>
      </c>
      <c r="F9" s="26">
        <v>0.67400000000000004</v>
      </c>
      <c r="G9" s="27">
        <v>893.85</v>
      </c>
      <c r="H9" s="27">
        <f t="shared" si="0"/>
        <v>1099.3214864236452</v>
      </c>
      <c r="I9" s="27">
        <f t="shared" si="1"/>
        <v>740.94268184953694</v>
      </c>
      <c r="J9" s="28">
        <f t="shared" si="2"/>
        <v>4.7651848744879859E-3</v>
      </c>
    </row>
    <row r="10" spans="1:10" ht="42.75" x14ac:dyDescent="0.2">
      <c r="A10" s="26" t="s">
        <v>33</v>
      </c>
      <c r="B10" s="26" t="s">
        <v>34</v>
      </c>
      <c r="C10" s="26" t="s">
        <v>35</v>
      </c>
      <c r="D10" s="26" t="s">
        <v>36</v>
      </c>
      <c r="E10" s="26" t="s">
        <v>37</v>
      </c>
      <c r="F10" s="26">
        <v>77.5</v>
      </c>
      <c r="G10" s="27">
        <v>14.84</v>
      </c>
      <c r="H10" s="27">
        <f t="shared" si="0"/>
        <v>18.251307108045975</v>
      </c>
      <c r="I10" s="27">
        <f t="shared" si="1"/>
        <v>1414.4763008735631</v>
      </c>
      <c r="J10" s="28">
        <f t="shared" si="2"/>
        <v>9.0968454636996595E-3</v>
      </c>
    </row>
    <row r="11" spans="1:10" ht="24" customHeight="1" x14ac:dyDescent="0.2">
      <c r="A11" s="26" t="s">
        <v>38</v>
      </c>
      <c r="B11" s="26" t="s">
        <v>39</v>
      </c>
      <c r="C11" s="26" t="s">
        <v>23</v>
      </c>
      <c r="D11" s="26" t="s">
        <v>40</v>
      </c>
      <c r="E11" s="26" t="s">
        <v>41</v>
      </c>
      <c r="F11" s="26">
        <v>50</v>
      </c>
      <c r="G11" s="27">
        <v>160.6</v>
      </c>
      <c r="H11" s="27">
        <f t="shared" si="0"/>
        <v>197.51751492939241</v>
      </c>
      <c r="I11" s="27">
        <f t="shared" si="1"/>
        <v>9875.8757464696209</v>
      </c>
      <c r="J11" s="28">
        <f t="shared" si="2"/>
        <v>6.3514189264853721E-2</v>
      </c>
    </row>
    <row r="12" spans="1:10" ht="24" customHeight="1" x14ac:dyDescent="0.2">
      <c r="A12" s="26" t="s">
        <v>42</v>
      </c>
      <c r="B12" s="26" t="s">
        <v>43</v>
      </c>
      <c r="C12" s="26" t="s">
        <v>23</v>
      </c>
      <c r="D12" s="26" t="s">
        <v>44</v>
      </c>
      <c r="E12" s="26" t="s">
        <v>41</v>
      </c>
      <c r="F12" s="26">
        <v>80</v>
      </c>
      <c r="G12" s="27">
        <v>38.68</v>
      </c>
      <c r="H12" s="27">
        <f t="shared" si="0"/>
        <v>47.571466235796379</v>
      </c>
      <c r="I12" s="27">
        <f t="shared" si="1"/>
        <v>3805.7172988637103</v>
      </c>
      <c r="J12" s="28">
        <f t="shared" si="2"/>
        <v>2.4475505262909508E-2</v>
      </c>
    </row>
    <row r="13" spans="1:10" ht="28.5" x14ac:dyDescent="0.2">
      <c r="A13" s="26" t="s">
        <v>45</v>
      </c>
      <c r="B13" s="26" t="s">
        <v>46</v>
      </c>
      <c r="C13" s="26" t="s">
        <v>23</v>
      </c>
      <c r="D13" s="26" t="s">
        <v>47</v>
      </c>
      <c r="E13" s="26" t="s">
        <v>48</v>
      </c>
      <c r="F13" s="26">
        <v>1.5</v>
      </c>
      <c r="G13" s="27">
        <f>'Composicoes Proprias'!E8</f>
        <v>487.6</v>
      </c>
      <c r="H13" s="27">
        <f t="shared" si="0"/>
        <v>599.68580497865344</v>
      </c>
      <c r="I13" s="27">
        <f t="shared" si="1"/>
        <v>899.52870746798021</v>
      </c>
      <c r="J13" s="28">
        <f t="shared" si="2"/>
        <v>5.7850906635509361E-3</v>
      </c>
    </row>
    <row r="14" spans="1:10" ht="24" customHeight="1" x14ac:dyDescent="0.2">
      <c r="A14" s="25" t="s">
        <v>49</v>
      </c>
      <c r="B14" s="25" t="s">
        <v>19</v>
      </c>
      <c r="C14" s="25"/>
      <c r="D14" s="25" t="s">
        <v>50</v>
      </c>
      <c r="E14" s="25"/>
      <c r="F14" s="25">
        <v>1</v>
      </c>
      <c r="G14" s="25"/>
      <c r="H14" s="31">
        <f>SUM(I15:I17)</f>
        <v>8573.6203868616085</v>
      </c>
      <c r="I14" s="31">
        <f>SUM(I15:I17)</f>
        <v>8573.6203868616085</v>
      </c>
      <c r="J14" s="32">
        <f t="shared" si="2"/>
        <v>5.5139064313440601E-2</v>
      </c>
    </row>
    <row r="15" spans="1:10" ht="24" customHeight="1" x14ac:dyDescent="0.2">
      <c r="A15" s="26" t="s">
        <v>51</v>
      </c>
      <c r="B15" s="26" t="s">
        <v>52</v>
      </c>
      <c r="C15" s="26" t="s">
        <v>53</v>
      </c>
      <c r="D15" s="26" t="s">
        <v>54</v>
      </c>
      <c r="E15" s="26" t="s">
        <v>55</v>
      </c>
      <c r="F15" s="26">
        <v>63.4</v>
      </c>
      <c r="G15" s="27">
        <v>68.09</v>
      </c>
      <c r="H15" s="27">
        <f>G15*(1+$G$2)</f>
        <v>83.742014891297202</v>
      </c>
      <c r="I15" s="27">
        <f>F15*H15</f>
        <v>5309.2437441082429</v>
      </c>
      <c r="J15" s="28">
        <f t="shared" si="2"/>
        <v>3.414505413730793E-2</v>
      </c>
    </row>
    <row r="16" spans="1:10" ht="25.5" customHeight="1" x14ac:dyDescent="0.2">
      <c r="A16" s="26" t="s">
        <v>56</v>
      </c>
      <c r="B16" s="26" t="s">
        <v>57</v>
      </c>
      <c r="C16" s="26" t="s">
        <v>53</v>
      </c>
      <c r="D16" s="26" t="s">
        <v>58</v>
      </c>
      <c r="E16" s="26" t="s">
        <v>59</v>
      </c>
      <c r="F16" s="26">
        <v>4</v>
      </c>
      <c r="G16" s="27">
        <v>547.07000000000005</v>
      </c>
      <c r="H16" s="27">
        <f>G16*(1+$G$2)</f>
        <v>672.82631937996712</v>
      </c>
      <c r="I16" s="27">
        <f>F16*H16</f>
        <v>2691.3052775198685</v>
      </c>
      <c r="J16" s="28">
        <f t="shared" si="2"/>
        <v>1.7308447083996776E-2</v>
      </c>
    </row>
    <row r="17" spans="1:10" ht="39" customHeight="1" x14ac:dyDescent="0.2">
      <c r="A17" s="26" t="s">
        <v>60</v>
      </c>
      <c r="B17" s="26" t="s">
        <v>61</v>
      </c>
      <c r="C17" s="26" t="s">
        <v>53</v>
      </c>
      <c r="D17" s="26" t="s">
        <v>62</v>
      </c>
      <c r="E17" s="26" t="s">
        <v>59</v>
      </c>
      <c r="F17" s="26">
        <v>4</v>
      </c>
      <c r="G17" s="27">
        <v>116.49</v>
      </c>
      <c r="H17" s="27">
        <f>G17*(1+$G$2)</f>
        <v>143.26784130837436</v>
      </c>
      <c r="I17" s="27">
        <f>F17*H17</f>
        <v>573.07136523349743</v>
      </c>
      <c r="J17" s="28">
        <f t="shared" si="2"/>
        <v>3.6855630921358955E-3</v>
      </c>
    </row>
    <row r="18" spans="1:10" ht="25.5" customHeight="1" x14ac:dyDescent="0.2">
      <c r="A18" s="25" t="s">
        <v>63</v>
      </c>
      <c r="B18" s="25" t="s">
        <v>19</v>
      </c>
      <c r="C18" s="25"/>
      <c r="D18" s="25" t="s">
        <v>64</v>
      </c>
      <c r="E18" s="25"/>
      <c r="F18" s="25">
        <v>1</v>
      </c>
      <c r="G18" s="25"/>
      <c r="H18" s="31">
        <f>SUM(I19:I21)</f>
        <v>13342.627162393115</v>
      </c>
      <c r="I18" s="31">
        <f>SUM(I19:I21)</f>
        <v>13342.627162393115</v>
      </c>
      <c r="J18" s="32">
        <f t="shared" si="2"/>
        <v>8.5809721450328627E-2</v>
      </c>
    </row>
    <row r="19" spans="1:10" ht="27.75" customHeight="1" x14ac:dyDescent="0.2">
      <c r="A19" s="59" t="s">
        <v>65</v>
      </c>
      <c r="B19" s="59" t="s">
        <v>66</v>
      </c>
      <c r="C19" s="59" t="s">
        <v>53</v>
      </c>
      <c r="D19" s="26" t="s">
        <v>67</v>
      </c>
      <c r="E19" s="26" t="s">
        <v>48</v>
      </c>
      <c r="F19" s="26">
        <v>48.1</v>
      </c>
      <c r="G19" s="27">
        <v>18.13</v>
      </c>
      <c r="H19" s="27">
        <f>G19*(1+$G$2)</f>
        <v>22.297587457471259</v>
      </c>
      <c r="I19" s="27">
        <f>F19*H19</f>
        <v>1072.5139567043675</v>
      </c>
      <c r="J19" s="28">
        <f t="shared" si="2"/>
        <v>6.8976014061000596E-3</v>
      </c>
    </row>
    <row r="20" spans="1:10" ht="27.75" customHeight="1" x14ac:dyDescent="0.2">
      <c r="A20" s="26" t="s">
        <v>68</v>
      </c>
      <c r="B20" s="33" t="s">
        <v>69</v>
      </c>
      <c r="C20" s="33" t="s">
        <v>23</v>
      </c>
      <c r="D20" s="55" t="s">
        <v>70</v>
      </c>
      <c r="E20" s="26" t="s">
        <v>48</v>
      </c>
      <c r="F20" s="26">
        <v>157.24</v>
      </c>
      <c r="G20" s="34">
        <v>54.51</v>
      </c>
      <c r="H20" s="27">
        <f>G20*(1+$G$2)</f>
        <v>67.040347066009844</v>
      </c>
      <c r="I20" s="34">
        <f>F20*H20</f>
        <v>10541.424172659388</v>
      </c>
      <c r="J20" s="35">
        <f t="shared" si="2"/>
        <v>6.779449511226715E-2</v>
      </c>
    </row>
    <row r="21" spans="1:10" ht="27.75" customHeight="1" x14ac:dyDescent="0.2">
      <c r="A21" s="26" t="s">
        <v>71</v>
      </c>
      <c r="B21" s="33" t="s">
        <v>72</v>
      </c>
      <c r="C21" s="33" t="s">
        <v>23</v>
      </c>
      <c r="D21" s="55" t="s">
        <v>73</v>
      </c>
      <c r="E21" s="26" t="s">
        <v>48</v>
      </c>
      <c r="F21" s="26">
        <v>123.84</v>
      </c>
      <c r="G21" s="34">
        <v>11.35</v>
      </c>
      <c r="H21" s="27">
        <f>G21*(1+$G$2)</f>
        <v>13.959052269293922</v>
      </c>
      <c r="I21" s="34">
        <f>F21*H21</f>
        <v>1728.6890330293593</v>
      </c>
      <c r="J21" s="35">
        <f t="shared" si="2"/>
        <v>1.1117624931961414E-2</v>
      </c>
    </row>
    <row r="22" spans="1:10" ht="14.25" customHeight="1" x14ac:dyDescent="0.2">
      <c r="A22" s="25" t="s">
        <v>74</v>
      </c>
      <c r="B22" s="36" t="s">
        <v>19</v>
      </c>
      <c r="C22" s="36"/>
      <c r="D22" s="56" t="s">
        <v>75</v>
      </c>
      <c r="E22" s="25"/>
      <c r="F22" s="25">
        <v>1</v>
      </c>
      <c r="G22" s="36"/>
      <c r="H22" s="31">
        <f>SUM(I23:I24)</f>
        <v>3602.1537309866658</v>
      </c>
      <c r="I22" s="37">
        <f>SUM(I23:I24)</f>
        <v>3602.1537309866658</v>
      </c>
      <c r="J22" s="38">
        <f t="shared" si="2"/>
        <v>2.3166337822017661E-2</v>
      </c>
    </row>
    <row r="23" spans="1:10" ht="28.5" x14ac:dyDescent="0.2">
      <c r="A23" s="26" t="s">
        <v>76</v>
      </c>
      <c r="B23" s="26" t="s">
        <v>77</v>
      </c>
      <c r="C23" s="26" t="s">
        <v>78</v>
      </c>
      <c r="D23" s="55" t="s">
        <v>79</v>
      </c>
      <c r="E23" s="26" t="s">
        <v>59</v>
      </c>
      <c r="F23" s="26">
        <v>1</v>
      </c>
      <c r="G23" s="27">
        <f>'Composicoes Proprias'!E21</f>
        <v>349.56</v>
      </c>
      <c r="H23" s="27">
        <f>G23*(1+$G$2)</f>
        <v>429.91421244532012</v>
      </c>
      <c r="I23" s="27">
        <f>F23*H23</f>
        <v>429.91421244532012</v>
      </c>
      <c r="J23" s="28">
        <f t="shared" si="2"/>
        <v>2.7648841842368948E-3</v>
      </c>
    </row>
    <row r="24" spans="1:10" ht="28.5" x14ac:dyDescent="0.2">
      <c r="A24" s="26" t="s">
        <v>80</v>
      </c>
      <c r="B24" s="33" t="s">
        <v>81</v>
      </c>
      <c r="C24" s="33" t="s">
        <v>23</v>
      </c>
      <c r="D24" s="57" t="s">
        <v>82</v>
      </c>
      <c r="E24" s="33" t="s">
        <v>55</v>
      </c>
      <c r="F24" s="33">
        <v>6.1</v>
      </c>
      <c r="G24" s="34">
        <f>'Composicoes Proprias'!E26</f>
        <v>422.84</v>
      </c>
      <c r="H24" s="34">
        <f>G24*(1+$G$2)</f>
        <v>520.03926533464687</v>
      </c>
      <c r="I24" s="34">
        <f>F24*H24</f>
        <v>3172.2395185413457</v>
      </c>
      <c r="J24" s="35">
        <f t="shared" si="2"/>
        <v>2.0401453637780766E-2</v>
      </c>
    </row>
    <row r="25" spans="1:10" ht="14.25" customHeight="1" x14ac:dyDescent="0.2">
      <c r="A25" s="61" t="s">
        <v>83</v>
      </c>
      <c r="B25" s="61" t="s">
        <v>19</v>
      </c>
      <c r="C25" s="61"/>
      <c r="D25" s="58" t="s">
        <v>84</v>
      </c>
      <c r="E25" s="36"/>
      <c r="F25" s="36">
        <v>1</v>
      </c>
      <c r="G25" s="37"/>
      <c r="H25" s="37">
        <f>SUM(I26:I28)</f>
        <v>2368.4268641050903</v>
      </c>
      <c r="I25" s="37">
        <f>SUM(I26:I28)</f>
        <v>2368.4268641050903</v>
      </c>
      <c r="J25" s="38">
        <f t="shared" si="2"/>
        <v>1.5231936485279212E-2</v>
      </c>
    </row>
    <row r="26" spans="1:10" ht="14.25" customHeight="1" x14ac:dyDescent="0.2">
      <c r="A26" s="60" t="s">
        <v>85</v>
      </c>
      <c r="B26" s="60" t="s">
        <v>86</v>
      </c>
      <c r="C26" s="60" t="s">
        <v>23</v>
      </c>
      <c r="D26" s="33" t="s">
        <v>87</v>
      </c>
      <c r="E26" s="33" t="s">
        <v>48</v>
      </c>
      <c r="F26" s="33">
        <v>150</v>
      </c>
      <c r="G26" s="34">
        <v>0.52</v>
      </c>
      <c r="H26" s="34">
        <f>G26*(1+$G$2)</f>
        <v>0.63953367224958946</v>
      </c>
      <c r="I26" s="34">
        <f>F26*H26</f>
        <v>95.930050837438415</v>
      </c>
      <c r="J26" s="35">
        <f t="shared" si="2"/>
        <v>6.1694978364366015E-4</v>
      </c>
    </row>
    <row r="27" spans="1:10" ht="14.25" customHeight="1" x14ac:dyDescent="0.2">
      <c r="A27" s="33" t="s">
        <v>88</v>
      </c>
      <c r="B27" s="33" t="s">
        <v>89</v>
      </c>
      <c r="C27" s="33" t="s">
        <v>23</v>
      </c>
      <c r="D27" s="33" t="s">
        <v>90</v>
      </c>
      <c r="E27" s="33" t="s">
        <v>48</v>
      </c>
      <c r="F27" s="33">
        <v>100</v>
      </c>
      <c r="G27" s="34">
        <v>2.1</v>
      </c>
      <c r="H27" s="34">
        <f>G27*(1+$G$2)</f>
        <v>2.5827321379310342</v>
      </c>
      <c r="I27" s="34">
        <f>F27*H27</f>
        <v>258.27321379310342</v>
      </c>
      <c r="J27" s="35">
        <f t="shared" si="2"/>
        <v>1.6610186482713925E-3</v>
      </c>
    </row>
    <row r="28" spans="1:10" ht="14.25" customHeight="1" x14ac:dyDescent="0.2">
      <c r="A28" s="33" t="s">
        <v>91</v>
      </c>
      <c r="B28" s="33" t="s">
        <v>92</v>
      </c>
      <c r="C28" s="33" t="s">
        <v>23</v>
      </c>
      <c r="D28" s="33" t="s">
        <v>93</v>
      </c>
      <c r="E28" s="33" t="s">
        <v>55</v>
      </c>
      <c r="F28" s="33">
        <v>25</v>
      </c>
      <c r="G28" s="34">
        <v>65.510000000000005</v>
      </c>
      <c r="H28" s="34">
        <f>G28*(1+$G$2)</f>
        <v>80.568943978981935</v>
      </c>
      <c r="I28" s="34">
        <f>F28*H28</f>
        <v>2014.2235994745483</v>
      </c>
      <c r="J28" s="35">
        <f t="shared" si="2"/>
        <v>1.2953968053364158E-2</v>
      </c>
    </row>
    <row r="29" spans="1:10" ht="14.25" customHeight="1" x14ac:dyDescent="0.2">
      <c r="A29" s="2"/>
      <c r="B29" s="2"/>
      <c r="C29" s="2"/>
      <c r="D29" s="2"/>
      <c r="E29" s="2"/>
      <c r="F29" s="5" t="s">
        <v>94</v>
      </c>
      <c r="G29" s="2"/>
      <c r="H29" s="6">
        <f>F6*G6+F7*G7+F8*G8+F9*G9+F10*G10+F11*G11+F12*G12+F13*G13+F15*G15+F16*G16+F17*G17+F19*G19+F20*G20+F21*G21+F23*G23+F24*G24+F26*G26+F27*G27+F28*G28</f>
        <v>126428.4421</v>
      </c>
      <c r="I29" s="2"/>
      <c r="J29" s="2"/>
    </row>
    <row r="30" spans="1:10" ht="14.25" customHeight="1" x14ac:dyDescent="0.2">
      <c r="A30" s="2"/>
      <c r="B30" s="2"/>
      <c r="C30" s="2"/>
      <c r="D30" s="2"/>
      <c r="E30" s="2"/>
      <c r="F30" s="5" t="s">
        <v>95</v>
      </c>
      <c r="G30" s="2"/>
      <c r="H30" s="6">
        <f>H29*'Composicao BDI'!C19</f>
        <v>29062.415309629981</v>
      </c>
      <c r="I30" s="2"/>
      <c r="J30" s="2"/>
    </row>
    <row r="31" spans="1:10" ht="14.25" customHeight="1" x14ac:dyDescent="0.2">
      <c r="A31" s="2"/>
      <c r="B31" s="2"/>
      <c r="C31" s="2"/>
      <c r="D31" s="2"/>
      <c r="E31" s="2"/>
      <c r="F31" s="5" t="s">
        <v>96</v>
      </c>
      <c r="G31" s="2"/>
      <c r="H31" s="6">
        <f>H29+H30</f>
        <v>155490.85740962997</v>
      </c>
      <c r="I31" s="2"/>
      <c r="J31" s="2"/>
    </row>
    <row r="32" spans="1:10" ht="14.25" customHeight="1" x14ac:dyDescent="0.2">
      <c r="A32" s="2"/>
      <c r="B32" s="2"/>
      <c r="C32" s="2"/>
      <c r="D32" s="65"/>
      <c r="E32" s="65"/>
      <c r="F32" s="65"/>
      <c r="G32" s="2"/>
      <c r="H32" s="2"/>
      <c r="I32" s="2"/>
      <c r="J32" s="2"/>
    </row>
    <row r="33" spans="1:10" ht="14.25" customHeight="1" x14ac:dyDescent="0.2">
      <c r="A33" s="7"/>
      <c r="B33" s="2"/>
      <c r="C33" s="2"/>
      <c r="D33" s="65"/>
      <c r="E33" s="65"/>
      <c r="F33" s="65"/>
      <c r="G33" s="2"/>
      <c r="H33" s="2"/>
      <c r="I33" s="2"/>
      <c r="J33" s="2"/>
    </row>
    <row r="34" spans="1:10" ht="14.25" customHeight="1" x14ac:dyDescent="0.2">
      <c r="D34" s="66"/>
      <c r="E34" s="66"/>
      <c r="F34" s="66"/>
    </row>
    <row r="35" spans="1:10" ht="14.25" customHeight="1" x14ac:dyDescent="0.2">
      <c r="D35" s="8" t="s">
        <v>97</v>
      </c>
    </row>
    <row r="36" spans="1:10" ht="14.25" customHeight="1" x14ac:dyDescent="0.2">
      <c r="D36" s="9" t="s">
        <v>98</v>
      </c>
    </row>
    <row r="37" spans="1:10" ht="14.25" customHeight="1" x14ac:dyDescent="0.2">
      <c r="D37" s="9" t="s">
        <v>99</v>
      </c>
    </row>
  </sheetData>
  <mergeCells count="10">
    <mergeCell ref="G1:H1"/>
    <mergeCell ref="I1:J1"/>
    <mergeCell ref="E2:F2"/>
    <mergeCell ref="G2:H2"/>
    <mergeCell ref="I2:J2"/>
    <mergeCell ref="D32:F32"/>
    <mergeCell ref="D33:F33"/>
    <mergeCell ref="D34:F34"/>
    <mergeCell ref="A1:C1"/>
    <mergeCell ref="E1:F1"/>
  </mergeCells>
  <pageMargins left="0.75" right="0.75" top="1" bottom="1" header="0.511811023622047" footer="0.511811023622047"/>
  <pageSetup paperSize="9" scale="46" fitToHeight="0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7"/>
  <sheetViews>
    <sheetView view="pageBreakPreview" zoomScale="55" zoomScaleNormal="100" zoomScaleSheetLayoutView="55" workbookViewId="0">
      <selection activeCell="E25" sqref="E25"/>
    </sheetView>
  </sheetViews>
  <sheetFormatPr defaultColWidth="8.625" defaultRowHeight="14.25" x14ac:dyDescent="0.2"/>
  <cols>
    <col min="1" max="1" width="33.5" customWidth="1"/>
    <col min="2" max="2" width="30.25" customWidth="1"/>
    <col min="3" max="3" width="50.125" customWidth="1"/>
  </cols>
  <sheetData>
    <row r="1" spans="1:9" ht="45.75" customHeight="1" x14ac:dyDescent="0.25">
      <c r="A1" s="1"/>
      <c r="B1" s="72" t="s">
        <v>100</v>
      </c>
      <c r="C1" s="72"/>
    </row>
    <row r="2" spans="1:9" x14ac:dyDescent="0.2">
      <c r="A2" s="30"/>
      <c r="B2" s="30"/>
      <c r="C2" s="30"/>
      <c r="D2" s="30"/>
      <c r="E2" s="30"/>
      <c r="F2" s="30"/>
      <c r="G2" s="30"/>
      <c r="H2" s="30"/>
      <c r="I2" s="30"/>
    </row>
    <row r="3" spans="1:9" ht="15" customHeight="1" x14ac:dyDescent="0.2">
      <c r="A3" s="42" t="s">
        <v>101</v>
      </c>
      <c r="B3" s="42" t="s">
        <v>102</v>
      </c>
      <c r="C3" s="42" t="s">
        <v>103</v>
      </c>
      <c r="D3" s="30"/>
      <c r="E3" s="30"/>
      <c r="F3" s="30"/>
      <c r="G3" s="30"/>
      <c r="H3" s="30"/>
      <c r="I3" s="30"/>
    </row>
    <row r="4" spans="1:9" ht="15" customHeight="1" x14ac:dyDescent="0.2">
      <c r="A4" s="30" t="s">
        <v>104</v>
      </c>
      <c r="B4" s="30" t="s">
        <v>105</v>
      </c>
      <c r="C4" s="41">
        <v>3.2000000000000001E-2</v>
      </c>
      <c r="D4" s="30"/>
      <c r="E4" s="30"/>
      <c r="F4" s="30"/>
      <c r="G4" s="30"/>
      <c r="H4" s="30"/>
      <c r="I4" s="30"/>
    </row>
    <row r="5" spans="1:9" ht="15" customHeight="1" x14ac:dyDescent="0.2">
      <c r="A5" s="30" t="s">
        <v>106</v>
      </c>
      <c r="B5" s="30" t="s">
        <v>107</v>
      </c>
      <c r="C5" s="41">
        <v>8.8999999999999999E-3</v>
      </c>
      <c r="D5" s="30"/>
      <c r="E5" s="30"/>
      <c r="F5" s="30"/>
      <c r="G5" s="30"/>
      <c r="H5" s="30"/>
      <c r="I5" s="30"/>
    </row>
    <row r="6" spans="1:9" ht="15" customHeight="1" x14ac:dyDescent="0.2">
      <c r="A6" s="30" t="s">
        <v>108</v>
      </c>
      <c r="B6" s="30" t="s">
        <v>109</v>
      </c>
      <c r="C6" s="41">
        <v>0.01</v>
      </c>
      <c r="D6" s="30"/>
      <c r="E6" s="30"/>
      <c r="F6" s="30"/>
      <c r="G6" s="30"/>
      <c r="H6" s="30"/>
      <c r="I6" s="30"/>
    </row>
    <row r="7" spans="1:9" x14ac:dyDescent="0.2">
      <c r="A7" s="30" t="s">
        <v>110</v>
      </c>
      <c r="B7" s="30" t="s">
        <v>111</v>
      </c>
      <c r="C7" s="41">
        <v>6.7000000000000002E-3</v>
      </c>
      <c r="D7" s="30"/>
      <c r="E7" s="30"/>
      <c r="F7" s="30"/>
      <c r="G7" s="30"/>
      <c r="H7" s="30"/>
      <c r="I7" s="30"/>
    </row>
    <row r="8" spans="1:9" x14ac:dyDescent="0.2">
      <c r="A8" s="30" t="s">
        <v>112</v>
      </c>
      <c r="B8" s="30" t="s">
        <v>113</v>
      </c>
      <c r="C8" s="41">
        <v>6.2300000000000001E-2</v>
      </c>
      <c r="D8" s="30"/>
      <c r="E8" s="30"/>
      <c r="F8" s="30"/>
      <c r="G8" s="30"/>
      <c r="H8" s="30"/>
      <c r="I8" s="30"/>
    </row>
    <row r="9" spans="1:9" x14ac:dyDescent="0.2">
      <c r="A9" s="30"/>
      <c r="B9" s="30"/>
      <c r="C9" s="30"/>
      <c r="D9" s="30"/>
      <c r="E9" s="30"/>
      <c r="F9" s="30"/>
      <c r="G9" s="30"/>
      <c r="H9" s="30"/>
      <c r="I9" s="30"/>
    </row>
    <row r="10" spans="1:9" ht="15" customHeight="1" x14ac:dyDescent="0.2">
      <c r="A10" s="44" t="s">
        <v>114</v>
      </c>
      <c r="B10" s="45"/>
      <c r="C10" s="45"/>
      <c r="D10" s="30"/>
      <c r="E10" s="30"/>
      <c r="F10" s="30"/>
      <c r="G10" s="30"/>
      <c r="H10" s="30"/>
      <c r="I10" s="30"/>
    </row>
    <row r="11" spans="1:9" ht="15" customHeight="1" x14ac:dyDescent="0.2">
      <c r="A11" s="30" t="s">
        <v>115</v>
      </c>
      <c r="B11" s="30"/>
      <c r="C11" s="41">
        <v>6.4999999999999997E-3</v>
      </c>
      <c r="D11" s="30"/>
      <c r="E11" s="30"/>
      <c r="F11" s="30"/>
      <c r="G11" s="30"/>
      <c r="H11" s="30"/>
      <c r="I11" s="30"/>
    </row>
    <row r="12" spans="1:9" x14ac:dyDescent="0.2">
      <c r="A12" s="30" t="s">
        <v>116</v>
      </c>
      <c r="B12" s="30"/>
      <c r="C12" s="41">
        <v>0.03</v>
      </c>
      <c r="D12" s="30"/>
      <c r="E12" s="30"/>
      <c r="F12" s="30"/>
      <c r="G12" s="30"/>
      <c r="H12" s="30"/>
      <c r="I12" s="30"/>
    </row>
    <row r="13" spans="1:9" ht="15" customHeight="1" x14ac:dyDescent="0.2">
      <c r="A13" s="30" t="s">
        <v>117</v>
      </c>
      <c r="B13" s="30"/>
      <c r="C13" s="41">
        <v>0.05</v>
      </c>
      <c r="D13" s="30"/>
      <c r="E13" s="30"/>
      <c r="F13" s="30"/>
      <c r="G13" s="30"/>
      <c r="H13" s="30"/>
      <c r="I13" s="30"/>
    </row>
    <row r="14" spans="1:9" ht="15" customHeight="1" x14ac:dyDescent="0.2">
      <c r="A14" s="29" t="s">
        <v>118</v>
      </c>
      <c r="B14" s="30"/>
      <c r="C14" s="43">
        <f>SUM(C11:C13)</f>
        <v>8.6499999999999994E-2</v>
      </c>
      <c r="D14" s="30"/>
      <c r="E14" s="30"/>
      <c r="F14" s="30"/>
      <c r="G14" s="30"/>
      <c r="H14" s="30"/>
      <c r="I14" s="30"/>
    </row>
    <row r="15" spans="1:9" x14ac:dyDescent="0.2">
      <c r="A15" s="30"/>
      <c r="B15" s="30"/>
      <c r="C15" s="30"/>
      <c r="D15" s="30"/>
      <c r="E15" s="30"/>
      <c r="F15" s="30"/>
      <c r="G15" s="30"/>
      <c r="H15" s="30"/>
      <c r="I15" s="30"/>
    </row>
    <row r="16" spans="1:9" ht="15" customHeight="1" x14ac:dyDescent="0.2">
      <c r="A16" s="29" t="s">
        <v>119</v>
      </c>
      <c r="B16" s="30"/>
      <c r="C16" s="30"/>
      <c r="D16" s="30"/>
      <c r="E16" s="30"/>
      <c r="F16" s="30"/>
      <c r="G16" s="30"/>
      <c r="H16" s="30"/>
      <c r="I16" s="30"/>
    </row>
    <row r="17" spans="1:9" ht="15" customHeight="1" x14ac:dyDescent="0.2">
      <c r="A17" s="30" t="s">
        <v>120</v>
      </c>
      <c r="B17" s="30"/>
      <c r="C17" s="30"/>
      <c r="D17" s="30"/>
      <c r="E17" s="30"/>
      <c r="F17" s="30"/>
      <c r="G17" s="30"/>
      <c r="H17" s="30"/>
      <c r="I17" s="30"/>
    </row>
    <row r="18" spans="1:9" x14ac:dyDescent="0.2">
      <c r="A18" s="30"/>
      <c r="B18" s="30"/>
      <c r="C18" s="30"/>
      <c r="D18" s="30"/>
      <c r="E18" s="30"/>
      <c r="F18" s="30"/>
      <c r="G18" s="30"/>
      <c r="H18" s="30"/>
      <c r="I18" s="30"/>
    </row>
    <row r="19" spans="1:9" ht="15" customHeight="1" x14ac:dyDescent="0.2">
      <c r="A19" s="62" t="s">
        <v>121</v>
      </c>
      <c r="B19" s="63"/>
      <c r="C19" s="64">
        <f>((1+C4+C5+C6+C7)*(1+C8)*(1+C9)/(1-C14))-1</f>
        <v>0.22987244663382578</v>
      </c>
      <c r="D19" s="30"/>
      <c r="E19" s="30"/>
      <c r="F19" s="30"/>
      <c r="G19" s="30"/>
      <c r="H19" s="30"/>
      <c r="I19" s="30"/>
    </row>
    <row r="20" spans="1:9" x14ac:dyDescent="0.2">
      <c r="A20" s="30"/>
      <c r="B20" s="30"/>
      <c r="C20" s="30"/>
      <c r="D20" s="53"/>
      <c r="E20" s="30"/>
      <c r="F20" s="30"/>
      <c r="G20" s="30"/>
      <c r="H20" s="30"/>
      <c r="I20" s="30"/>
    </row>
    <row r="21" spans="1:9" x14ac:dyDescent="0.2">
      <c r="A21" s="30"/>
      <c r="B21" s="30"/>
      <c r="C21" s="30"/>
      <c r="D21" s="53"/>
      <c r="E21" s="30"/>
      <c r="F21" s="30"/>
      <c r="G21" s="30"/>
      <c r="H21" s="30"/>
      <c r="I21" s="30"/>
    </row>
    <row r="22" spans="1:9" x14ac:dyDescent="0.2">
      <c r="A22" s="70"/>
      <c r="B22" s="70"/>
      <c r="C22" s="70"/>
      <c r="D22" s="53"/>
      <c r="E22" s="30"/>
      <c r="F22" s="30"/>
      <c r="G22" s="30"/>
      <c r="H22" s="30"/>
      <c r="I22" s="30"/>
    </row>
    <row r="23" spans="1:9" x14ac:dyDescent="0.2">
      <c r="A23" s="70"/>
      <c r="B23" s="70"/>
      <c r="C23" s="70"/>
      <c r="D23" s="53"/>
      <c r="E23" s="30"/>
      <c r="F23" s="30"/>
      <c r="G23" s="30"/>
      <c r="H23" s="30"/>
      <c r="I23" s="30"/>
    </row>
    <row r="24" spans="1:9" x14ac:dyDescent="0.2">
      <c r="A24" s="71"/>
      <c r="B24" s="71"/>
      <c r="C24" s="71"/>
      <c r="D24" s="53"/>
      <c r="E24" s="30"/>
      <c r="F24" s="30"/>
      <c r="G24" s="30"/>
      <c r="H24" s="30"/>
      <c r="I24" s="30"/>
    </row>
    <row r="25" spans="1:9" x14ac:dyDescent="0.2">
      <c r="A25" s="8" t="s">
        <v>97</v>
      </c>
      <c r="B25" s="9"/>
      <c r="C25" s="9"/>
      <c r="D25" s="53"/>
      <c r="E25" s="30"/>
      <c r="F25" s="30"/>
      <c r="G25" s="30"/>
      <c r="H25" s="30"/>
      <c r="I25" s="30"/>
    </row>
    <row r="26" spans="1:9" x14ac:dyDescent="0.2">
      <c r="A26" s="54" t="s">
        <v>98</v>
      </c>
      <c r="B26" s="54"/>
      <c r="C26" s="54"/>
      <c r="D26" s="30"/>
      <c r="E26" s="30"/>
      <c r="F26" s="30"/>
      <c r="G26" s="30"/>
      <c r="H26" s="30"/>
      <c r="I26" s="30"/>
    </row>
    <row r="27" spans="1:9" x14ac:dyDescent="0.2">
      <c r="A27" s="30" t="s">
        <v>99</v>
      </c>
      <c r="B27" s="30"/>
      <c r="C27" s="30"/>
      <c r="D27" s="30"/>
      <c r="E27" s="30"/>
      <c r="F27" s="30"/>
      <c r="G27" s="30"/>
      <c r="H27" s="30"/>
      <c r="I27" s="30"/>
    </row>
  </sheetData>
  <mergeCells count="4">
    <mergeCell ref="A22:C22"/>
    <mergeCell ref="A23:C23"/>
    <mergeCell ref="A24:C24"/>
    <mergeCell ref="B1:C1"/>
  </mergeCells>
  <pageMargins left="0.75" right="0.75" top="1" bottom="1" header="0.511811023622047" footer="0.511811023622047"/>
  <pageSetup paperSize="9" scale="69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7"/>
  <sheetViews>
    <sheetView view="pageBreakPreview" topLeftCell="A7" zoomScaleNormal="55" zoomScaleSheetLayoutView="100" workbookViewId="0">
      <selection activeCell="E25" sqref="E25"/>
    </sheetView>
  </sheetViews>
  <sheetFormatPr defaultColWidth="8.625" defaultRowHeight="14.25" x14ac:dyDescent="0.2"/>
  <cols>
    <col min="1" max="1" width="42.75" customWidth="1"/>
    <col min="2" max="2" width="16" customWidth="1"/>
    <col min="3" max="3" width="10" customWidth="1"/>
    <col min="4" max="4" width="14" customWidth="1"/>
    <col min="5" max="5" width="10" customWidth="1"/>
    <col min="6" max="6" width="14" customWidth="1"/>
    <col min="7" max="7" width="14.25" customWidth="1"/>
  </cols>
  <sheetData>
    <row r="1" spans="1:10" ht="45.75" customHeight="1" x14ac:dyDescent="0.25">
      <c r="A1" s="1"/>
      <c r="B1" s="1" t="s">
        <v>122</v>
      </c>
      <c r="C1" s="1"/>
      <c r="D1" s="1"/>
      <c r="E1" s="1"/>
      <c r="F1" s="1"/>
      <c r="G1" s="1"/>
      <c r="H1" s="1"/>
      <c r="I1" s="1"/>
    </row>
    <row r="2" spans="1:10" x14ac:dyDescent="0.2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5" customHeight="1" x14ac:dyDescent="0.2">
      <c r="A3" s="39" t="s">
        <v>123</v>
      </c>
      <c r="B3" s="39" t="s">
        <v>124</v>
      </c>
      <c r="C3" s="39" t="s">
        <v>17</v>
      </c>
      <c r="D3" s="39" t="s">
        <v>125</v>
      </c>
      <c r="E3" s="39" t="s">
        <v>126</v>
      </c>
      <c r="F3" s="39" t="s">
        <v>127</v>
      </c>
      <c r="G3" s="39" t="s">
        <v>128</v>
      </c>
      <c r="H3" s="30"/>
      <c r="I3" s="30"/>
      <c r="J3" s="30"/>
    </row>
    <row r="4" spans="1:10" ht="15" customHeight="1" x14ac:dyDescent="0.2">
      <c r="A4" s="46" t="s">
        <v>129</v>
      </c>
      <c r="B4" s="47">
        <f>'Orcam Sintetico - S Joao'!I13</f>
        <v>899.52870746798021</v>
      </c>
      <c r="C4" s="48">
        <f>B4/$B$13</f>
        <v>5.7850906635509352E-3</v>
      </c>
      <c r="D4" s="47">
        <f>$B4*1</f>
        <v>899.52870746798021</v>
      </c>
      <c r="E4" s="48">
        <v>1</v>
      </c>
      <c r="F4" s="47">
        <f>$B4*0</f>
        <v>0</v>
      </c>
      <c r="G4" s="48">
        <v>0</v>
      </c>
      <c r="H4" s="30"/>
      <c r="I4" s="30"/>
      <c r="J4" s="30"/>
    </row>
    <row r="5" spans="1:10" ht="15" customHeight="1" x14ac:dyDescent="0.2">
      <c r="A5" s="46" t="s">
        <v>130</v>
      </c>
      <c r="B5" s="47">
        <f>'Orcam Sintetico - S Joao'!I6</f>
        <v>10509.513410210049</v>
      </c>
      <c r="C5" s="48">
        <f>B5/$B$13</f>
        <v>6.7589269139621863E-2</v>
      </c>
      <c r="D5" s="47">
        <f>$B5*1</f>
        <v>10509.513410210049</v>
      </c>
      <c r="E5" s="48">
        <v>1</v>
      </c>
      <c r="F5" s="47">
        <f>$B5*0</f>
        <v>0</v>
      </c>
      <c r="G5" s="48">
        <v>0</v>
      </c>
      <c r="H5" s="30"/>
      <c r="I5" s="30"/>
      <c r="J5" s="30"/>
    </row>
    <row r="6" spans="1:10" ht="28.5" x14ac:dyDescent="0.2">
      <c r="A6" s="52" t="s">
        <v>131</v>
      </c>
      <c r="B6" s="47">
        <f>'Orcam Sintetico - S Joao'!I7+'Orcam Sintetico - S Joao'!I9+'Orcam Sintetico - S Joao'!I10+'Orcam Sintetico - S Joao'!I11+'Orcam Sintetico - S Joao'!I12</f>
        <v>90991.872770114773</v>
      </c>
      <c r="C6" s="48">
        <f t="shared" ref="C6:C12" si="0">B6/$B$13</f>
        <v>0.58519114426389018</v>
      </c>
      <c r="D6" s="47">
        <f>$B6*0.7</f>
        <v>63694.310939080337</v>
      </c>
      <c r="E6" s="48">
        <v>0.7</v>
      </c>
      <c r="F6" s="47">
        <f>$B6*0.3</f>
        <v>27297.561831034433</v>
      </c>
      <c r="G6" s="48">
        <v>0.3</v>
      </c>
      <c r="H6" s="30"/>
      <c r="I6" s="30"/>
      <c r="J6" s="30"/>
    </row>
    <row r="7" spans="1:10" x14ac:dyDescent="0.2">
      <c r="A7" s="46" t="s">
        <v>132</v>
      </c>
      <c r="B7" s="47">
        <f>'Orcam Sintetico - S Joao'!I8</f>
        <v>25203.114377490703</v>
      </c>
      <c r="C7" s="48">
        <f t="shared" si="0"/>
        <v>0.16208743586187083</v>
      </c>
      <c r="D7" s="47">
        <f>$B7*0.6</f>
        <v>15121.868626494421</v>
      </c>
      <c r="E7" s="48">
        <v>0.6</v>
      </c>
      <c r="F7" s="47">
        <f>$B7*0.4</f>
        <v>10081.245750996282</v>
      </c>
      <c r="G7" s="48">
        <v>0.4</v>
      </c>
      <c r="H7" s="30"/>
      <c r="I7" s="30"/>
      <c r="J7" s="30"/>
    </row>
    <row r="8" spans="1:10" x14ac:dyDescent="0.2">
      <c r="A8" s="46" t="s">
        <v>133</v>
      </c>
      <c r="B8" s="47">
        <f>'Orcam Sintetico - S Joao'!I14</f>
        <v>8573.6203868616085</v>
      </c>
      <c r="C8" s="48">
        <f t="shared" si="0"/>
        <v>5.5139064313440588E-2</v>
      </c>
      <c r="D8" s="47">
        <f>$B8*0.3</f>
        <v>2572.0861160584823</v>
      </c>
      <c r="E8" s="48">
        <v>0.3</v>
      </c>
      <c r="F8" s="47">
        <f>$B8*0.7</f>
        <v>6001.5342708031258</v>
      </c>
      <c r="G8" s="48">
        <v>0.7</v>
      </c>
      <c r="H8" s="30"/>
      <c r="I8" s="30"/>
      <c r="J8" s="30"/>
    </row>
    <row r="9" spans="1:10" x14ac:dyDescent="0.2">
      <c r="A9" s="46" t="s">
        <v>134</v>
      </c>
      <c r="B9" s="47">
        <f>'Orcam Sintetico - S Joao'!I22</f>
        <v>3602.1537309866658</v>
      </c>
      <c r="C9" s="48">
        <f t="shared" si="0"/>
        <v>2.3166337822017657E-2</v>
      </c>
      <c r="D9" s="47">
        <f>$B9*0.2</f>
        <v>720.43074619733318</v>
      </c>
      <c r="E9" s="48">
        <v>0.2</v>
      </c>
      <c r="F9" s="47">
        <f>$B9*0.8</f>
        <v>2881.7229847893327</v>
      </c>
      <c r="G9" s="48">
        <v>0.8</v>
      </c>
      <c r="H9" s="30"/>
      <c r="I9" s="30"/>
      <c r="J9" s="30"/>
    </row>
    <row r="10" spans="1:10" ht="15" customHeight="1" x14ac:dyDescent="0.2">
      <c r="A10" s="46" t="s">
        <v>135</v>
      </c>
      <c r="B10" s="47">
        <f>'Orcam Sintetico - S Joao'!I20</f>
        <v>10541.424172659388</v>
      </c>
      <c r="C10" s="48">
        <f t="shared" si="0"/>
        <v>6.7794495112267136E-2</v>
      </c>
      <c r="D10" s="47">
        <f>$B10*0</f>
        <v>0</v>
      </c>
      <c r="E10" s="48">
        <v>0</v>
      </c>
      <c r="F10" s="47">
        <f>$B10*1</f>
        <v>10541.424172659388</v>
      </c>
      <c r="G10" s="48">
        <v>1</v>
      </c>
      <c r="H10" s="30"/>
      <c r="I10" s="30"/>
      <c r="J10" s="30"/>
    </row>
    <row r="11" spans="1:10" ht="15" customHeight="1" x14ac:dyDescent="0.2">
      <c r="A11" s="46" t="s">
        <v>136</v>
      </c>
      <c r="B11" s="47">
        <f>'Orcam Sintetico - S Joao'!I19+'Orcam Sintetico - S Joao'!I21</f>
        <v>2801.202989733727</v>
      </c>
      <c r="C11" s="48">
        <f t="shared" si="0"/>
        <v>1.801522633806147E-2</v>
      </c>
      <c r="D11" s="47">
        <f>$B11*0</f>
        <v>0</v>
      </c>
      <c r="E11" s="48">
        <v>0</v>
      </c>
      <c r="F11" s="47">
        <f>$B11*1</f>
        <v>2801.202989733727</v>
      </c>
      <c r="G11" s="48">
        <v>1</v>
      </c>
      <c r="H11" s="30"/>
      <c r="I11" s="30"/>
      <c r="J11" s="30"/>
    </row>
    <row r="12" spans="1:10" x14ac:dyDescent="0.2">
      <c r="A12" s="46" t="s">
        <v>137</v>
      </c>
      <c r="B12" s="47">
        <f>'Orcam Sintetico - S Joao'!I25</f>
        <v>2368.4268641050903</v>
      </c>
      <c r="C12" s="48">
        <f t="shared" si="0"/>
        <v>1.5231936485279209E-2</v>
      </c>
      <c r="D12" s="47">
        <f>$B12*0.5</f>
        <v>1184.2134320525452</v>
      </c>
      <c r="E12" s="48">
        <v>0.5</v>
      </c>
      <c r="F12" s="47">
        <f>$B12*0.5</f>
        <v>1184.2134320525452</v>
      </c>
      <c r="G12" s="48">
        <v>0.5</v>
      </c>
      <c r="H12" s="30"/>
      <c r="I12" s="30"/>
      <c r="J12" s="30"/>
    </row>
    <row r="13" spans="1:10" ht="15" customHeight="1" x14ac:dyDescent="0.2">
      <c r="A13" s="49" t="s">
        <v>138</v>
      </c>
      <c r="B13" s="50">
        <f>SUM(B4:B12)</f>
        <v>155490.85740963</v>
      </c>
      <c r="C13" s="51">
        <f>B13/$B$13</f>
        <v>1</v>
      </c>
      <c r="D13" s="50">
        <f>SUM(D4:D12)</f>
        <v>94701.951977561155</v>
      </c>
      <c r="E13" s="51">
        <f>D13/$B$13</f>
        <v>0.60905157740609372</v>
      </c>
      <c r="F13" s="50">
        <f>SUM(F4:F12)</f>
        <v>60788.90543206883</v>
      </c>
      <c r="G13" s="51">
        <f>F13/$B$13</f>
        <v>0.39094842259390611</v>
      </c>
      <c r="H13" s="30"/>
      <c r="I13" s="30"/>
      <c r="J13" s="30"/>
    </row>
    <row r="14" spans="1:10" ht="15" customHeight="1" x14ac:dyDescent="0.2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5" spans="1:10" ht="15" customHeight="1" x14ac:dyDescent="0.2">
      <c r="A15" s="29" t="s">
        <v>139</v>
      </c>
      <c r="B15" s="30"/>
      <c r="C15" s="30"/>
      <c r="D15" s="40">
        <f>D13</f>
        <v>94701.951977561155</v>
      </c>
      <c r="E15" s="43">
        <f>E13</f>
        <v>0.60905157740609372</v>
      </c>
      <c r="F15" s="30"/>
      <c r="G15" s="43">
        <f>E13+G13</f>
        <v>0.99999999999999978</v>
      </c>
      <c r="H15" s="30"/>
      <c r="I15" s="30"/>
      <c r="J15" s="30"/>
    </row>
    <row r="16" spans="1:10" x14ac:dyDescent="0.2">
      <c r="A16" s="9"/>
      <c r="B16" s="9"/>
      <c r="C16" s="9"/>
      <c r="D16" s="9"/>
      <c r="E16" s="9"/>
      <c r="F16" s="9"/>
      <c r="G16" s="9"/>
      <c r="H16" s="53"/>
      <c r="I16" s="30"/>
      <c r="J16" s="30"/>
    </row>
    <row r="17" spans="1:10" x14ac:dyDescent="0.2">
      <c r="A17" s="9"/>
      <c r="B17" s="9"/>
      <c r="C17" s="9"/>
      <c r="D17" s="9"/>
      <c r="E17" s="9"/>
      <c r="F17" s="9"/>
      <c r="G17" s="9"/>
      <c r="H17" s="53"/>
      <c r="I17" s="30"/>
      <c r="J17" s="30"/>
    </row>
    <row r="18" spans="1:10" x14ac:dyDescent="0.2">
      <c r="A18" s="9"/>
      <c r="B18" s="9"/>
      <c r="C18" s="9"/>
      <c r="D18" s="9"/>
      <c r="E18" s="9"/>
      <c r="F18" s="9"/>
      <c r="G18" s="9"/>
      <c r="H18" s="53"/>
      <c r="I18" s="30"/>
      <c r="J18" s="30"/>
    </row>
    <row r="19" spans="1:10" x14ac:dyDescent="0.2">
      <c r="A19" s="73"/>
      <c r="B19" s="73"/>
      <c r="C19" s="73"/>
      <c r="D19" s="9"/>
      <c r="E19" s="9"/>
      <c r="F19" s="9"/>
      <c r="G19" s="9"/>
      <c r="H19" s="53"/>
      <c r="I19" s="30"/>
      <c r="J19" s="30"/>
    </row>
    <row r="20" spans="1:10" x14ac:dyDescent="0.2">
      <c r="A20" s="70"/>
      <c r="B20" s="70"/>
      <c r="C20" s="70"/>
      <c r="D20" s="9"/>
      <c r="E20" s="9"/>
      <c r="F20" s="9"/>
      <c r="G20" s="9"/>
      <c r="H20" s="53"/>
      <c r="I20" s="30"/>
      <c r="J20" s="30"/>
    </row>
    <row r="21" spans="1:10" x14ac:dyDescent="0.2">
      <c r="A21" s="71"/>
      <c r="B21" s="71"/>
      <c r="C21" s="71"/>
      <c r="D21" s="9"/>
      <c r="E21" s="9"/>
      <c r="F21" s="9"/>
      <c r="G21" s="9"/>
      <c r="H21" s="53"/>
      <c r="I21" s="30"/>
      <c r="J21" s="30"/>
    </row>
    <row r="22" spans="1:10" x14ac:dyDescent="0.2">
      <c r="A22" s="29" t="s">
        <v>97</v>
      </c>
      <c r="B22" s="30"/>
      <c r="C22" s="30"/>
      <c r="D22" s="9"/>
      <c r="E22" s="9"/>
      <c r="F22" s="9"/>
      <c r="G22" s="9"/>
      <c r="H22" s="53"/>
      <c r="I22" s="30"/>
      <c r="J22" s="30"/>
    </row>
    <row r="23" spans="1:10" x14ac:dyDescent="0.2">
      <c r="A23" s="30" t="s">
        <v>98</v>
      </c>
      <c r="B23" s="30"/>
      <c r="C23" s="30"/>
      <c r="D23" s="9"/>
      <c r="E23" s="9"/>
      <c r="F23" s="9"/>
      <c r="G23" s="9"/>
      <c r="H23" s="53"/>
      <c r="I23" s="30"/>
      <c r="J23" s="30"/>
    </row>
    <row r="24" spans="1:10" x14ac:dyDescent="0.2">
      <c r="A24" s="30" t="s">
        <v>99</v>
      </c>
      <c r="B24" s="30"/>
      <c r="C24" s="30"/>
      <c r="D24" s="9"/>
      <c r="E24" s="9"/>
      <c r="F24" s="9"/>
      <c r="G24" s="9"/>
      <c r="H24" s="53"/>
      <c r="I24" s="30"/>
      <c r="J24" s="30"/>
    </row>
    <row r="25" spans="1:10" x14ac:dyDescent="0.2">
      <c r="A25" s="9"/>
      <c r="B25" s="9"/>
      <c r="C25" s="9"/>
      <c r="D25" s="9"/>
      <c r="E25" s="9"/>
      <c r="F25" s="9"/>
      <c r="G25" s="9"/>
      <c r="H25" s="53"/>
      <c r="I25" s="30"/>
      <c r="J25" s="30"/>
    </row>
    <row r="26" spans="1:10" x14ac:dyDescent="0.2">
      <c r="A26" s="9"/>
      <c r="B26" s="9"/>
      <c r="C26" s="9"/>
      <c r="D26" s="9"/>
      <c r="E26" s="9"/>
      <c r="F26" s="9"/>
      <c r="G26" s="9"/>
      <c r="H26" s="53"/>
      <c r="I26" s="30"/>
      <c r="J26" s="30"/>
    </row>
    <row r="27" spans="1:10" x14ac:dyDescent="0.2">
      <c r="A27" s="54"/>
      <c r="B27" s="54"/>
      <c r="C27" s="54"/>
      <c r="D27" s="54"/>
      <c r="E27" s="54"/>
      <c r="F27" s="54"/>
      <c r="G27" s="54"/>
      <c r="H27" s="30"/>
      <c r="I27" s="30"/>
      <c r="J27" s="30"/>
    </row>
  </sheetData>
  <mergeCells count="3">
    <mergeCell ref="A19:C19"/>
    <mergeCell ref="A20:C20"/>
    <mergeCell ref="A21:C21"/>
  </mergeCells>
  <pageMargins left="0.75" right="0.75" top="1" bottom="1" header="0.511811023622047" footer="0.511811023622047"/>
  <pageSetup paperSize="9" scale="65" fitToHeight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2"/>
  <sheetViews>
    <sheetView tabSelected="1" topLeftCell="A19" zoomScaleNormal="100" workbookViewId="0"/>
  </sheetViews>
  <sheetFormatPr defaultColWidth="8.625" defaultRowHeight="14.25" x14ac:dyDescent="0.2"/>
  <cols>
    <col min="1" max="1" width="52" customWidth="1"/>
    <col min="2" max="2" width="10" customWidth="1"/>
    <col min="3" max="3" width="12" customWidth="1"/>
    <col min="4" max="5" width="14" customWidth="1"/>
  </cols>
  <sheetData>
    <row r="1" spans="1:5" ht="15.75" customHeight="1" x14ac:dyDescent="0.25">
      <c r="A1" s="1" t="s">
        <v>140</v>
      </c>
    </row>
    <row r="2" spans="1:5" ht="15" customHeight="1" x14ac:dyDescent="0.2">
      <c r="A2" s="74" t="s">
        <v>141</v>
      </c>
      <c r="B2" s="74"/>
      <c r="C2" s="74"/>
      <c r="D2" s="74"/>
      <c r="E2" s="74"/>
    </row>
    <row r="4" spans="1:5" ht="15" customHeight="1" x14ac:dyDescent="0.25">
      <c r="A4" s="12"/>
      <c r="B4" s="12"/>
      <c r="C4" s="12"/>
      <c r="D4" s="12"/>
      <c r="E4" s="12"/>
    </row>
    <row r="5" spans="1:5" ht="15" customHeight="1" x14ac:dyDescent="0.25">
      <c r="A5" s="13" t="s">
        <v>142</v>
      </c>
      <c r="B5" s="13"/>
      <c r="C5" s="13"/>
      <c r="D5" s="13"/>
      <c r="E5" s="13"/>
    </row>
    <row r="6" spans="1:5" ht="15" customHeight="1" x14ac:dyDescent="0.2">
      <c r="A6" s="14" t="s">
        <v>143</v>
      </c>
      <c r="B6" s="14" t="s">
        <v>12</v>
      </c>
      <c r="C6" s="14" t="s">
        <v>144</v>
      </c>
      <c r="D6" s="15" t="s">
        <v>145</v>
      </c>
      <c r="E6" s="15" t="s">
        <v>146</v>
      </c>
    </row>
    <row r="7" spans="1:5" ht="15" customHeight="1" x14ac:dyDescent="0.2">
      <c r="A7" s="16" t="s">
        <v>147</v>
      </c>
      <c r="B7" s="16" t="s">
        <v>48</v>
      </c>
      <c r="C7" s="16">
        <v>1</v>
      </c>
      <c r="D7" s="17">
        <v>487.6</v>
      </c>
      <c r="E7" s="17">
        <f>C7*D7</f>
        <v>487.6</v>
      </c>
    </row>
    <row r="8" spans="1:5" ht="15" customHeight="1" x14ac:dyDescent="0.2">
      <c r="A8" s="10" t="s">
        <v>148</v>
      </c>
      <c r="B8" s="18"/>
      <c r="C8" s="18"/>
      <c r="D8" s="19"/>
      <c r="E8" s="20">
        <f>E7</f>
        <v>487.6</v>
      </c>
    </row>
    <row r="9" spans="1:5" ht="15" customHeight="1" x14ac:dyDescent="0.2">
      <c r="A9" s="2"/>
      <c r="B9" s="2"/>
      <c r="C9" s="2"/>
      <c r="D9" s="21"/>
      <c r="E9" s="21"/>
    </row>
    <row r="10" spans="1:5" ht="15" customHeight="1" x14ac:dyDescent="0.2">
      <c r="A10" s="2"/>
      <c r="B10" s="2"/>
      <c r="C10" s="2"/>
      <c r="D10" s="2"/>
      <c r="E10" s="21"/>
    </row>
    <row r="13" spans="1:5" ht="15" customHeight="1" x14ac:dyDescent="0.25">
      <c r="A13" s="13" t="s">
        <v>149</v>
      </c>
      <c r="B13" s="13"/>
      <c r="C13" s="13"/>
      <c r="D13" s="13"/>
      <c r="E13" s="13"/>
    </row>
    <row r="14" spans="1:5" ht="15" customHeight="1" x14ac:dyDescent="0.2">
      <c r="A14" s="14" t="s">
        <v>143</v>
      </c>
      <c r="B14" s="14" t="s">
        <v>12</v>
      </c>
      <c r="C14" s="14" t="s">
        <v>144</v>
      </c>
      <c r="D14" s="14" t="s">
        <v>145</v>
      </c>
      <c r="E14" s="14" t="s">
        <v>146</v>
      </c>
    </row>
    <row r="15" spans="1:5" ht="15" customHeight="1" x14ac:dyDescent="0.2">
      <c r="A15" s="16" t="s">
        <v>150</v>
      </c>
      <c r="B15" s="16" t="s">
        <v>37</v>
      </c>
      <c r="C15" s="16">
        <v>8.5</v>
      </c>
      <c r="D15" s="17">
        <v>11.44</v>
      </c>
      <c r="E15" s="17">
        <f t="shared" ref="E15:E20" si="0">C15*D15</f>
        <v>97.24</v>
      </c>
    </row>
    <row r="16" spans="1:5" ht="15" customHeight="1" x14ac:dyDescent="0.2">
      <c r="A16" s="16" t="s">
        <v>151</v>
      </c>
      <c r="B16" s="16" t="s">
        <v>152</v>
      </c>
      <c r="C16" s="16">
        <v>2</v>
      </c>
      <c r="D16" s="17">
        <v>27.86</v>
      </c>
      <c r="E16" s="17">
        <f t="shared" si="0"/>
        <v>55.72</v>
      </c>
    </row>
    <row r="17" spans="1:5" ht="15" customHeight="1" x14ac:dyDescent="0.2">
      <c r="A17" s="16" t="s">
        <v>153</v>
      </c>
      <c r="B17" s="16" t="s">
        <v>152</v>
      </c>
      <c r="C17" s="16">
        <v>2</v>
      </c>
      <c r="D17" s="17">
        <v>24.48</v>
      </c>
      <c r="E17" s="17">
        <f t="shared" si="0"/>
        <v>48.96</v>
      </c>
    </row>
    <row r="18" spans="1:5" ht="15" customHeight="1" x14ac:dyDescent="0.2">
      <c r="A18" s="16" t="s">
        <v>154</v>
      </c>
      <c r="B18" s="16" t="s">
        <v>155</v>
      </c>
      <c r="C18" s="16">
        <v>1</v>
      </c>
      <c r="D18" s="17">
        <v>88.64</v>
      </c>
      <c r="E18" s="17">
        <f t="shared" si="0"/>
        <v>88.64</v>
      </c>
    </row>
    <row r="19" spans="1:5" ht="15" customHeight="1" x14ac:dyDescent="0.2">
      <c r="A19" s="16" t="s">
        <v>156</v>
      </c>
      <c r="B19" s="16" t="s">
        <v>113</v>
      </c>
      <c r="C19" s="16">
        <v>0.3</v>
      </c>
      <c r="D19" s="17">
        <v>30</v>
      </c>
      <c r="E19" s="17">
        <f t="shared" si="0"/>
        <v>9</v>
      </c>
    </row>
    <row r="20" spans="1:5" ht="15" customHeight="1" x14ac:dyDescent="0.2">
      <c r="A20" s="16" t="s">
        <v>157</v>
      </c>
      <c r="B20" s="16" t="s">
        <v>158</v>
      </c>
      <c r="C20" s="16">
        <v>2</v>
      </c>
      <c r="D20" s="17">
        <v>25</v>
      </c>
      <c r="E20" s="17">
        <f t="shared" si="0"/>
        <v>50</v>
      </c>
    </row>
    <row r="21" spans="1:5" ht="15" customHeight="1" x14ac:dyDescent="0.2">
      <c r="A21" s="10" t="s">
        <v>138</v>
      </c>
      <c r="B21" s="11"/>
      <c r="C21" s="11"/>
      <c r="D21" s="11"/>
      <c r="E21" s="20">
        <f>SUM(E15:E20)</f>
        <v>349.56</v>
      </c>
    </row>
    <row r="23" spans="1:5" ht="15" customHeight="1" x14ac:dyDescent="0.25">
      <c r="A23" s="13" t="s">
        <v>159</v>
      </c>
      <c r="B23" s="13"/>
      <c r="C23" s="13"/>
      <c r="D23" s="13"/>
      <c r="E23" s="13"/>
    </row>
    <row r="24" spans="1:5" ht="15" customHeight="1" x14ac:dyDescent="0.2">
      <c r="A24" s="14" t="s">
        <v>143</v>
      </c>
      <c r="B24" s="14" t="s">
        <v>12</v>
      </c>
      <c r="C24" s="14" t="s">
        <v>144</v>
      </c>
      <c r="D24" s="14" t="s">
        <v>145</v>
      </c>
      <c r="E24" s="14" t="s">
        <v>146</v>
      </c>
    </row>
    <row r="25" spans="1:5" ht="15" customHeight="1" x14ac:dyDescent="0.2">
      <c r="A25" s="16" t="s">
        <v>160</v>
      </c>
      <c r="B25" s="16" t="s">
        <v>55</v>
      </c>
      <c r="C25" s="16">
        <v>1</v>
      </c>
      <c r="D25" s="17">
        <v>422.84</v>
      </c>
      <c r="E25" s="17">
        <f>C25*D25</f>
        <v>422.84</v>
      </c>
    </row>
    <row r="26" spans="1:5" ht="15" customHeight="1" x14ac:dyDescent="0.2">
      <c r="A26" s="10" t="s">
        <v>161</v>
      </c>
      <c r="B26" s="18"/>
      <c r="C26" s="18"/>
      <c r="D26" s="19"/>
      <c r="E26" s="20">
        <f>E25</f>
        <v>422.84</v>
      </c>
    </row>
    <row r="27" spans="1:5" ht="15" customHeight="1" x14ac:dyDescent="0.2">
      <c r="A27" s="2"/>
      <c r="B27" s="2"/>
      <c r="C27" s="2"/>
      <c r="D27" s="21"/>
      <c r="E27" s="21"/>
    </row>
    <row r="28" spans="1:5" ht="15" customHeight="1" x14ac:dyDescent="0.2">
      <c r="A28" s="2"/>
      <c r="B28" s="2"/>
      <c r="C28" s="2"/>
      <c r="D28" s="21"/>
      <c r="E28" s="21"/>
    </row>
    <row r="29" spans="1:5" ht="15" customHeight="1" x14ac:dyDescent="0.2">
      <c r="A29" s="2"/>
      <c r="B29" s="2"/>
      <c r="C29" s="2"/>
      <c r="D29" s="21"/>
      <c r="E29" s="21"/>
    </row>
    <row r="30" spans="1:5" ht="15" customHeight="1" x14ac:dyDescent="0.2">
      <c r="A30" s="2"/>
      <c r="B30" s="2"/>
      <c r="C30" s="2"/>
      <c r="D30" s="2"/>
      <c r="E30" s="21"/>
    </row>
    <row r="33" spans="1:5" ht="15" customHeight="1" x14ac:dyDescent="0.25">
      <c r="A33" s="22" t="s">
        <v>162</v>
      </c>
      <c r="B33" s="13"/>
      <c r="C33" s="13"/>
      <c r="D33" s="13"/>
      <c r="E33" s="13"/>
    </row>
    <row r="34" spans="1:5" ht="15" customHeight="1" x14ac:dyDescent="0.2">
      <c r="A34" s="16"/>
      <c r="B34" s="16"/>
      <c r="C34" s="16"/>
      <c r="D34" s="16"/>
      <c r="E34" s="16"/>
    </row>
    <row r="35" spans="1:5" ht="15" customHeight="1" x14ac:dyDescent="0.2">
      <c r="A35" s="16"/>
      <c r="B35" s="16"/>
      <c r="C35" s="16"/>
      <c r="D35" s="17"/>
      <c r="E35" s="17"/>
    </row>
    <row r="36" spans="1:5" ht="15" customHeight="1" x14ac:dyDescent="0.2">
      <c r="A36" s="16"/>
      <c r="B36" s="16"/>
      <c r="C36" s="16"/>
      <c r="D36" s="17"/>
      <c r="E36" s="17"/>
    </row>
    <row r="37" spans="1:5" ht="15" customHeight="1" x14ac:dyDescent="0.2">
      <c r="A37" s="16"/>
      <c r="B37" s="16"/>
      <c r="C37" s="16"/>
      <c r="D37" s="17"/>
      <c r="E37" s="17"/>
    </row>
    <row r="38" spans="1:5" ht="15" customHeight="1" x14ac:dyDescent="0.2">
      <c r="A38" s="16"/>
      <c r="B38" s="16"/>
      <c r="C38" s="16"/>
      <c r="D38" s="17"/>
      <c r="E38" s="17"/>
    </row>
    <row r="39" spans="1:5" ht="15" customHeight="1" x14ac:dyDescent="0.2">
      <c r="A39" s="2"/>
      <c r="B39" s="2"/>
      <c r="C39" s="2"/>
      <c r="D39" s="2"/>
      <c r="E39" s="21"/>
    </row>
    <row r="40" spans="1:5" ht="15" customHeight="1" x14ac:dyDescent="0.2">
      <c r="A40" s="2"/>
      <c r="B40" s="2"/>
      <c r="C40" s="2"/>
      <c r="D40" s="2"/>
      <c r="E40" s="2"/>
    </row>
    <row r="41" spans="1:5" ht="15" customHeight="1" x14ac:dyDescent="0.2">
      <c r="A41" s="2"/>
      <c r="B41" s="2"/>
      <c r="C41" s="2"/>
      <c r="D41" s="2"/>
      <c r="E41" s="2"/>
    </row>
    <row r="42" spans="1:5" ht="15" customHeight="1" x14ac:dyDescent="0.2">
      <c r="A42" s="2"/>
      <c r="B42" s="2"/>
      <c r="C42" s="2"/>
      <c r="D42" s="2"/>
      <c r="E42" s="2"/>
    </row>
  </sheetData>
  <mergeCells count="1">
    <mergeCell ref="A2:E2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Orcam Sintetico - S Joao</vt:lpstr>
      <vt:lpstr>Composicao BDI</vt:lpstr>
      <vt:lpstr>Cronograma Fisico-Financeiro</vt:lpstr>
      <vt:lpstr>Composicoes Proprias</vt:lpstr>
      <vt:lpstr>'Composicao BDI'!Area_de_impressao</vt:lpstr>
      <vt:lpstr>'Cronograma Fisico-Financeiro'!Area_de_impressao</vt:lpstr>
      <vt:lpstr>'Orcam Sintetico - S Joao'!Area_de_impressao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dc:description/>
  <cp:lastModifiedBy>PC</cp:lastModifiedBy>
  <cp:revision>0</cp:revision>
  <cp:lastPrinted>2026-08-26T08:32:42Z</cp:lastPrinted>
  <dcterms:created xsi:type="dcterms:W3CDTF">2026-07-10T09:21:14Z</dcterms:created>
  <dcterms:modified xsi:type="dcterms:W3CDTF">2026-09-18T16:10:47Z</dcterms:modified>
  <dc:language>en-US</dc:language>
</cp:coreProperties>
</file>