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SUMO" sheetId="1" r:id="rId5"/>
    <sheet state="visible" name="ORÇA onerado" sheetId="2" r:id="rId6"/>
    <sheet state="visible" name="ORÇA desonerado" sheetId="3" r:id="rId7"/>
    <sheet state="visible" name="MEM. CÁLC" sheetId="4" r:id="rId8"/>
    <sheet state="visible" name="CRONO" sheetId="5" r:id="rId9"/>
    <sheet state="visible" name="INCC" sheetId="6" r:id="rId10"/>
    <sheet state="hidden" name="BDI" sheetId="7" r:id="rId11"/>
    <sheet state="hidden" name="ENC. SOC." sheetId="8" r:id="rId12"/>
    <sheet state="visible" name="COMP. onerado" sheetId="9" r:id="rId13"/>
    <sheet state="visible" name="COMP. desonerado" sheetId="10" r:id="rId14"/>
    <sheet state="visible" name="COTAÇÕES" sheetId="11" r:id="rId15"/>
  </sheets>
  <definedNames>
    <definedName hidden="1" localSheetId="1" name="_xlnm._FilterDatabase">'ORÇA onerado'!$A$7:$O$107</definedName>
    <definedName hidden="1" localSheetId="2" name="_xlnm._FilterDatabase">'ORÇA desonerado'!$A$7:$O$107</definedName>
  </definedNames>
  <calcPr/>
</workbook>
</file>

<file path=xl/sharedStrings.xml><?xml version="1.0" encoding="utf-8"?>
<sst xmlns="http://schemas.openxmlformats.org/spreadsheetml/2006/main" count="1687" uniqueCount="524">
  <si>
    <t>Órgão:</t>
  </si>
  <si>
    <t>SECRETARIA DE ESTADO DA SAÚDE DE GOIÁS</t>
  </si>
  <si>
    <t>DATA:</t>
  </si>
  <si>
    <t>Unidade:</t>
  </si>
  <si>
    <t>SUPERINTENDÊNCIA DA ESCOLA DE SAÚDE DE GOIÁS - SESG</t>
  </si>
  <si>
    <t>REVISÃO:</t>
  </si>
  <si>
    <t>Emissão 02</t>
  </si>
  <si>
    <t>Obra:</t>
  </si>
  <si>
    <t>FORNECIMENTO E INSTALAÇÃO BRISES, RIPADO E CORRIMÃO</t>
  </si>
  <si>
    <t>REFERÊNCIA:</t>
  </si>
  <si>
    <t>GOINFRA 10/2025 (reajustada pelo INCC até 12/2025); SINAPI 12/2025; ORSE - Novembro/2025 (reajustada pelo INCC até Dezembro/2025)</t>
  </si>
  <si>
    <t>Endereço:</t>
  </si>
  <si>
    <t>RUA 26, 521, VILA LEGIONARIOS, CEP: 74853-070</t>
  </si>
  <si>
    <t>Município:</t>
  </si>
  <si>
    <t>GOIÂNIA</t>
  </si>
  <si>
    <t>RESUMO GERAL DO ORÇAMENTO - TABELA ONERADA</t>
  </si>
  <si>
    <t>Item</t>
  </si>
  <si>
    <t>DESCRIÇÃO DOS SERVIÇOS</t>
  </si>
  <si>
    <t>Valor Total sem BDI (R$)</t>
  </si>
  <si>
    <t>Valor Total com BDI e INCC (R$)</t>
  </si>
  <si>
    <t>% Total</t>
  </si>
  <si>
    <t>GERAL</t>
  </si>
  <si>
    <t>TOTAL GERAL DO ORÇAMENTO</t>
  </si>
  <si>
    <t>Data Base ÚNICA:</t>
  </si>
  <si>
    <t>Referência:</t>
  </si>
  <si>
    <t>TABELA ONERADA</t>
  </si>
  <si>
    <t>Data Base:</t>
  </si>
  <si>
    <t>BDI:</t>
  </si>
  <si>
    <t>BDI reduz.:</t>
  </si>
  <si>
    <t>PLANILHA ORÇAMENTÁRIA DE REFERÊNCIA</t>
  </si>
  <si>
    <t>ITEM</t>
  </si>
  <si>
    <t>FONTE</t>
  </si>
  <si>
    <t>CÓDIGO</t>
  </si>
  <si>
    <t>DESCRIÇÃO</t>
  </si>
  <si>
    <t>UNIDADE</t>
  </si>
  <si>
    <t>QUANT.</t>
  </si>
  <si>
    <t>PREÇO UNITÁRIO MATERIAL SEM BDI(R$)</t>
  </si>
  <si>
    <t>PREÇO UNITÁRIO MÃO DE OBRA SEM BDI(R$)</t>
  </si>
  <si>
    <t>PREÇO UNITÁRIO TOTAL SEM BDI (R$)</t>
  </si>
  <si>
    <t>PREÇO TOTAL SEM BDI (R$)</t>
  </si>
  <si>
    <t>BDI</t>
  </si>
  <si>
    <t>PREÇO UNITÁRIO TOTAL COM BDI (R$)</t>
  </si>
  <si>
    <t>ÍNDICES DE CORREÇÃO</t>
  </si>
  <si>
    <t>PREÇO UNITÁRIO TOTAL COM BDI + CORREÇÃO (R$)</t>
  </si>
  <si>
    <t>PREÇO TOTAL COM BDI + CORREÇÃO (R$)</t>
  </si>
  <si>
    <t>01.</t>
  </si>
  <si>
    <t>SERVIÇOS PRELIMINARES</t>
  </si>
  <si>
    <t>GOINFRA</t>
  </si>
  <si>
    <t>PLACA DE OBRA PLOTADA EM CHAPA METÁLICA 26 , AFIXADA EM CAVALETES DE MADEIRA DE LEI (VIGOTAS 6X12CM) - PADRÃO GOINFRA</t>
  </si>
  <si>
    <t>m2</t>
  </si>
  <si>
    <t>LOCAÇÃO DE CONTAINER SEM REVESTIMENTO INTERNO PARA ALMOXARIFADO / DEPÓSITO 6,00 X 2,40 M, INCLUSIVE MOBILIÁRIO (EXCLUSO MOBILIZAÇÃO / DESMOBILIZAÇÃO)LOCAÇÃO DE CONTAINER SEM REVESTIMENTO INTERNO PARA ALMOXARIFADO / DEPÓSITO 6,00 X 2,40 M, INCLUSIVE MOBILIÁRIO (EXCLUSO MOBILIZAÇÃO / DESMOBILIZAÇÃO)</t>
  </si>
  <si>
    <t>mês</t>
  </si>
  <si>
    <t>LOCAÇÃO DE CONTAINER SANITÁRIO MISTO 6,00 X 2,40 M, COM 3 VASOS, 6 CHUVEIROS, LAVATÓRIO E MICTÓRIO (EXCLUSO MOBILIZAÇÃO / DESMOBILIZAÇÃO)</t>
  </si>
  <si>
    <t>ANDAIME METALICO FACHADEIRO (ALUGUEL/MES)</t>
  </si>
  <si>
    <t>m2xmes</t>
  </si>
  <si>
    <t>02.</t>
  </si>
  <si>
    <t>TRANSPORTES</t>
  </si>
  <si>
    <t>TRANSPORTE DE ENTULHO EM CAÇAMBA ESTACIONÁRIA  INCLUSO A CARGA MANUAL</t>
  </si>
  <si>
    <t>m3</t>
  </si>
  <si>
    <t>MOBILIZAÇÃO DO CANTEIRO DE OBRAS - INCLUSIVE CARGA E DESCARGA E A HORA IMPRODUTIVA DO CAMINHÃO - ( EXCLUSO O TRANSPORTE )</t>
  </si>
  <si>
    <t>un</t>
  </si>
  <si>
    <t>DESMOBILIZAÇÃO DO CANTEIRO DE OBRAS - INCLUSIVE CARGA E DESCARGA E A HORA IMPRODUTIVA DO CAMINHÃO - ( EXCLUSO O TRANSPORTE )</t>
  </si>
  <si>
    <t>03.</t>
  </si>
  <si>
    <t>PAISAGISMO</t>
  </si>
  <si>
    <t>PREPARAÇÃO C/ ADUBAÇÃO DO TERRENO EM FORMA DE CANTEIRO E PLANTIO DE FORRAÇÃO AMBOS C/PROFUNDIDADE DE 30 CM - EXCLUSO O CUSTO DE AQUISIÇÃO DA MUDA</t>
  </si>
  <si>
    <t>ORSE</t>
  </si>
  <si>
    <t>Fornecimento e plantio de arbustos ornamentais</t>
  </si>
  <si>
    <t>un.</t>
  </si>
  <si>
    <t>04.</t>
  </si>
  <si>
    <t>INST. ELÉT./TELEFÔNICA/CABEAMENTO ESTRUTURADO</t>
  </si>
  <si>
    <t>ELETRODUTO METALICO FLEXIVEL COM REVESTIMENTO EM PVC PRETO DIAMETRO 3/4"</t>
  </si>
  <si>
    <t>m</t>
  </si>
  <si>
    <t>ELETRODUTO PVC FLEXÍVEL - MANGUEIRA CORRUGADA LEVE - DIAM. 20MM</t>
  </si>
  <si>
    <t>ABRAÇADEIRA METALICA TIPO "D" DIAM. 3/4"</t>
  </si>
  <si>
    <t>ELETRODUTO EM AÇO GALVANIZADO A FOGO DIÂMETRO 3/4" - PESADO</t>
  </si>
  <si>
    <t>CONDULETE METÁLICO - TAMPÃO DE 3/4"</t>
  </si>
  <si>
    <t>CONDULETE METÁLICO - CAIXA COM 5 ENTRADAS</t>
  </si>
  <si>
    <t>CONDULETE METÁLICO - ADAPTADOR DE SAÍDA 3/4"</t>
  </si>
  <si>
    <t>COMP.</t>
  </si>
  <si>
    <t>CONECTOR WAGO 221-415</t>
  </si>
  <si>
    <t>CAIXA DE PASSAGEM PVC, SOBREPOR 300X300X100mm</t>
  </si>
  <si>
    <t>Alçapão de alumínio, tipo escama, cor fosca</t>
  </si>
  <si>
    <t>CABO FLEXÍVEL, PVC (70° C), 450/750 V, 2,5 MM2</t>
  </si>
  <si>
    <t>CABO ISOLADO PP 3 X 2,5 MM2</t>
  </si>
  <si>
    <t>4.13</t>
  </si>
  <si>
    <t>INTERRUPTOR PARALELO SIMPLES (1 SECAO)</t>
  </si>
  <si>
    <t>4.14</t>
  </si>
  <si>
    <t>TAMPA PARA CONDULETE METÁLICO PARA 1 INTERRUPTOR</t>
  </si>
  <si>
    <t>4.15</t>
  </si>
  <si>
    <t>TAMPA CEGA PARA CONDULETE METÁLICO</t>
  </si>
  <si>
    <t>4.16</t>
  </si>
  <si>
    <t>TAMPA CEGA PLÁSTICA 4"X2" COM FURO CENTRAL</t>
  </si>
  <si>
    <t>4.17</t>
  </si>
  <si>
    <t>DISJUNTOR MONOPOLAR DE 10 A 32-A</t>
  </si>
  <si>
    <t>4.18</t>
  </si>
  <si>
    <t>Perfil em alumínio tipo slim de embutir para fita de LED, cores P/B/C, e=23mm</t>
  </si>
  <si>
    <t>4.19</t>
  </si>
  <si>
    <t>13594</t>
  </si>
  <si>
    <t>Fita de LED com fonte bivolt, 5m, e = 8mm, 2.700K (luz amarela), tipo cob, g-light ou similar</t>
  </si>
  <si>
    <t>4.20</t>
  </si>
  <si>
    <t>COMPOSIÇÃO</t>
  </si>
  <si>
    <t>Fonte Colmeia, 200W, 12V/16.5A, Bivolt, Ref. Blumenau</t>
  </si>
  <si>
    <t>05.</t>
  </si>
  <si>
    <t>INSTALAÇÕES PLUVIAIS</t>
  </si>
  <si>
    <t>Grelha em aço inox para calha, dim 140 x 25 x 2.5 cm - inclusive quadro de cantoneira 1/8" x 1"</t>
  </si>
  <si>
    <t>Corte em pavimento de asfalto/concreto, com máquina e disco diamantado - Rev 01</t>
  </si>
  <si>
    <t>TUBO SOLDAVEL PARA ESGOTO DIAMETRO 50 MM</t>
  </si>
  <si>
    <t>DEMOLIÇÃO MANUAL DE PISO CIMENTICIO SOBRE LASTRO DE CONCRETO COM TRANSPORTE ATE CAÇAMBA E CARGA</t>
  </si>
  <si>
    <t xml:space="preserve">ESCAVACAO MANUAL DE VALAS &lt; 1 MTS. (OBRAS CIVIS) </t>
  </si>
  <si>
    <t>REATERRO COM APILOAMENTO</t>
  </si>
  <si>
    <t>Corrente de aço galvanizado 3/16" - Rev.02</t>
  </si>
  <si>
    <t>06.</t>
  </si>
  <si>
    <t>ALVENARIAS E DIVISÓRIAS</t>
  </si>
  <si>
    <t>MURETA EM ALVENARIA, CHAPISCADA E REBOCADA, INCLUSIVE FUNDAÇÃO</t>
  </si>
  <si>
    <t>IMPERMEABILIZACAO-JARDINEIRA C/MANTA ANTI-RAIZ (COMPLETA)</t>
  </si>
  <si>
    <t>CHAPISCO GROSSO</t>
  </si>
  <si>
    <t>REBOCO PAULISTA A-14 (1CALH:4ARMLC+100kgCI/M3)</t>
  </si>
  <si>
    <t>07.</t>
  </si>
  <si>
    <t>ESTRUTURAS METÁLICAS</t>
  </si>
  <si>
    <t>ESTRUTURA METÁLICA CONVENCIONAL EM AÇO DO TIPO MR-250 / ASTM A36 COM FUNDO ANTICORROSIVO</t>
  </si>
  <si>
    <t xml:space="preserve">Kg    </t>
  </si>
  <si>
    <t>PINTURA ESMALTE ALQUIDICO ESTRUTURA METALICA 2 DEMAOS</t>
  </si>
  <si>
    <t>08.</t>
  </si>
  <si>
    <t>COBERTURAS</t>
  </si>
  <si>
    <t>Fornecimento e instalação de chapas de policarbonato, e=8mm em toldo/cobertura/fechamento/etc - Rev 01</t>
  </si>
  <si>
    <t>SINAPI</t>
  </si>
  <si>
    <t>TELHAMENTO COM TELHA METÁLICA TERMOACÚSTICA E = 30 MM, COM ATÉ 2 ÁGUAS, INCLUSO IÇAMENTO. AF_07/2019</t>
  </si>
  <si>
    <t>RUFO DE CHAPA GALVANIZADA Nº 26</t>
  </si>
  <si>
    <t>09.</t>
  </si>
  <si>
    <t xml:space="preserve">ESQUADRIAS MADEIRAS/ METÁLICAS </t>
  </si>
  <si>
    <t>COTAÇÃO</t>
  </si>
  <si>
    <t>BRISE SOLEIL - CHAPA DE AÇO CARBONO GALVANIZADA, PERFURADA (GRADE FUROS REDONDOS ALTERNADOS HORIZONTAL) COM DIÂMETRO MÁXIMO DE FURO ≤ 4cm, ESPESSURA CHPA 2mm E PINTADA COM TINTA AUTOMOTIVA E ACABAMENTO EM VERNIZ BICOMPONENTE AUTOMOTIVO NA COR: Verde Mar ou similar (a cor deverá ser preveamente aprovada).FORNECIMENTO E INSTALAÇÃO.</t>
  </si>
  <si>
    <t>PORTA DE ABRIR DE 01 FOLHA EM CHAPA METÁLICA PF-1 C/FERRAGENS</t>
  </si>
  <si>
    <t>UN</t>
  </si>
  <si>
    <t>PORTA DE ABRIR DE 01 FOLHA EM VENEZIANA PF-4 C/FERRAGENS</t>
  </si>
  <si>
    <t>Tela de aço galvanizado fio 12 bwg, malha 2", ondulada, quadrada, fixada em moldura constituída de barra chata de 1 1/2 x 1/4"</t>
  </si>
  <si>
    <t>Película insulfilm aplicada ou Similar</t>
  </si>
  <si>
    <t>Tampa de inspeção em chapa metálica de 1/4", inclusive tratamento e pintura em esmalte</t>
  </si>
  <si>
    <t>10.</t>
  </si>
  <si>
    <t>REVESTIMENTO DE PAREDES</t>
  </si>
  <si>
    <t>PAINEL RIPADO INTERNO WPC 290x16cm ( incluso instalação)</t>
  </si>
  <si>
    <t>und</t>
  </si>
  <si>
    <t>PAINEL RIPADO EXTERNO EM ALUMÍNIO, COM PINTURA SUBLIMADA MADEIRADA COR E DIMENSÕES CONFORME O PROJETO. FORNECIMENTO E INSTALAÇÃO</t>
  </si>
  <si>
    <t>11.</t>
  </si>
  <si>
    <t>REVESTIMENTO DE PISO</t>
  </si>
  <si>
    <t>11.01</t>
  </si>
  <si>
    <t>Revestimento cerâmico para piso ou parede, 50 x 50 cm, antiderrapante (porcelanato), Elizabeth ou similar, aplicado com argamassa industrializada ac-iii, rejuntado, exclusive regularização de base ou emboço</t>
  </si>
  <si>
    <t>11.02</t>
  </si>
  <si>
    <t>120101</t>
  </si>
  <si>
    <t>REGULARIZAÇÃO (1:3) E=2 CM</t>
  </si>
  <si>
    <t>11.03</t>
  </si>
  <si>
    <t>PISO EM CONCRETO ARMADO E=20CM BAIA TERM.RODOVIARIO 30MPA(3X3 M)COMP./S.LEITO</t>
  </si>
  <si>
    <t>11.04</t>
  </si>
  <si>
    <t>RODAPÉ DE CERÂMICA ANTIDERRAPANTE COM ARGAMASSA COLANTE</t>
  </si>
  <si>
    <t>11.05</t>
  </si>
  <si>
    <t>MEIO FIO PD. GOINFRA EM CONC. PRÉ MOLD. RETO/CURVO (9v12X30X100CM), FC28=20MPA COM ARGAM.(1CI:3ARMLC) P/ARREMATE DO REJUNT. - INCLUSO ESCAV./APILOAM./REATERRO E CONC.FC28= 10MPA P/ ASSENTAM. E CHUMBAMENTO</t>
  </si>
  <si>
    <t>11.06</t>
  </si>
  <si>
    <t>Pintura de piso com tinta acrílica, aplicação manual, 2 demãos, incluso fundo preparador. af_05/2021</t>
  </si>
  <si>
    <t>11.07</t>
  </si>
  <si>
    <t>LIMPEZA DO SUBSTRATO COM APLICAÇÃO DE JATO DE ÁGUA FRIA</t>
  </si>
  <si>
    <t>11.08</t>
  </si>
  <si>
    <t>REGULARIZAÇÃO DO TERRENO SEM APILOAMENTO COM TRANSPORTE MANUAL DA TERRA ESCAVADA</t>
  </si>
  <si>
    <t>11.09</t>
  </si>
  <si>
    <t>APILOAMENTO MECÂNICO</t>
  </si>
  <si>
    <t>11.10</t>
  </si>
  <si>
    <t>DEMOLIÇÃO MANUAL DE PISO EM LADRILHO HIDRAULICO COM TRANSPORTE ATE CAÇAMBA E CARGA</t>
  </si>
  <si>
    <t>11.11</t>
  </si>
  <si>
    <t>PISO DE LADRILHO HIDRÁULICO COLORIDO MODELO TÁTIL ( ALERTA OU DIRECIONAL) SEM LASTRO</t>
  </si>
  <si>
    <t>m²</t>
  </si>
  <si>
    <t>11.12</t>
  </si>
  <si>
    <t>12.</t>
  </si>
  <si>
    <t>PINTURA</t>
  </si>
  <si>
    <t>PINTURA TEXTURIZADA C/SELADOR ACRILICO (MANTER COR ORIGINAL: ELEFANTE E/OU CÉU CHUVOSO)</t>
  </si>
  <si>
    <t>PINTURA PVA LATEX 2 DEMAOS SEM SELADOR (REPINTAR TODO O TETOS DO BLOCOS)</t>
  </si>
  <si>
    <t xml:space="preserve">PINTURA LATEX ACRILICA 2 DEMAOS C/SELADOR (REPINTAR TODAS AS PAREDES INTERNAS DO BLOCOS) </t>
  </si>
  <si>
    <t>EMASSAMENTO COM MASSA PVA DUAS DEMAOS ( TETO)</t>
  </si>
  <si>
    <t>EMASSAMENTO ACRÍLICO 1 DEMÃO EM PAREDE</t>
  </si>
  <si>
    <t>Pintura para exteriores, sobre paredes, com lixamento, aplicação de 01 demão de líquido selador acrílico e 01 demão de textura riscada em cores diversas, com uso de desempenadeira</t>
  </si>
  <si>
    <t>13.</t>
  </si>
  <si>
    <t>DIVERSOS</t>
  </si>
  <si>
    <t>GUARDA-CORPO EM TUBO DE AÇO INOX ø=1 1/2", DUPLO, montantes e fechamento em tubo 2", h= 96cm, c/acabamento polido, p/fixação em piso</t>
  </si>
  <si>
    <t>CORRIMÃO EM AÇO INOX ø=1 1/2", DUPLO, H=90CM</t>
  </si>
  <si>
    <t>Bate rodas - Segregador para Sinalização Viária</t>
  </si>
  <si>
    <t>14.</t>
  </si>
  <si>
    <t>ADMINISTRAÇÃO - MENSALISTAS</t>
  </si>
  <si>
    <t>ENGENHEIRO - (OBRAS CIVIS)</t>
  </si>
  <si>
    <t>ENCARREGADO - (OBRAS CIVIS)</t>
  </si>
  <si>
    <t>ADMINISTRATIVO DE OBRAS - (OBRAS CIVIS )</t>
  </si>
  <si>
    <t>TÉCNICO EM SEGURANÇA DO TRABALHO (O. CIVIS)</t>
  </si>
  <si>
    <t>TOTAL GERAL</t>
  </si>
  <si>
    <t>TABELA DESONERADA</t>
  </si>
  <si>
    <t>Data base:</t>
  </si>
  <si>
    <t>MEMORIAL DE CÁLCULO</t>
  </si>
  <si>
    <t>Descrição dos Serviços</t>
  </si>
  <si>
    <t>Un.</t>
  </si>
  <si>
    <t>Total</t>
  </si>
  <si>
    <t>Descrição conforme a necessidade de cada item</t>
  </si>
  <si>
    <t>Medida determinada pela GOINFRA</t>
  </si>
  <si>
    <t>Tempo de execução da obra</t>
  </si>
  <si>
    <t>Fachada 4 Bl A - Brise</t>
  </si>
  <si>
    <t>Fachada 1 Bl A - Brise</t>
  </si>
  <si>
    <t>Fachada 2 Bl D - Brise</t>
  </si>
  <si>
    <t>Fachada 3 Bl B - Brise</t>
  </si>
  <si>
    <t>Fachada 3 Bl D - Brise</t>
  </si>
  <si>
    <t>Fachada 1 Bl D - Ripado</t>
  </si>
  <si>
    <t>Fachada 1 Bl F - Ripado</t>
  </si>
  <si>
    <t>Fachada 1 Bl E - Brise</t>
  </si>
  <si>
    <t>Fachada 2 Bl E - Brise</t>
  </si>
  <si>
    <t>Fachada 2 Bl F - Brise</t>
  </si>
  <si>
    <t>Fachada Auditório 1 - Brise</t>
  </si>
  <si>
    <t>Fachada Auditório 2 - Brise</t>
  </si>
  <si>
    <t>Fachada Auditório 3 - Brise</t>
  </si>
  <si>
    <t>Fachada 2 Bl D - Ripado</t>
  </si>
  <si>
    <t>Fachada 3 Bl D - Ripado</t>
  </si>
  <si>
    <t>Foi considerado um acréscimo de 5% sobre as medidas coletadas para instalação dos brises, a fim de cobrir eventuais imprevistos, perdas e ajustes necessários durante a execução.</t>
  </si>
  <si>
    <t>LIMPEZA MANUAL</t>
  </si>
  <si>
    <t>Para o entulho gerado durante a obra, foi estimado volume de 7% da área de construção</t>
  </si>
  <si>
    <t>área da floreira</t>
  </si>
  <si>
    <t>qtde de projeto</t>
  </si>
  <si>
    <t>qtde de projeto/ lista de materiais</t>
  </si>
  <si>
    <t>rampa perto das floreira</t>
  </si>
  <si>
    <t>grelha de 1.4*,25</t>
  </si>
  <si>
    <t>191 un de 25*25cm</t>
  </si>
  <si>
    <t>Piso tátil</t>
  </si>
  <si>
    <t>tubo de 50, prof 1m, compr 7.10m</t>
  </si>
  <si>
    <t>Tubulação grelha</t>
  </si>
  <si>
    <t>10cm p cada lado da grelha. 1,6*0,35</t>
  </si>
  <si>
    <t>(1,4 grelha+ 7,1 tubo)*0,30 de largura * 1m profundidade</t>
  </si>
  <si>
    <t>7,1 tubo * 0,3 * 1</t>
  </si>
  <si>
    <t>Área da floreira</t>
  </si>
  <si>
    <t>(15 descidas na passarela )* (0,13+0,18+2,34+0,18)</t>
  </si>
  <si>
    <t>3 Descidas  com 3und de corrente cada</t>
  </si>
  <si>
    <t>Bloco A e B</t>
  </si>
  <si>
    <t>Entrada Principal</t>
  </si>
  <si>
    <t>Fachada 1 - Bloco C</t>
  </si>
  <si>
    <t>floreira perto das viaturas</t>
  </si>
  <si>
    <t>3,4579 área do fundo + (2,01+5,87+0,6+5,27+1,18+1,53) perimetro * 0,4 altura</t>
  </si>
  <si>
    <t>16,4558 perimetro externo * 0,4 altura</t>
  </si>
  <si>
    <t>floreira</t>
  </si>
  <si>
    <t>Baseado no projeto estrutural da passarela</t>
  </si>
  <si>
    <t>retangular</t>
  </si>
  <si>
    <t>em L</t>
  </si>
  <si>
    <t>Entrada da recepçao principal do bloco F. Fachada posterior do bloco F</t>
  </si>
  <si>
    <t>Acesso copa de distribuicao Bloco A, e Acesso Bloco B</t>
  </si>
  <si>
    <t>15cm de largura</t>
  </si>
  <si>
    <t>Passarela + cobertura do bloco A (novo)/ Calha quadrada tipo platibanda</t>
  </si>
  <si>
    <t>Acabamento Frontal em Aço para telha Trapezoidal Telha Térmica Sanduíche 30mm</t>
  </si>
  <si>
    <t>Acabamento Lateral em Aço para telha Trapezoidal Telha Térmica Sanduíche 30mm</t>
  </si>
  <si>
    <t>Quantidade levantada no projeto arquitetura</t>
  </si>
  <si>
    <t>Bloco A e Recepção</t>
  </si>
  <si>
    <t>fachada 1A + 2D</t>
  </si>
  <si>
    <t>fachada 3, bloco B</t>
  </si>
  <si>
    <t>fachada 3, bloco D</t>
  </si>
  <si>
    <t>fachada 1, bloco E</t>
  </si>
  <si>
    <t>fachada 2, bloco E</t>
  </si>
  <si>
    <t>fachada auditorio 1</t>
  </si>
  <si>
    <t>fachada auditorio 2</t>
  </si>
  <si>
    <t>fachada auditorio 3</t>
  </si>
  <si>
    <t>guarita vista 1</t>
  </si>
  <si>
    <t>guarita vista 2</t>
  </si>
  <si>
    <t>guarita vista 3</t>
  </si>
  <si>
    <t>guarita vista 4</t>
  </si>
  <si>
    <t>2 unidades de 0,80x2,10</t>
  </si>
  <si>
    <t>Janelas copa de distribuicao Bloco A</t>
  </si>
  <si>
    <t>3 janelas de 0,70 por 1,30</t>
  </si>
  <si>
    <t>3 portas + 2 paineis de vidro</t>
  </si>
  <si>
    <t>Conforme relatório fotográfico Ligia e Lorena. Tampas da entrada principal</t>
  </si>
  <si>
    <t>UND</t>
  </si>
  <si>
    <t>Tampas dos 4 sumidouros</t>
  </si>
  <si>
    <t>Bloco F</t>
  </si>
  <si>
    <t>Bloco A</t>
  </si>
  <si>
    <t>Bloco D</t>
  </si>
  <si>
    <t>Anexo Bloco D e acesso Bloco recepcao</t>
  </si>
  <si>
    <t>soma porcelanato e concreto industrial</t>
  </si>
  <si>
    <t>rampa + estacionamento de serviço</t>
  </si>
  <si>
    <t>23m linear de parede, sem considerar parede ripada</t>
  </si>
  <si>
    <t>passarela + em volta do bloco A</t>
  </si>
  <si>
    <t>87 área *1,5 considerando incerteza</t>
  </si>
  <si>
    <t>189 un de 25*25cm</t>
  </si>
  <si>
    <t>11.13</t>
  </si>
  <si>
    <t>DEMOLIÇÃO MANUAL DE PISO CIMENTICIO SOBRE LASTRO DE CONCRETO COM
TRANSPORTE ATE CAÇAMBA E CARGA</t>
  </si>
  <si>
    <t>Bloco B</t>
  </si>
  <si>
    <t>Bloco C</t>
  </si>
  <si>
    <t>Bloco E</t>
  </si>
  <si>
    <t>Resíduos</t>
  </si>
  <si>
    <t>Cs Bombas</t>
  </si>
  <si>
    <t>Guarita</t>
  </si>
  <si>
    <t>Ac. Bl C</t>
  </si>
  <si>
    <t>Considerado 30% da área do teto para eventuais reformas</t>
  </si>
  <si>
    <t>16,4558 perimetro externo * 0,4 altura (floreira)</t>
  </si>
  <si>
    <t>cimento queimado na floreira, e repintar na entrada principal (2,90*7,01)</t>
  </si>
  <si>
    <t>Cimento queimado nos bancos A= 2*( 5,97+18,68*0,8)</t>
  </si>
  <si>
    <t>Cimento queimado Entrada principal A=6,98*3</t>
  </si>
  <si>
    <t>Total horas Trabalhadas</t>
  </si>
  <si>
    <t>horas dia</t>
  </si>
  <si>
    <t>CAFE DA MANHA</t>
  </si>
  <si>
    <t>RE</t>
  </si>
  <si>
    <t>Dividir 8,8</t>
  </si>
  <si>
    <t>CANTINA - (OBRAS CIVIS)</t>
  </si>
  <si>
    <t>Estacionamento da vaga carro de bombeiros</t>
  </si>
  <si>
    <t>Mêses Previsto de Obra</t>
  </si>
  <si>
    <t>TABELA</t>
  </si>
  <si>
    <t>ONERADA</t>
  </si>
  <si>
    <t>CRONOGRAMA FÍSICO-FINANCEIRO ONERADO</t>
  </si>
  <si>
    <t>ÍTEM</t>
  </si>
  <si>
    <t>SERVIÇOS</t>
  </si>
  <si>
    <t>R$ TOTAL</t>
  </si>
  <si>
    <t>% DO TOTAL</t>
  </si>
  <si>
    <t>PERÍODO - MÊS</t>
  </si>
  <si>
    <t>C/ BDI + INCC</t>
  </si>
  <si>
    <t>1°</t>
  </si>
  <si>
    <t>2°</t>
  </si>
  <si>
    <t>3°</t>
  </si>
  <si>
    <t>4°</t>
  </si>
  <si>
    <t>5°</t>
  </si>
  <si>
    <t>6°</t>
  </si>
  <si>
    <t>TOTAL MENSAL</t>
  </si>
  <si>
    <t>TOTAL ACUMULADO</t>
  </si>
  <si>
    <t>PERCENTUAL DO MÊS</t>
  </si>
  <si>
    <t>PERCENTUAL ACUMULADO</t>
  </si>
  <si>
    <t>- Emissão inicial</t>
  </si>
  <si>
    <t>ENCARGOS SOCIAIS</t>
  </si>
  <si>
    <t>INCC ACUMULADO - (I-Io)/Io = I/Io - 1</t>
  </si>
  <si>
    <t>Mês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</si>
  <si>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</si>
  <si>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</si>
  <si>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</si>
  <si>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</si>
  <si>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</si>
  <si>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</si>
  <si>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</si>
  <si>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</si>
  <si>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</si>
  <si>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</si>
  <si>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</si>
  <si>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</si>
  <si>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TABELA DE ÍNDICES DO INCC. FONTE: FGV</t>
  </si>
  <si>
    <t>REF.:</t>
  </si>
  <si>
    <t>DATA REF.:</t>
  </si>
  <si>
    <t>INCC - dezembro/2025</t>
  </si>
  <si>
    <t>SEINFRA - CE</t>
  </si>
  <si>
    <t>ORSE - SE</t>
  </si>
  <si>
    <t>BASE:</t>
  </si>
  <si>
    <t>https://indiceseconomicos.secovi.com.br/indicadormensal.php?idindicador=59</t>
  </si>
  <si>
    <t>xxx</t>
  </si>
  <si>
    <t>TODAS PLANILHAS CORRIGIDAS POR INCC-FGV ATÉ:</t>
  </si>
  <si>
    <t>PLANILHA ORÇAMENTÁRIA DE REFERÊNCIA / COMPOSIÇÃO DO BDI</t>
  </si>
  <si>
    <t>COMPOSIÇÃO DO BDI SERVIÇOS</t>
  </si>
  <si>
    <t>COMPOSIÇÃO DO BDI EQUIPAMENTOS</t>
  </si>
  <si>
    <t>OBSERVAÇÃO</t>
  </si>
  <si>
    <t>% SOBRE O PV</t>
  </si>
  <si>
    <t>% SOBRE O CD</t>
  </si>
  <si>
    <t>A</t>
  </si>
  <si>
    <t>DESPESAS INDIRETAS</t>
  </si>
  <si>
    <t>01</t>
  </si>
  <si>
    <t>Administração Central</t>
  </si>
  <si>
    <t>02</t>
  </si>
  <si>
    <t>Despesas Financeiras</t>
  </si>
  <si>
    <t>03</t>
  </si>
  <si>
    <t>Riscos</t>
  </si>
  <si>
    <t>04</t>
  </si>
  <si>
    <t>Seguros e Garantias Contratuais</t>
  </si>
  <si>
    <t>B</t>
  </si>
  <si>
    <t>RESULTADO</t>
  </si>
  <si>
    <t>Lucro</t>
  </si>
  <si>
    <t>C</t>
  </si>
  <si>
    <t>TRIBUTOS</t>
  </si>
  <si>
    <t>PIS</t>
  </si>
  <si>
    <t>COFINS</t>
  </si>
  <si>
    <t>CPRB</t>
  </si>
  <si>
    <t>ISS</t>
  </si>
  <si>
    <t>BDI COM TRIBUTOS (A+B+C)</t>
  </si>
  <si>
    <t>OBSERVAÇÕES</t>
  </si>
  <si>
    <t>PV</t>
  </si>
  <si>
    <t>- Preço de Venda</t>
  </si>
  <si>
    <t>CD</t>
  </si>
  <si>
    <t>- Custo Direto</t>
  </si>
  <si>
    <t>HORISTA</t>
  </si>
  <si>
    <t>MENSALISTA</t>
  </si>
  <si>
    <t>SEM DESONERAÇÃO</t>
  </si>
  <si>
    <t>COM DESONERAÇÃO</t>
  </si>
  <si>
    <t>GRUPO A</t>
  </si>
  <si>
    <t>A1</t>
  </si>
  <si>
    <t>INSS</t>
  </si>
  <si>
    <t>A2</t>
  </si>
  <si>
    <t>FGTS</t>
  </si>
  <si>
    <t>A3</t>
  </si>
  <si>
    <t>SESI</t>
  </si>
  <si>
    <t>A4</t>
  </si>
  <si>
    <t>SENAI</t>
  </si>
  <si>
    <t>A5</t>
  </si>
  <si>
    <t>INCRA</t>
  </si>
  <si>
    <t>A6</t>
  </si>
  <si>
    <t>Salário Educação</t>
  </si>
  <si>
    <t>A7</t>
  </si>
  <si>
    <t>Seguro Contra Acidentes de Trabalho</t>
  </si>
  <si>
    <t>A8</t>
  </si>
  <si>
    <t>SEBRAE</t>
  </si>
  <si>
    <t>A9</t>
  </si>
  <si>
    <t>SECONCI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</si>
  <si>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</si>
  <si>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</si>
  <si>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</si>
  <si>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</si>
  <si>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</si>
  <si>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</si>
  <si>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</si>
  <si>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</si>
  <si>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Auxílio Acidente</t>
  </si>
  <si>
    <t>B5</t>
  </si>
  <si>
    <t>Licença Paternidade</t>
  </si>
  <si>
    <t>B6</t>
  </si>
  <si>
    <t>Faltas Justificadas</t>
  </si>
  <si>
    <t>B7</t>
  </si>
  <si>
    <t>Férias Gozadas</t>
  </si>
  <si>
    <t>B8</t>
  </si>
  <si>
    <t>Licença Maternidade</t>
  </si>
  <si>
    <t>B9</t>
  </si>
  <si>
    <t>13° Salário</t>
  </si>
  <si>
    <t>GRUPO C</t>
  </si>
  <si>
    <t>C1</t>
  </si>
  <si>
    <t>Aviso Prévio Indenizado</t>
  </si>
  <si>
    <t>C2</t>
  </si>
  <si>
    <t>Aviso Prévio Trabalhado</t>
  </si>
  <si>
    <t>C3</t>
  </si>
  <si>
    <t>Férias Indenizadas + 1/3</t>
  </si>
  <si>
    <t>C4</t>
  </si>
  <si>
    <t>Multa por Rescisão do Contrato de Trabalho sem Justa Causa</t>
  </si>
  <si>
    <t>C5</t>
  </si>
  <si>
    <t>Indenização Adicional</t>
  </si>
  <si>
    <t>GRUPO D</t>
  </si>
  <si>
    <t>D1</t>
  </si>
  <si>
    <t>Incidência do Grupo A sobre B</t>
  </si>
  <si>
    <t>D2</t>
  </si>
  <si>
    <t>Incidência do Grupo A sobre aviso prévio trabalhado</t>
  </si>
  <si>
    <t>D3</t>
  </si>
  <si>
    <t>Incidência do FGTS sobre Aviso Prévio Indenizado</t>
  </si>
  <si>
    <t>D</t>
  </si>
  <si>
    <t>TOTAL (A+B+C+D)</t>
  </si>
  <si>
    <t>Fonte:</t>
  </si>
  <si>
    <t>https://www.goinfra.go.gov.br/arquivos/arquivos/ENCARGOS_SOCIAIS_GOINFRA_HORIS%20-%202025.02.pdf</t>
  </si>
  <si>
    <t>https://www.goinfra.go.gov.br/arquivos/arquivos/ENCARGOS_SOCIAIS_GOINFRA_MENSA%20-%202025.02.pdf</t>
  </si>
  <si>
    <t>COMPOSIÇÕES DE CUSTOS UNITÁRIOS</t>
  </si>
  <si>
    <t>CÓDIGO COMP.</t>
  </si>
  <si>
    <t>TABELA / COTAÇÃO</t>
  </si>
  <si>
    <t>Código</t>
  </si>
  <si>
    <t>DESCRIÇÃO DA COMPOSIÇÃO</t>
  </si>
  <si>
    <t>Qtde</t>
  </si>
  <si>
    <t>Material unitário (R$)</t>
  </si>
  <si>
    <t>Mão de obra unitário (R$)</t>
  </si>
  <si>
    <t>Material Total (R$)</t>
  </si>
  <si>
    <t>Mão de obra Total (R$)</t>
  </si>
  <si>
    <t>Valor Total (R$)</t>
  </si>
  <si>
    <t>PREÇO MATERIAL TOTAL + CORREÇÃO (R$)</t>
  </si>
  <si>
    <t>PREÇO M. OBRA TOTAL+ CORREÇÃO (R$)</t>
  </si>
  <si>
    <t>Valor Total (R$)+ CORREÇÃO</t>
  </si>
  <si>
    <t>Painel ripado interno wpc 290x16cm ( incluso instalação)</t>
  </si>
  <si>
    <t>Painel ripado interno wpc 290x16cm</t>
  </si>
  <si>
    <t>Adesivo estrutural a base de resina epoxi, bicomponente, pastoso (tixotropico)</t>
  </si>
  <si>
    <t>SERVENTE</t>
  </si>
  <si>
    <t>H</t>
  </si>
  <si>
    <t>MONTADOR DE DIVISÓRIA/PAINEL</t>
  </si>
  <si>
    <t>pç</t>
  </si>
  <si>
    <t>Guarda-corpo em tubo de aço inox ø=1 1/2", duplo, montantes e fechamento em tubo 2", h= 96cm, c/acabamento polido, p/fixação em piso</t>
  </si>
  <si>
    <t>SERRALHEIRO</t>
  </si>
  <si>
    <t>AJUDANTE</t>
  </si>
  <si>
    <t>Obs.: Tempo de serviço considerando instalação e montagem</t>
  </si>
  <si>
    <t>Tampa circular para esgoto e drenagem, em ferro fundido, diâmetro 900 mm</t>
  </si>
  <si>
    <t>Tampao fofo simples com base / requadro, classe d400 carga max. 40 t, redondo, tampa 900 mm (com inscricao em relevo do tipo de rede)</t>
  </si>
  <si>
    <t>Concreto fck = 20mpa, traço 1:2,7:3 (em massa seca de cimento/ areia média/ brita 1) - preparo mecânico com betoneira 600 l. af_05/2021</t>
  </si>
  <si>
    <t>M3</t>
  </si>
  <si>
    <t>PEDREIRO</t>
  </si>
  <si>
    <t>Tubo retângular em aço galvanizado 70x30, branco ( Descidas água pluvial)</t>
  </si>
  <si>
    <t xml:space="preserve">	Tubo retângular em aço galvanizado 70x30 e=1,25mm (1,84 KG/m)</t>
  </si>
  <si>
    <t xml:space="preserve">ACABAMENTO FRONTAL CALHA TIPO PLATIBANDA PINTADA NA COR BRANCA 150mm
</t>
  </si>
  <si>
    <t>CHAPA GALVANIZADA 60 CM (Nº 26)</t>
  </si>
  <si>
    <t>CALHEIRO</t>
  </si>
  <si>
    <t>RUFO DE CHAPA GALVANIZADA BRANCA</t>
  </si>
  <si>
    <t>CHAPA GALVANIZADA 40 CM (Nº 26)</t>
  </si>
  <si>
    <t xml:space="preserve">
Acabamento Frontal em Aço para telha Trapezoidal Telha Térmica Sanduíche 30mm</t>
  </si>
  <si>
    <t>Acabamento Frontal em Aço para Isotelha Trapezoidal Telha Térmica Sanduíche 30mm</t>
  </si>
  <si>
    <t>AJUDANTETelhadista com encargos complementares</t>
  </si>
  <si>
    <t xml:space="preserve">
Acabamento Lateral em Aço para telha Trapezoidal Telha Térmica Sanduíche 30mm</t>
  </si>
  <si>
    <t>Cola à base de resina poliéster com catalisador</t>
  </si>
  <si>
    <t>KG</t>
  </si>
  <si>
    <t>Caixa de passagem eletrica de parede, de sobrepor, em pvc, com tampa aparafusada, dimensoes 300 x 300 x *100* mm</t>
  </si>
  <si>
    <t>ELETRICISTA</t>
  </si>
  <si>
    <t>Conector elétrico 2P p/fio 2,5mm2, WAGO ou similar</t>
  </si>
  <si>
    <t>Fonte Colmeia, 250W, 12V/16.5A, Bivolt, Ref. Blumenau</t>
  </si>
  <si>
    <t>Fonte Driver externa de 250ww, tensão de entrada AC 90 a 305v, tensão de saída DC 12v, uso externo</t>
  </si>
  <si>
    <t>Tubo retângular em aço galvanizado 70x30 ( Descidas água pluvial)</t>
  </si>
  <si>
    <t>Tubo retângular em aço galvanizado 70x30 e=1,25mm (1,84 KG/m)</t>
  </si>
  <si>
    <t>AJUDANTE Telhadista com encargos complementares</t>
  </si>
  <si>
    <t>Caixa de passagem eletrica de parede, de sobrepor, em pvc, com tampa aparafusada, dimensoes 300 x 300 x 100 mm</t>
  </si>
  <si>
    <t>Cotações/ contratações similares</t>
  </si>
  <si>
    <t>MAPA DE COTAÇÕES</t>
  </si>
  <si>
    <t>TIPO</t>
  </si>
  <si>
    <t>VALOR UNITÁRIO (R$)</t>
  </si>
  <si>
    <t>MÉDIA</t>
  </si>
  <si>
    <t>MATERIAL</t>
  </si>
  <si>
    <t>BRISE SOLEIL - CHAPA DE AÇO CARBONO GALVANIZADA, PERFURADA (GRADE FUROS REDONDOS ALTERNADOS HORIZONTAL) COM DIÂMETRO MÁXIMO DE FURO ≤ 4cm, ESPESSURA CHPA 2mm E PINTADA COM TINTA AUTOMOTIVA E ACABAMENTO EM VERNIZ BICOMPONENTE AUTOMOTIVO NA COR: Verde Mar ou similar (a cor deverá ser preveamente aprovada). FORNECIMENTO E INSTALAÇÃO. (INCLUSO ESTRUTURA PARA INSTALAÇÃO)</t>
  </si>
  <si>
    <t>VALOR:</t>
  </si>
  <si>
    <t>DATA
COTAÇÃO:</t>
  </si>
  <si>
    <t>CNPJ</t>
  </si>
  <si>
    <t>07.527.227/0001-39</t>
  </si>
  <si>
    <t>20.871.136/0001-847</t>
  </si>
  <si>
    <t>24164922/0001-00</t>
  </si>
  <si>
    <t>EMPRESA:</t>
  </si>
  <si>
    <t>Enenge Engenharia Ltda</t>
  </si>
  <si>
    <t>ENERUGI ENGENHARIA LTDA</t>
  </si>
  <si>
    <t>INTERCON CONSTRUTORA LTDA</t>
  </si>
  <si>
    <t>PAINEL RIPADO INTERNO WPC 290x16cm</t>
  </si>
  <si>
    <t>Woopo</t>
  </si>
  <si>
    <t>Lojão dos Forros</t>
  </si>
  <si>
    <t>BR Floor</t>
  </si>
  <si>
    <t>DELTA N CONSTRUTORA LTDA</t>
  </si>
  <si>
    <t>FONTE:</t>
  </si>
  <si>
    <t>PNCP</t>
  </si>
  <si>
    <t>KINGSPAN</t>
  </si>
  <si>
    <t>GRAVIA</t>
  </si>
  <si>
    <t>Meu telhado</t>
  </si>
  <si>
    <t>Safe Park</t>
  </si>
  <si>
    <t>Loja do Asfalto</t>
  </si>
  <si>
    <t>Mercado Livre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</si>
</sst>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d/m/yyyy"/>
    <numFmt numFmtId="165" formatCode="[$R$ -416]#,##0.00"/>
    <numFmt numFmtId="166" formatCode="mmmm/yyyy"/>
    <numFmt numFmtId="167" formatCode="mmmm&quot; &quot;yyyy"/>
    <numFmt numFmtId="168" formatCode="d.m"/>
    <numFmt numFmtId="169" formatCode="dd/MM/yyyy"/>
    <numFmt numFmtId="170" formatCode="0.000"/>
    <numFmt numFmtId="171" formatCode="_-* #,##0.00_-;\-* #,##0.00_-;_-* \-??_-;_-@"/>
    <numFmt numFmtId="172" formatCode="mmm/yyyy"/>
    <numFmt numFmtId="173" formatCode="&quot;R$ &quot;#,##0.00"/>
  </numFmts>
  <fonts count="19">
    <font>
      <sz val="10.0"/>
      <color rgb="FF000000"/>
      <name val="Arial"/>
      <scheme val="minor"/>
    </font>
    <font>
      <b/>
      <sz val="11.0"/>
      <color theme="1"/>
      <name val="Arial"/>
      <scheme val="minor"/>
    </font>
    <font>
      <sz val="11.0"/>
      <color theme="1"/>
      <name val="Arial"/>
      <scheme val="minor"/>
    </font>
    <font/>
    <font>
      <sz val="10.0"/>
      <color theme="1"/>
      <name val="Arial"/>
      <scheme val="minor"/>
    </font>
    <font>
      <b/>
      <i/>
      <sz val="8.0"/>
      <color theme="1"/>
      <name val="Arial"/>
      <scheme val="minor"/>
    </font>
    <font>
      <b/>
      <i/>
      <sz val="11.0"/>
      <color theme="1"/>
      <name val="Arial"/>
      <scheme val="minor"/>
    </font>
    <font>
      <color theme="1"/>
      <name val="Arial"/>
      <scheme val="minor"/>
    </font>
    <font>
      <sz val="11.0"/>
      <color rgb="FFFF0000"/>
      <name val="Arial"/>
      <scheme val="minor"/>
    </font>
    <font>
      <sz val="11.0"/>
      <color rgb="FF000000"/>
      <name val="Arial"/>
      <scheme val="minor"/>
    </font>
    <font>
      <b/>
      <sz val="13.0"/>
      <color theme="1"/>
      <name val="Arial"/>
      <scheme val="minor"/>
    </font>
    <font>
      <sz val="13.0"/>
      <color theme="1"/>
      <name val="Arial"/>
      <scheme val="minor"/>
    </font>
    <font>
      <i/>
      <sz val="11.0"/>
      <color theme="1"/>
      <name val="Arial"/>
      <scheme val="minor"/>
    </font>
    <font>
      <b/>
      <sz val="12.0"/>
      <color theme="1"/>
      <name val="Arial"/>
      <scheme val="minor"/>
    </font>
    <font>
      <u/>
      <sz val="11.0"/>
      <color rgb="FF0563C1"/>
    </font>
    <font>
      <b/>
      <sz val="11.0"/>
      <color rgb="FFFFFFFF"/>
      <name val="Arial"/>
      <scheme val="minor"/>
    </font>
    <font>
      <u/>
      <sz val="11.0"/>
      <color rgb="FF0563C1"/>
    </font>
    <font>
      <sz val="11.0"/>
      <color theme="1"/>
      <name val="Arial"/>
    </font>
    <font>
      <b/>
      <sz val="11.0"/>
      <color rgb="FFFF0000"/>
      <name val="Arial"/>
      <scheme val="minor"/>
    </font>
  </fonts>
  <fills count="11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E7E6E6"/>
        <bgColor rgb="FFE7E6E6"/>
      </patternFill>
    </fill>
    <fill>
      <patternFill patternType="solid">
        <fgColor rgb="FFBFBFBF"/>
        <bgColor rgb="FFBFBFBF"/>
      </patternFill>
    </fill>
    <fill>
      <patternFill patternType="solid">
        <fgColor rgb="FFFFF2CC"/>
        <bgColor rgb="FFFFF2CC"/>
      </patternFill>
    </fill>
    <fill>
      <patternFill patternType="solid">
        <fgColor rgb="FF000000"/>
        <bgColor rgb="FF000000"/>
      </patternFill>
    </fill>
    <fill>
      <patternFill patternType="solid">
        <fgColor rgb="FFB6D7A8"/>
        <bgColor rgb="FFB6D7A8"/>
      </patternFill>
    </fill>
    <fill>
      <patternFill patternType="solid">
        <fgColor rgb="FF93C47D"/>
        <bgColor rgb="FF93C47D"/>
      </patternFill>
    </fill>
    <fill>
      <patternFill patternType="solid">
        <fgColor rgb="FF767171"/>
        <bgColor rgb="FF767171"/>
      </patternFill>
    </fill>
    <fill>
      <patternFill patternType="solid">
        <fgColor rgb="FFDEEBF7"/>
        <bgColor rgb="FFDEEBF7"/>
      </patternFill>
    </fill>
  </fills>
  <borders count="2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/>
      <top/>
      <bottom/>
    </border>
    <border>
      <right/>
      <top/>
      <bottom/>
    </border>
    <border>
      <left/>
      <right/>
      <top/>
      <bottom/>
    </border>
    <border>
      <lef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4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readingOrder="0" vertical="center"/>
    </xf>
    <xf borderId="1" fillId="2" fontId="2" numFmtId="0" xfId="0" applyAlignment="1" applyBorder="1" applyFont="1">
      <alignment readingOrder="0" vertical="center"/>
    </xf>
    <xf borderId="1" fillId="2" fontId="2" numFmtId="164" xfId="0" applyAlignment="1" applyBorder="1" applyFont="1" applyNumberFormat="1">
      <alignment readingOrder="0" vertical="center"/>
    </xf>
    <xf borderId="2" fillId="2" fontId="2" numFmtId="164" xfId="0" applyAlignment="1" applyBorder="1" applyFont="1" applyNumberFormat="1">
      <alignment vertical="center"/>
    </xf>
    <xf borderId="0" fillId="0" fontId="2" numFmtId="0" xfId="0" applyAlignment="1" applyFont="1">
      <alignment vertical="center"/>
    </xf>
    <xf borderId="2" fillId="2" fontId="2" numFmtId="0" xfId="0" applyAlignment="1" applyBorder="1" applyFont="1">
      <alignment vertical="center"/>
    </xf>
    <xf borderId="1" fillId="2" fontId="1" numFmtId="0" xfId="0" applyAlignment="1" applyBorder="1" applyFont="1">
      <alignment readingOrder="0" shrinkToFit="0" vertical="center" wrapText="1"/>
    </xf>
    <xf borderId="1" fillId="2" fontId="2" numFmtId="0" xfId="0" applyAlignment="1" applyBorder="1" applyFont="1">
      <alignment readingOrder="0" shrinkToFit="0" vertical="center" wrapText="1"/>
    </xf>
    <xf borderId="2" fillId="0" fontId="3" numFmtId="0" xfId="0" applyBorder="1" applyFont="1"/>
    <xf borderId="3" fillId="2" fontId="1" numFmtId="0" xfId="0" applyAlignment="1" applyBorder="1" applyFont="1">
      <alignment readingOrder="0" shrinkToFit="0" vertical="center" wrapText="1"/>
    </xf>
    <xf borderId="3" fillId="2" fontId="2" numFmtId="10" xfId="0" applyAlignment="1" applyBorder="1" applyFont="1" applyNumberFormat="1">
      <alignment horizontal="center" readingOrder="0" vertical="center"/>
    </xf>
    <xf borderId="4" fillId="2" fontId="1" numFmtId="0" xfId="0" applyAlignment="1" applyBorder="1" applyFont="1">
      <alignment shrinkToFit="0" vertical="center" wrapText="1"/>
    </xf>
    <xf borderId="4" fillId="2" fontId="2" numFmtId="10" xfId="0" applyAlignment="1" applyBorder="1" applyFont="1" applyNumberForma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3" fontId="1" numFmtId="0" xfId="0" applyAlignment="1" applyBorder="1" applyFill="1" applyFont="1">
      <alignment horizontal="center" readingOrder="0" shrinkToFit="0" vertical="center" wrapText="1"/>
    </xf>
    <xf borderId="1" fillId="3" fontId="1" numFmtId="0" xfId="0" applyAlignment="1" applyBorder="1" applyFont="1">
      <alignment readingOrder="0" shrinkToFit="0" vertical="center" wrapText="1"/>
    </xf>
    <xf borderId="1" fillId="4" fontId="2" numFmtId="0" xfId="0" applyAlignment="1" applyBorder="1" applyFill="1" applyFont="1">
      <alignment vertical="center"/>
    </xf>
    <xf borderId="1" fillId="4" fontId="1" numFmtId="0" xfId="0" applyAlignment="1" applyBorder="1" applyFont="1">
      <alignment readingOrder="0" shrinkToFit="0" vertical="center" wrapText="1"/>
    </xf>
    <xf borderId="1" fillId="4" fontId="1" numFmtId="165" xfId="0" applyAlignment="1" applyBorder="1" applyFont="1" applyNumberFormat="1">
      <alignment horizontal="center" readingOrder="0" shrinkToFit="0" vertical="center" wrapText="1"/>
    </xf>
    <xf borderId="1" fillId="4" fontId="1" numFmtId="10" xfId="0" applyAlignment="1" applyBorder="1" applyFont="1" applyNumberFormat="1">
      <alignment horizontal="center"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1" fillId="0" fontId="2" numFmtId="49" xfId="0" applyAlignment="1" applyBorder="1" applyFont="1" applyNumberFormat="1">
      <alignment readingOrder="0" shrinkToFit="0" vertical="center" wrapText="1"/>
    </xf>
    <xf borderId="1" fillId="0" fontId="2" numFmtId="165" xfId="0" applyAlignment="1" applyBorder="1" applyFont="1" applyNumberFormat="1">
      <alignment horizontal="center" readingOrder="0" vertical="center"/>
    </xf>
    <xf borderId="5" fillId="0" fontId="2" numFmtId="10" xfId="0" applyAlignment="1" applyBorder="1" applyFont="1" applyNumberFormat="1">
      <alignment horizontal="center" readingOrder="0" vertical="center"/>
    </xf>
    <xf borderId="2" fillId="0" fontId="2" numFmtId="0" xfId="0" applyAlignment="1" applyBorder="1" applyFont="1">
      <alignment vertical="center"/>
    </xf>
    <xf borderId="1" fillId="5" fontId="1" numFmtId="0" xfId="0" applyAlignment="1" applyBorder="1" applyFill="1" applyFont="1">
      <alignment horizontal="right" readingOrder="0" shrinkToFit="0" vertical="center" wrapText="1"/>
    </xf>
    <xf borderId="1" fillId="5" fontId="1" numFmtId="165" xfId="0" applyAlignment="1" applyBorder="1" applyFont="1" applyNumberFormat="1">
      <alignment horizontal="center" readingOrder="0" shrinkToFit="0" vertical="center" wrapText="1"/>
    </xf>
    <xf borderId="5" fillId="5" fontId="1" numFmtId="10" xfId="0" applyAlignment="1" applyBorder="1" applyFont="1" applyNumberFormat="1">
      <alignment horizontal="center" readingOrder="0" shrinkToFit="0" vertical="center" wrapText="1"/>
    </xf>
    <xf borderId="5" fillId="4" fontId="1" numFmtId="49" xfId="0" applyAlignment="1" applyBorder="1" applyFont="1" applyNumberFormat="1">
      <alignment horizontal="right" readingOrder="0" shrinkToFit="0" vertical="center" wrapText="1"/>
    </xf>
    <xf borderId="1" fillId="4" fontId="2" numFmtId="0" xfId="0" applyAlignment="1" applyBorder="1" applyFont="1">
      <alignment readingOrder="0" shrinkToFit="0" vertical="center" wrapText="0"/>
    </xf>
    <xf borderId="2" fillId="4" fontId="2" numFmtId="1" xfId="0" applyAlignment="1" applyBorder="1" applyFont="1" applyNumberFormat="1">
      <alignment shrinkToFit="0" vertical="center" wrapText="1"/>
    </xf>
    <xf borderId="6" fillId="4" fontId="2" numFmtId="2" xfId="0" applyAlignment="1" applyBorder="1" applyFont="1" applyNumberFormat="1">
      <alignment shrinkToFit="0" vertical="center" wrapText="1"/>
    </xf>
    <xf borderId="5" fillId="4" fontId="1" numFmtId="0" xfId="0" applyAlignment="1" applyBorder="1" applyFont="1">
      <alignment readingOrder="0" shrinkToFit="0" vertical="center" wrapText="1"/>
    </xf>
    <xf borderId="1" fillId="4" fontId="1" numFmtId="166" xfId="0" applyAlignment="1" applyBorder="1" applyFont="1" applyNumberFormat="1">
      <alignment horizontal="center" readingOrder="0" vertical="center"/>
    </xf>
    <xf borderId="2" fillId="4" fontId="1" numFmtId="167" xfId="0" applyAlignment="1" applyBorder="1" applyFont="1" applyNumberFormat="1">
      <alignment horizontal="center" vertical="center"/>
    </xf>
    <xf borderId="6" fillId="4" fontId="1" numFmtId="167" xfId="0" applyAlignment="1" applyBorder="1" applyFont="1" applyNumberFormat="1">
      <alignment horizontal="center" vertical="center"/>
    </xf>
    <xf borderId="7" fillId="4" fontId="2" numFmtId="0" xfId="0" applyAlignment="1" applyBorder="1" applyFont="1">
      <alignment vertical="center"/>
    </xf>
    <xf borderId="8" fillId="4" fontId="2" numFmtId="0" xfId="0" applyAlignment="1" applyBorder="1" applyFont="1">
      <alignment vertical="center"/>
    </xf>
    <xf borderId="9" fillId="4" fontId="2" numFmtId="0" xfId="0" applyAlignment="1" applyBorder="1" applyFont="1">
      <alignment vertical="center"/>
    </xf>
    <xf borderId="10" fillId="4" fontId="2" numFmtId="0" xfId="0" applyAlignment="1" applyBorder="1" applyFont="1">
      <alignment vertical="center"/>
    </xf>
    <xf borderId="11" fillId="4" fontId="2" numFmtId="0" xfId="0" applyAlignment="1" applyBorder="1" applyFont="1">
      <alignment vertical="center"/>
    </xf>
    <xf borderId="12" fillId="4" fontId="1" numFmtId="0" xfId="0" applyAlignment="1" applyBorder="1" applyFont="1">
      <alignment horizontal="center" readingOrder="0" shrinkToFit="0" vertical="center" wrapText="1"/>
    </xf>
    <xf borderId="13" fillId="4" fontId="1" numFmtId="4" xfId="0" applyAlignment="1" applyBorder="1" applyFont="1" applyNumberFormat="1">
      <alignment readingOrder="0" vertical="center"/>
    </xf>
    <xf borderId="13" fillId="4" fontId="2" numFmtId="4" xfId="0" applyAlignment="1" applyBorder="1" applyFont="1" applyNumberFormat="1">
      <alignment vertical="center"/>
    </xf>
    <xf borderId="14" fillId="4" fontId="2" numFmtId="4" xfId="0" applyAlignment="1" applyBorder="1" applyFont="1" applyNumberFormat="1">
      <alignment vertical="center"/>
    </xf>
    <xf borderId="15" fillId="4" fontId="2" numFmtId="0" xfId="0" applyAlignment="1" applyBorder="1" applyFont="1">
      <alignment vertical="center"/>
    </xf>
    <xf borderId="16" fillId="4" fontId="2" numFmtId="0" xfId="0" applyAlignment="1" applyBorder="1" applyFont="1">
      <alignment vertical="center"/>
    </xf>
    <xf borderId="17" fillId="4" fontId="2" numFmtId="0" xfId="0" applyAlignment="1" applyBorder="1" applyFont="1">
      <alignment vertical="center"/>
    </xf>
    <xf borderId="18" fillId="4" fontId="2" numFmtId="0" xfId="0" applyAlignment="1" applyBorder="1" applyFont="1">
      <alignment vertical="center"/>
    </xf>
    <xf borderId="19" fillId="4" fontId="2" numFmtId="0" xfId="0" applyAlignment="1" applyBorder="1" applyFont="1">
      <alignment vertical="center"/>
    </xf>
    <xf borderId="20" fillId="4" fontId="1" numFmtId="0" xfId="0" applyAlignment="1" applyBorder="1" applyFont="1">
      <alignment horizontal="center" shrinkToFit="0" vertical="center" wrapText="1"/>
    </xf>
    <xf borderId="3" fillId="4" fontId="4" numFmtId="4" xfId="0" applyAlignment="1" applyBorder="1" applyFont="1" applyNumberFormat="1">
      <alignment readingOrder="0" shrinkToFit="0" vertical="center" wrapText="1"/>
    </xf>
    <xf borderId="13" fillId="0" fontId="3" numFmtId="0" xfId="0" applyBorder="1" applyFont="1"/>
    <xf borderId="14" fillId="0" fontId="3" numFmtId="0" xfId="0" applyBorder="1" applyFont="1"/>
    <xf borderId="0" fillId="4" fontId="2" numFmtId="0" xfId="0" applyAlignment="1" applyFont="1">
      <alignment vertical="center"/>
    </xf>
    <xf borderId="2" fillId="2" fontId="2" numFmtId="1" xfId="0" applyAlignment="1" applyBorder="1" applyFont="1" applyNumberFormat="1">
      <alignment shrinkToFit="0" vertical="center" wrapText="1"/>
    </xf>
    <xf borderId="21" fillId="4" fontId="1" numFmtId="0" xfId="0" applyAlignment="1" applyBorder="1" applyFont="1">
      <alignment horizontal="center" shrinkToFit="0" vertical="center" wrapText="1"/>
    </xf>
    <xf borderId="4" fillId="4" fontId="5" numFmtId="4" xfId="0" applyAlignment="1" applyBorder="1" applyFont="1" applyNumberFormat="1">
      <alignment readingOrder="0" vertical="center"/>
    </xf>
    <xf borderId="22" fillId="4" fontId="2" numFmtId="4" xfId="0" applyAlignment="1" applyBorder="1" applyFont="1" applyNumberFormat="1">
      <alignment vertical="center"/>
    </xf>
    <xf borderId="23" fillId="4" fontId="6" numFmtId="167" xfId="0" applyAlignment="1" applyBorder="1" applyFont="1" applyNumberFormat="1">
      <alignment readingOrder="0" shrinkToFit="0" vertical="center" wrapText="1"/>
    </xf>
    <xf borderId="5" fillId="4" fontId="1" numFmtId="0" xfId="0" applyAlignment="1" applyBorder="1" applyFont="1">
      <alignment horizontal="right" readingOrder="0" vertical="center"/>
    </xf>
    <xf borderId="21" fillId="4" fontId="2" numFmtId="10" xfId="0" applyAlignment="1" applyBorder="1" applyFont="1" applyNumberFormat="1">
      <alignment readingOrder="0" shrinkToFit="0" vertical="center" wrapText="1"/>
    </xf>
    <xf borderId="21" fillId="4" fontId="1" numFmtId="0" xfId="0" applyAlignment="1" applyBorder="1" applyFont="1">
      <alignment readingOrder="0" shrinkToFit="0" vertical="center" wrapText="1"/>
    </xf>
    <xf borderId="1" fillId="4" fontId="1" numFmtId="0" xfId="0" applyAlignment="1" applyBorder="1" applyFont="1">
      <alignment horizontal="center" readingOrder="0" shrinkToFit="0" vertical="center" wrapText="1"/>
    </xf>
    <xf borderId="6" fillId="0" fontId="3" numFmtId="0" xfId="0" applyBorder="1" applyFont="1"/>
    <xf borderId="5" fillId="4" fontId="1" numFmtId="0" xfId="0" applyAlignment="1" applyBorder="1" applyFont="1">
      <alignment horizontal="center" readingOrder="0" shrinkToFit="0" vertical="center" wrapText="1"/>
    </xf>
    <xf borderId="5" fillId="4" fontId="1" numFmtId="1" xfId="0" applyAlignment="1" applyBorder="1" applyFont="1" applyNumberFormat="1">
      <alignment horizontal="center" readingOrder="0" shrinkToFit="0" vertical="center" wrapText="1"/>
    </xf>
    <xf borderId="5" fillId="4" fontId="1" numFmtId="2" xfId="0" applyAlignment="1" applyBorder="1" applyFont="1" applyNumberFormat="1">
      <alignment horizontal="center" readingOrder="0" shrinkToFit="0" vertical="center" wrapText="1"/>
    </xf>
    <xf borderId="5" fillId="4" fontId="2" numFmtId="49" xfId="0" applyAlignment="1" applyBorder="1" applyFont="1" applyNumberFormat="1">
      <alignment vertical="center"/>
    </xf>
    <xf borderId="5" fillId="4" fontId="2" numFmtId="1" xfId="0" applyAlignment="1" applyBorder="1" applyFont="1" applyNumberFormat="1">
      <alignment vertical="center"/>
    </xf>
    <xf borderId="5" fillId="4" fontId="1" numFmtId="49" xfId="0" applyAlignment="1" applyBorder="1" applyFont="1" applyNumberFormat="1">
      <alignment readingOrder="0" shrinkToFit="0" vertical="center" wrapText="1"/>
    </xf>
    <xf borderId="5" fillId="4" fontId="2" numFmtId="4" xfId="0" applyAlignment="1" applyBorder="1" applyFont="1" applyNumberFormat="1">
      <alignment vertical="center"/>
    </xf>
    <xf borderId="5" fillId="4" fontId="1" numFmtId="165" xfId="0" applyAlignment="1" applyBorder="1" applyFont="1" applyNumberFormat="1">
      <alignment horizontal="center" readingOrder="0" shrinkToFit="0" vertical="center" wrapText="1"/>
    </xf>
    <xf borderId="5" fillId="0" fontId="2" numFmtId="168" xfId="0" applyAlignment="1" applyBorder="1" applyFont="1" applyNumberFormat="1">
      <alignment horizontal="center" readingOrder="0" shrinkToFit="0" vertical="center" wrapText="1"/>
    </xf>
    <xf borderId="5" fillId="0" fontId="2" numFmtId="49" xfId="0" applyAlignment="1" applyBorder="1" applyFont="1" applyNumberFormat="1">
      <alignment horizontal="center" readingOrder="0" vertical="center"/>
    </xf>
    <xf borderId="5" fillId="0" fontId="2" numFmtId="1" xfId="0" applyAlignment="1" applyBorder="1" applyFont="1" applyNumberFormat="1">
      <alignment horizontal="center" readingOrder="0" vertical="center"/>
    </xf>
    <xf borderId="5" fillId="0" fontId="2" numFmtId="49" xfId="0" applyAlignment="1" applyBorder="1" applyFont="1" applyNumberFormat="1">
      <alignment readingOrder="0" shrinkToFit="0" vertical="center" wrapText="1"/>
    </xf>
    <xf borderId="5" fillId="0" fontId="2" numFmtId="49" xfId="0" applyAlignment="1" applyBorder="1" applyFont="1" applyNumberFormat="1">
      <alignment horizontal="center" readingOrder="0" shrinkToFit="0" vertical="center" wrapText="1"/>
    </xf>
    <xf borderId="5" fillId="0" fontId="2" numFmtId="4" xfId="0" applyAlignment="1" applyBorder="1" applyFont="1" applyNumberFormat="1">
      <alignment horizontal="center" readingOrder="0" shrinkToFit="0" vertical="center" wrapText="1"/>
    </xf>
    <xf borderId="5" fillId="0" fontId="2" numFmtId="165" xfId="0" applyAlignment="1" applyBorder="1" applyFont="1" applyNumberFormat="1">
      <alignment horizontal="center" readingOrder="0" shrinkToFit="0" vertical="center" wrapText="1"/>
    </xf>
    <xf borderId="5" fillId="0" fontId="2" numFmtId="10" xfId="0" applyAlignment="1" applyBorder="1" applyFont="1" applyNumberFormat="1">
      <alignment horizontal="center" readingOrder="0" shrinkToFit="0" vertical="center" wrapText="1"/>
    </xf>
    <xf borderId="5" fillId="0" fontId="2" numFmtId="165" xfId="0" applyAlignment="1" applyBorder="1" applyFont="1" applyNumberFormat="1">
      <alignment horizontal="center" readingOrder="0" shrinkToFit="0" vertical="center" wrapText="1"/>
    </xf>
    <xf borderId="0" fillId="0" fontId="7" numFmtId="10" xfId="0" applyAlignment="1" applyFont="1" applyNumberFormat="1">
      <alignment vertical="center"/>
    </xf>
    <xf borderId="0" fillId="0" fontId="7" numFmtId="0" xfId="0" applyAlignment="1" applyFont="1">
      <alignment vertical="center"/>
    </xf>
    <xf borderId="5" fillId="4" fontId="1" numFmtId="49" xfId="0" applyAlignment="1" applyBorder="1" applyFont="1" applyNumberFormat="1">
      <alignment vertical="center"/>
    </xf>
    <xf borderId="5" fillId="4" fontId="1" numFmtId="1" xfId="0" applyAlignment="1" applyBorder="1" applyFont="1" applyNumberFormat="1">
      <alignment vertical="center"/>
    </xf>
    <xf borderId="5" fillId="4" fontId="1" numFmtId="4" xfId="0" applyAlignment="1" applyBorder="1" applyFont="1" applyNumberFormat="1">
      <alignment vertical="center"/>
    </xf>
    <xf borderId="0" fillId="0" fontId="1" numFmtId="0" xfId="0" applyAlignment="1" applyFont="1">
      <alignment vertical="center"/>
    </xf>
    <xf borderId="5" fillId="0" fontId="8" numFmtId="10" xfId="0" applyAlignment="1" applyBorder="1" applyFont="1" applyNumberFormat="1">
      <alignment horizontal="center" readingOrder="0" shrinkToFit="0" vertical="center" wrapText="1"/>
    </xf>
    <xf borderId="5" fillId="0" fontId="9" numFmtId="165" xfId="0" applyAlignment="1" applyBorder="1" applyFont="1" applyNumberFormat="1">
      <alignment horizontal="center" readingOrder="0" shrinkToFit="0" vertical="center" wrapText="1"/>
    </xf>
    <xf borderId="5" fillId="0" fontId="2" numFmtId="0" xfId="0" applyAlignment="1" applyBorder="1" applyFont="1">
      <alignment horizontal="center" readingOrder="0" shrinkToFit="0" vertical="center" wrapText="1"/>
    </xf>
    <xf borderId="5" fillId="0" fontId="9" numFmtId="49" xfId="0" applyAlignment="1" applyBorder="1" applyFont="1" applyNumberFormat="1">
      <alignment readingOrder="0" shrinkToFit="0" vertical="center" wrapText="1"/>
    </xf>
    <xf borderId="5" fillId="0" fontId="8" numFmtId="0" xfId="0" applyAlignment="1" applyBorder="1" applyFont="1">
      <alignment horizontal="center" readingOrder="0" shrinkToFit="0" vertical="center" wrapText="1"/>
    </xf>
    <xf borderId="0" fillId="0" fontId="7" numFmtId="3" xfId="0" applyAlignment="1" applyFont="1" applyNumberFormat="1">
      <alignment vertical="center"/>
    </xf>
    <xf borderId="0" fillId="0" fontId="7" numFmtId="49" xfId="0" applyAlignment="1" applyFont="1" applyNumberFormat="1">
      <alignment vertical="center"/>
    </xf>
    <xf borderId="0" fillId="0" fontId="7" numFmtId="1" xfId="0" applyAlignment="1" applyFont="1" applyNumberFormat="1">
      <alignment vertical="center"/>
    </xf>
    <xf borderId="0" fillId="0" fontId="7" numFmtId="4" xfId="0" applyAlignment="1" applyFont="1" applyNumberFormat="1">
      <alignment vertical="center"/>
    </xf>
    <xf borderId="0" fillId="0" fontId="7" numFmtId="165" xfId="0" applyAlignment="1" applyFont="1" applyNumberFormat="1">
      <alignment vertical="center"/>
    </xf>
    <xf borderId="0" fillId="0" fontId="7" numFmtId="2" xfId="0" applyAlignment="1" applyFont="1" applyNumberFormat="1">
      <alignment vertical="center"/>
    </xf>
    <xf borderId="0" fillId="0" fontId="7" numFmtId="165" xfId="0" applyAlignment="1" applyFont="1" applyNumberFormat="1">
      <alignment vertical="center"/>
    </xf>
    <xf borderId="1" fillId="5" fontId="10" numFmtId="3" xfId="0" applyAlignment="1" applyBorder="1" applyFont="1" applyNumberFormat="1">
      <alignment horizontal="right" readingOrder="0" shrinkToFit="0" vertical="center" wrapText="1"/>
    </xf>
    <xf borderId="5" fillId="5" fontId="10" numFmtId="165" xfId="0" applyAlignment="1" applyBorder="1" applyFont="1" applyNumberFormat="1">
      <alignment horizontal="center" readingOrder="0" shrinkToFit="0" vertical="center" wrapText="1"/>
    </xf>
    <xf borderId="0" fillId="0" fontId="11" numFmtId="0" xfId="0" applyAlignment="1" applyFont="1">
      <alignment vertical="center"/>
    </xf>
    <xf borderId="5" fillId="0" fontId="2" numFmtId="168" xfId="0" applyAlignment="1" applyBorder="1" applyFont="1" applyNumberFormat="1">
      <alignment horizontal="left" readingOrder="0" shrinkToFit="0" vertical="center" wrapText="1"/>
    </xf>
    <xf borderId="5" fillId="4" fontId="1" numFmtId="49" xfId="0" applyAlignment="1" applyBorder="1" applyFont="1" applyNumberFormat="1">
      <alignment horizontal="center" readingOrder="0" shrinkToFit="0" vertical="center" wrapText="1"/>
    </xf>
    <xf borderId="5" fillId="4" fontId="1" numFmtId="49" xfId="0" applyAlignment="1" applyBorder="1" applyFont="1" applyNumberFormat="1">
      <alignment horizontal="left" readingOrder="0" shrinkToFit="0" vertical="center" wrapText="1"/>
    </xf>
    <xf borderId="5" fillId="4" fontId="1" numFmtId="4" xfId="0" applyAlignment="1" applyBorder="1" applyFont="1" applyNumberFormat="1">
      <alignment horizontal="center" readingOrder="0" shrinkToFit="0" vertical="center" wrapText="1"/>
    </xf>
    <xf borderId="5" fillId="2" fontId="1" numFmtId="0" xfId="0" applyAlignment="1" applyBorder="1" applyFont="1">
      <alignment readingOrder="0"/>
    </xf>
    <xf borderId="5" fillId="2" fontId="2" numFmtId="0" xfId="0" applyAlignment="1" applyBorder="1" applyFont="1">
      <alignment readingOrder="0" shrinkToFit="0" wrapText="0"/>
    </xf>
    <xf borderId="5" fillId="2" fontId="2" numFmtId="0" xfId="0" applyBorder="1" applyFont="1"/>
    <xf borderId="5" fillId="2" fontId="2" numFmtId="169" xfId="0" applyAlignment="1" applyBorder="1" applyFont="1" applyNumberFormat="1">
      <alignment readingOrder="0"/>
    </xf>
    <xf borderId="5" fillId="2" fontId="2" numFmtId="0" xfId="0" applyAlignment="1" applyBorder="1" applyFont="1">
      <alignment readingOrder="0"/>
    </xf>
    <xf borderId="5" fillId="2" fontId="2" numFmtId="164" xfId="0" applyBorder="1" applyFont="1" applyNumberFormat="1"/>
    <xf borderId="5" fillId="2" fontId="1" numFmtId="164" xfId="0" applyBorder="1" applyFont="1" applyNumberFormat="1"/>
    <xf borderId="5" fillId="2" fontId="1" numFmtId="0" xfId="0" applyBorder="1" applyFont="1"/>
    <xf borderId="5" fillId="2" fontId="1" numFmtId="0" xfId="0" applyAlignment="1" applyBorder="1" applyFont="1">
      <alignment readingOrder="0" shrinkToFit="0" wrapText="0"/>
    </xf>
    <xf borderId="5" fillId="2" fontId="1" numFmtId="0" xfId="0" applyAlignment="1" applyBorder="1" applyFont="1">
      <alignment readingOrder="0" shrinkToFit="0" wrapText="1"/>
    </xf>
    <xf borderId="5" fillId="2" fontId="1" numFmtId="0" xfId="0" applyAlignment="1" applyBorder="1" applyFont="1">
      <alignment shrinkToFit="0" wrapText="1"/>
    </xf>
    <xf borderId="5" fillId="2" fontId="2" numFmtId="10" xfId="0" applyAlignment="1" applyBorder="1" applyFont="1" applyNumberFormat="1">
      <alignment horizontal="center"/>
    </xf>
    <xf borderId="5" fillId="2" fontId="1" numFmtId="10" xfId="0" applyAlignment="1" applyBorder="1" applyFont="1" applyNumberFormat="1">
      <alignment horizontal="center" shrinkToFit="0" wrapText="1"/>
    </xf>
    <xf borderId="5" fillId="2" fontId="1" numFmtId="10" xfId="0" applyAlignment="1" applyBorder="1" applyFont="1" applyNumberFormat="1">
      <alignment horizontal="center" readingOrder="0" shrinkToFit="0" wrapText="1"/>
    </xf>
    <xf borderId="5" fillId="2" fontId="2" numFmtId="10" xfId="0" applyBorder="1" applyFont="1" applyNumberFormat="1"/>
    <xf borderId="1" fillId="2" fontId="1" numFmtId="0" xfId="0" applyAlignment="1" applyBorder="1" applyFont="1">
      <alignment horizontal="center" readingOrder="0"/>
    </xf>
    <xf borderId="5" fillId="2" fontId="1" numFmtId="0" xfId="0" applyAlignment="1" applyBorder="1" applyFont="1">
      <alignment horizontal="center"/>
    </xf>
    <xf borderId="5" fillId="0" fontId="2" numFmtId="0" xfId="0" applyBorder="1" applyFont="1"/>
    <xf borderId="5" fillId="3" fontId="2" numFmtId="0" xfId="0" applyAlignment="1" applyBorder="1" applyFont="1">
      <alignment horizontal="center" readingOrder="0" shrinkToFit="0" wrapText="1"/>
    </xf>
    <xf borderId="5" fillId="3" fontId="2" numFmtId="0" xfId="0" applyAlignment="1" applyBorder="1" applyFont="1">
      <alignment horizontal="left" readingOrder="0" shrinkToFit="0" wrapText="1"/>
    </xf>
    <xf borderId="5" fillId="3" fontId="2" numFmtId="0" xfId="0" applyAlignment="1" applyBorder="1" applyFont="1">
      <alignment horizontal="center" readingOrder="0"/>
    </xf>
    <xf borderId="5" fillId="3" fontId="2" numFmtId="0" xfId="0" applyAlignment="1" applyBorder="1" applyFont="1">
      <alignment horizontal="center"/>
    </xf>
    <xf borderId="5" fillId="4" fontId="1" numFmtId="0" xfId="0" applyAlignment="1" applyBorder="1" applyFont="1">
      <alignment horizontal="center" readingOrder="0" shrinkToFit="0" wrapText="1"/>
    </xf>
    <xf borderId="5" fillId="4" fontId="1" numFmtId="0" xfId="0" applyAlignment="1" applyBorder="1" applyFont="1">
      <alignment horizontal="left" readingOrder="0" shrinkToFit="0" wrapText="1"/>
    </xf>
    <xf borderId="5" fillId="4" fontId="1" numFmtId="0" xfId="0" applyAlignment="1" applyBorder="1" applyFont="1">
      <alignment horizontal="center" shrinkToFit="0" wrapText="1"/>
    </xf>
    <xf borderId="5" fillId="0" fontId="1" numFmtId="168" xfId="0" applyAlignment="1" applyBorder="1" applyFont="1" applyNumberFormat="1">
      <alignment horizontal="center" readingOrder="0" shrinkToFit="0" wrapText="1"/>
    </xf>
    <xf borderId="5" fillId="0" fontId="1" numFmtId="49" xfId="0" applyAlignment="1" applyBorder="1" applyFont="1" applyNumberFormat="1">
      <alignment horizontal="left" readingOrder="0" shrinkToFit="0" wrapText="1"/>
    </xf>
    <xf borderId="5" fillId="0" fontId="1" numFmtId="49" xfId="0" applyAlignment="1" applyBorder="1" applyFont="1" applyNumberFormat="1">
      <alignment horizontal="center" readingOrder="0" shrinkToFit="0" wrapText="1"/>
    </xf>
    <xf borderId="5" fillId="0" fontId="1" numFmtId="2" xfId="0" applyAlignment="1" applyBorder="1" applyFont="1" applyNumberFormat="1">
      <alignment horizontal="center" readingOrder="0" shrinkToFit="0" wrapText="1"/>
    </xf>
    <xf borderId="5" fillId="0" fontId="2" numFmtId="2" xfId="0" applyAlignment="1" applyBorder="1" applyFont="1" applyNumberFormat="1">
      <alignment horizontal="center" readingOrder="0"/>
    </xf>
    <xf borderId="5" fillId="0" fontId="2" numFmtId="2" xfId="0" applyAlignment="1" applyBorder="1" applyFont="1" applyNumberFormat="1">
      <alignment horizontal="center"/>
    </xf>
    <xf borderId="5" fillId="3" fontId="2" numFmtId="0" xfId="0" applyAlignment="1" applyBorder="1" applyFont="1">
      <alignment horizontal="center" readingOrder="0" shrinkToFit="0" wrapText="0"/>
    </xf>
    <xf borderId="5" fillId="3" fontId="2" numFmtId="0" xfId="0" applyAlignment="1" applyBorder="1" applyFont="1">
      <alignment horizontal="center" shrinkToFit="0" wrapText="1"/>
    </xf>
    <xf borderId="5" fillId="0" fontId="1" numFmtId="168" xfId="0" applyAlignment="1" applyBorder="1" applyFont="1" applyNumberFormat="1">
      <alignment horizontal="center" readingOrder="0" shrinkToFit="0" vertical="bottom" wrapText="1"/>
    </xf>
    <xf borderId="5" fillId="0" fontId="1" numFmtId="49" xfId="0" applyAlignment="1" applyBorder="1" applyFont="1" applyNumberFormat="1">
      <alignment horizontal="left" readingOrder="0" shrinkToFit="0" vertical="bottom" wrapText="1"/>
    </xf>
    <xf borderId="5" fillId="0" fontId="1" numFmtId="0" xfId="0" applyAlignment="1" applyBorder="1" applyFont="1">
      <alignment horizontal="center" readingOrder="0" shrinkToFit="0" vertical="bottom" wrapText="1"/>
    </xf>
    <xf borderId="5" fillId="0" fontId="1" numFmtId="2" xfId="0" applyAlignment="1" applyBorder="1" applyFont="1" applyNumberFormat="1">
      <alignment horizontal="center" readingOrder="0" shrinkToFit="0" vertical="bottom" wrapText="1"/>
    </xf>
    <xf borderId="5" fillId="0" fontId="1" numFmtId="2" xfId="0" applyAlignment="1" applyBorder="1" applyFont="1" applyNumberFormat="1">
      <alignment horizontal="center" readingOrder="0" vertical="bottom"/>
    </xf>
    <xf borderId="5" fillId="0" fontId="2" numFmtId="2" xfId="0" applyAlignment="1" applyBorder="1" applyFont="1" applyNumberFormat="1">
      <alignment horizontal="center" readingOrder="0" shrinkToFit="0" vertical="bottom" wrapText="1"/>
    </xf>
    <xf borderId="5" fillId="0" fontId="1" numFmtId="0" xfId="0" applyAlignment="1" applyBorder="1" applyFont="1">
      <alignment horizontal="left" readingOrder="0" shrinkToFit="0" vertical="bottom" wrapText="1"/>
    </xf>
    <xf borderId="5" fillId="6" fontId="1" numFmtId="168" xfId="0" applyAlignment="1" applyBorder="1" applyFill="1" applyFont="1" applyNumberFormat="1">
      <alignment horizontal="center" readingOrder="0" shrinkToFit="0" vertical="bottom" wrapText="1"/>
    </xf>
    <xf borderId="5" fillId="6" fontId="1" numFmtId="0" xfId="0" applyAlignment="1" applyBorder="1" applyFont="1">
      <alignment horizontal="left" readingOrder="0" shrinkToFit="0" vertical="bottom" wrapText="1"/>
    </xf>
    <xf borderId="5" fillId="6" fontId="1" numFmtId="0" xfId="0" applyAlignment="1" applyBorder="1" applyFont="1">
      <alignment horizontal="center" readingOrder="0" shrinkToFit="0" vertical="bottom" wrapText="1"/>
    </xf>
    <xf borderId="5" fillId="6" fontId="1" numFmtId="2" xfId="0" applyAlignment="1" applyBorder="1" applyFont="1" applyNumberFormat="1">
      <alignment horizontal="center" readingOrder="0" shrinkToFit="0" vertical="bottom" wrapText="1"/>
    </xf>
    <xf borderId="5" fillId="6" fontId="1" numFmtId="2" xfId="0" applyAlignment="1" applyBorder="1" applyFont="1" applyNumberFormat="1">
      <alignment horizontal="center" readingOrder="0" vertical="bottom"/>
    </xf>
    <xf borderId="5" fillId="6" fontId="2" numFmtId="2" xfId="0" applyAlignment="1" applyBorder="1" applyFont="1" applyNumberFormat="1">
      <alignment horizontal="center" readingOrder="0" shrinkToFit="0" vertical="bottom" wrapText="1"/>
    </xf>
    <xf borderId="5" fillId="6" fontId="2" numFmtId="0" xfId="0" applyAlignment="1" applyBorder="1" applyFont="1">
      <alignment horizontal="center" shrinkToFit="0" wrapText="1"/>
    </xf>
    <xf borderId="5" fillId="0" fontId="1" numFmtId="1" xfId="0" applyAlignment="1" applyBorder="1" applyFont="1" applyNumberFormat="1">
      <alignment horizontal="center" readingOrder="0"/>
    </xf>
    <xf borderId="5" fillId="0" fontId="1" numFmtId="1" xfId="0" applyAlignment="1" applyBorder="1" applyFont="1" applyNumberFormat="1">
      <alignment horizontal="left" readingOrder="0"/>
    </xf>
    <xf borderId="5" fillId="0" fontId="2" numFmtId="1" xfId="0" applyAlignment="1" applyBorder="1" applyFont="1" applyNumberFormat="1">
      <alignment horizontal="center"/>
    </xf>
    <xf borderId="5" fillId="0" fontId="1" numFmtId="1" xfId="0" applyAlignment="1" applyBorder="1" applyFont="1" applyNumberFormat="1">
      <alignment horizontal="center"/>
    </xf>
    <xf borderId="5" fillId="0" fontId="1" numFmtId="0" xfId="0" applyAlignment="1" applyBorder="1" applyFont="1">
      <alignment horizontal="center" readingOrder="0" shrinkToFit="0" wrapText="1"/>
    </xf>
    <xf borderId="5" fillId="0" fontId="1" numFmtId="0" xfId="0" applyAlignment="1" applyBorder="1" applyFont="1">
      <alignment horizontal="left" readingOrder="0" shrinkToFit="0" wrapText="1"/>
    </xf>
    <xf borderId="5" fillId="6" fontId="1" numFmtId="168" xfId="0" applyAlignment="1" applyBorder="1" applyFont="1" applyNumberFormat="1">
      <alignment horizontal="center" readingOrder="0" shrinkToFit="0" wrapText="1"/>
    </xf>
    <xf borderId="5" fillId="6" fontId="1" numFmtId="0" xfId="0" applyAlignment="1" applyBorder="1" applyFont="1">
      <alignment horizontal="left" readingOrder="0" shrinkToFit="0" wrapText="1"/>
    </xf>
    <xf borderId="5" fillId="6" fontId="1" numFmtId="0" xfId="0" applyAlignment="1" applyBorder="1" applyFont="1">
      <alignment horizontal="center" readingOrder="0" shrinkToFit="0" wrapText="1"/>
    </xf>
    <xf borderId="5" fillId="6" fontId="1" numFmtId="2" xfId="0" applyAlignment="1" applyBorder="1" applyFont="1" applyNumberFormat="1">
      <alignment horizontal="center" readingOrder="0" shrinkToFit="0" wrapText="1"/>
    </xf>
    <xf borderId="5" fillId="6" fontId="2" numFmtId="2" xfId="0" applyAlignment="1" applyBorder="1" applyFont="1" applyNumberFormat="1">
      <alignment horizontal="center"/>
    </xf>
    <xf borderId="5" fillId="4" fontId="1" numFmtId="49" xfId="0" applyAlignment="1" applyBorder="1" applyFont="1" applyNumberFormat="1">
      <alignment horizontal="left" readingOrder="0" shrinkToFit="0" wrapText="1"/>
    </xf>
    <xf borderId="5" fillId="4" fontId="2" numFmtId="0" xfId="0" applyAlignment="1" applyBorder="1" applyFont="1">
      <alignment horizontal="center"/>
    </xf>
    <xf borderId="5" fillId="0" fontId="1" numFmtId="1" xfId="0" applyAlignment="1" applyBorder="1" applyFont="1" applyNumberFormat="1">
      <alignment horizontal="center" readingOrder="0" shrinkToFit="0" wrapText="1"/>
    </xf>
    <xf borderId="5" fillId="6" fontId="1" numFmtId="1" xfId="0" applyAlignment="1" applyBorder="1" applyFont="1" applyNumberFormat="1">
      <alignment horizontal="center" readingOrder="0" shrinkToFit="0" wrapText="1"/>
    </xf>
    <xf borderId="5" fillId="0" fontId="1" numFmtId="4" xfId="0" applyAlignment="1" applyBorder="1" applyFont="1" applyNumberFormat="1">
      <alignment horizontal="center" readingOrder="0" shrinkToFit="0" wrapText="1"/>
    </xf>
    <xf borderId="5" fillId="0" fontId="1" numFmtId="2" xfId="0" applyAlignment="1" applyBorder="1" applyFont="1" applyNumberFormat="1">
      <alignment horizontal="center" readingOrder="0"/>
    </xf>
    <xf borderId="5" fillId="0" fontId="2" numFmtId="170" xfId="0" applyAlignment="1" applyBorder="1" applyFont="1" applyNumberFormat="1">
      <alignment horizontal="center"/>
    </xf>
    <xf borderId="5" fillId="0" fontId="1" numFmtId="0" xfId="0" applyAlignment="1" applyBorder="1" applyFont="1">
      <alignment horizontal="left" readingOrder="0" shrinkToFit="0" wrapText="0"/>
    </xf>
    <xf borderId="5" fillId="0" fontId="1" numFmtId="1" xfId="0" applyAlignment="1" applyBorder="1" applyFont="1" applyNumberFormat="1">
      <alignment horizontal="center" readingOrder="0" vertical="bottom"/>
    </xf>
    <xf borderId="5" fillId="0" fontId="1" numFmtId="1" xfId="0" applyAlignment="1" applyBorder="1" applyFont="1" applyNumberFormat="1">
      <alignment horizontal="center" vertical="bottom"/>
    </xf>
    <xf borderId="5" fillId="0" fontId="2" numFmtId="1" xfId="0" applyAlignment="1" applyBorder="1" applyFont="1" applyNumberFormat="1">
      <alignment horizontal="center" readingOrder="0" shrinkToFit="0" vertical="bottom" wrapText="1"/>
    </xf>
    <xf borderId="5" fillId="0" fontId="1" numFmtId="171" xfId="0" applyAlignment="1" applyBorder="1" applyFont="1" applyNumberFormat="1">
      <alignment horizontal="center" readingOrder="0" vertical="bottom"/>
    </xf>
    <xf borderId="5" fillId="0" fontId="2" numFmtId="171" xfId="0" applyAlignment="1" applyBorder="1" applyFont="1" applyNumberFormat="1">
      <alignment horizontal="center"/>
    </xf>
    <xf borderId="5" fillId="2" fontId="1" numFmtId="49" xfId="0" applyAlignment="1" applyBorder="1" applyFont="1" applyNumberFormat="1">
      <alignment readingOrder="0" shrinkToFit="0" vertical="center" wrapText="1"/>
    </xf>
    <xf borderId="6" fillId="2" fontId="2" numFmtId="0" xfId="0" applyAlignment="1" applyBorder="1" applyFont="1">
      <alignment vertical="center"/>
    </xf>
    <xf borderId="3" fillId="2" fontId="1" numFmtId="49" xfId="0" applyAlignment="1" applyBorder="1" applyFont="1" applyNumberFormat="1">
      <alignment readingOrder="0" vertical="center"/>
    </xf>
    <xf borderId="13" fillId="2" fontId="1" numFmtId="4" xfId="0" applyAlignment="1" applyBorder="1" applyFont="1" applyNumberFormat="1">
      <alignment readingOrder="0" vertical="center"/>
    </xf>
    <xf borderId="13" fillId="2" fontId="2" numFmtId="0" xfId="0" applyAlignment="1" applyBorder="1" applyFont="1">
      <alignment vertical="center"/>
    </xf>
    <xf borderId="13" fillId="2" fontId="1" numFmtId="49" xfId="0" applyAlignment="1" applyBorder="1" applyFont="1" applyNumberFormat="1">
      <alignment readingOrder="0" vertical="center"/>
    </xf>
    <xf borderId="13" fillId="2" fontId="2" numFmtId="49" xfId="0" applyAlignment="1" applyBorder="1" applyFont="1" applyNumberFormat="1">
      <alignment vertical="center"/>
    </xf>
    <xf borderId="13" fillId="2" fontId="1" numFmtId="166" xfId="0" applyAlignment="1" applyBorder="1" applyFont="1" applyNumberFormat="1">
      <alignment readingOrder="0" vertical="center"/>
    </xf>
    <xf borderId="21" fillId="2" fontId="1" numFmtId="49" xfId="0" applyAlignment="1" applyBorder="1" applyFont="1" applyNumberFormat="1">
      <alignment readingOrder="0" shrinkToFit="0" vertical="center" wrapText="1"/>
    </xf>
    <xf borderId="2" fillId="2" fontId="2" numFmtId="0" xfId="0" applyAlignment="1" applyBorder="1" applyFont="1">
      <alignment vertical="center"/>
    </xf>
    <xf borderId="3" fillId="2" fontId="1" numFmtId="49" xfId="0" applyAlignment="1" applyBorder="1" applyFont="1" applyNumberFormat="1">
      <alignment horizontal="center" readingOrder="0" shrinkToFit="0" vertical="center" wrapText="1"/>
    </xf>
    <xf borderId="13" fillId="2" fontId="2" numFmtId="4" xfId="0" applyAlignment="1" applyBorder="1" applyFont="1" applyNumberFormat="1">
      <alignment readingOrder="0" shrinkToFit="0" vertical="center" wrapText="1"/>
    </xf>
    <xf borderId="3" fillId="2" fontId="6" numFmtId="4" xfId="0" applyAlignment="1" applyBorder="1" applyFont="1" applyNumberFormat="1">
      <alignment readingOrder="0" vertical="center"/>
    </xf>
    <xf borderId="13" fillId="2" fontId="12" numFmtId="167" xfId="0" applyAlignment="1" applyBorder="1" applyFont="1" applyNumberFormat="1">
      <alignment horizontal="right" readingOrder="0" shrinkToFit="0" vertical="center" wrapText="1"/>
    </xf>
    <xf borderId="1" fillId="2" fontId="1" numFmtId="49" xfId="0" applyAlignment="1" applyBorder="1" applyFont="1" applyNumberFormat="1">
      <alignment readingOrder="0" shrinkToFit="0" vertical="center" wrapText="1"/>
    </xf>
    <xf borderId="2" fillId="2" fontId="2" numFmtId="10" xfId="0" applyAlignment="1" applyBorder="1" applyFont="1" applyNumberFormat="1">
      <alignment readingOrder="0" vertical="center"/>
    </xf>
    <xf borderId="21" fillId="2" fontId="1" numFmtId="49" xfId="0" applyAlignment="1" applyBorder="1" applyFont="1" applyNumberFormat="1">
      <alignment readingOrder="0" vertical="center"/>
    </xf>
    <xf borderId="0" fillId="0" fontId="2" numFmtId="49" xfId="0" applyAlignment="1" applyFont="1" applyNumberFormat="1">
      <alignment vertical="center"/>
    </xf>
    <xf borderId="0" fillId="0" fontId="2" numFmtId="165" xfId="0" applyAlignment="1" applyFont="1" applyNumberFormat="1">
      <alignment vertical="center"/>
    </xf>
    <xf borderId="0" fillId="0" fontId="2" numFmtId="165" xfId="0" applyAlignment="1" applyFont="1" applyNumberFormat="1">
      <alignment vertical="center"/>
    </xf>
    <xf borderId="1" fillId="0" fontId="1" numFmtId="49" xfId="0" applyAlignment="1" applyBorder="1" applyFont="1" applyNumberFormat="1">
      <alignment horizontal="center" readingOrder="0" vertical="center"/>
    </xf>
    <xf borderId="12" fillId="4" fontId="1" numFmtId="49" xfId="0" applyAlignment="1" applyBorder="1" applyFont="1" applyNumberFormat="1">
      <alignment horizontal="center" readingOrder="0" vertical="center"/>
    </xf>
    <xf borderId="14" fillId="4" fontId="1" numFmtId="49" xfId="0" applyAlignment="1" applyBorder="1" applyFont="1" applyNumberFormat="1">
      <alignment horizontal="center" readingOrder="0" vertical="center"/>
    </xf>
    <xf borderId="14" fillId="4" fontId="1" numFmtId="4" xfId="0" applyAlignment="1" applyBorder="1" applyFont="1" applyNumberFormat="1">
      <alignment horizontal="center" readingOrder="0" vertical="center"/>
    </xf>
    <xf borderId="2" fillId="4" fontId="1" numFmtId="4" xfId="0" applyAlignment="1" applyBorder="1" applyFont="1" applyNumberFormat="1">
      <alignment horizontal="center" readingOrder="0" vertical="center"/>
    </xf>
    <xf borderId="21" fillId="4" fontId="1" numFmtId="49" xfId="0" applyAlignment="1" applyBorder="1" applyFont="1" applyNumberFormat="1">
      <alignment horizontal="center" vertical="center"/>
    </xf>
    <xf borderId="23" fillId="4" fontId="1" numFmtId="49" xfId="0" applyAlignment="1" applyBorder="1" applyFont="1" applyNumberFormat="1">
      <alignment horizontal="center" vertical="center"/>
    </xf>
    <xf borderId="23" fillId="4" fontId="1" numFmtId="4" xfId="0" applyAlignment="1" applyBorder="1" applyFont="1" applyNumberFormat="1">
      <alignment horizontal="center" readingOrder="0" vertical="center"/>
    </xf>
    <xf borderId="23" fillId="4" fontId="1" numFmtId="4" xfId="0" applyAlignment="1" applyBorder="1" applyFont="1" applyNumberFormat="1">
      <alignment horizontal="center" vertical="center"/>
    </xf>
    <xf borderId="2" fillId="4" fontId="1" numFmtId="0" xfId="0" applyAlignment="1" applyBorder="1" applyFont="1">
      <alignment horizontal="center" readingOrder="0" vertical="center"/>
    </xf>
    <xf borderId="1" fillId="4" fontId="1" numFmtId="0" xfId="0" applyAlignment="1" applyBorder="1" applyFont="1">
      <alignment horizontal="center" readingOrder="0" vertical="center"/>
    </xf>
    <xf borderId="20" fillId="0" fontId="1" numFmtId="49" xfId="0" applyAlignment="1" applyBorder="1" applyFont="1" applyNumberFormat="1">
      <alignment horizontal="center" readingOrder="0" vertical="center"/>
    </xf>
    <xf borderId="6" fillId="0" fontId="1" numFmtId="49" xfId="0" applyAlignment="1" applyBorder="1" applyFont="1" applyNumberFormat="1">
      <alignment readingOrder="0" shrinkToFit="0" vertical="center" wrapText="1"/>
    </xf>
    <xf borderId="6" fillId="0" fontId="1" numFmtId="165" xfId="0" applyAlignment="1" applyBorder="1" applyFont="1" applyNumberFormat="1">
      <alignment horizontal="right" readingOrder="0" shrinkToFit="0" vertical="center" wrapText="1"/>
    </xf>
    <xf borderId="6" fillId="0" fontId="1" numFmtId="10" xfId="0" applyAlignment="1" applyBorder="1" applyFont="1" applyNumberFormat="1">
      <alignment horizontal="center" readingOrder="0" vertical="center"/>
    </xf>
    <xf borderId="0" fillId="7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3" fillId="0" fontId="2" numFmtId="49" xfId="0" applyAlignment="1" applyBorder="1" applyFont="1" applyNumberFormat="1">
      <alignment vertical="center"/>
    </xf>
    <xf borderId="0" fillId="0" fontId="2" numFmtId="4" xfId="0" applyAlignment="1" applyFont="1" applyNumberFormat="1">
      <alignment vertical="center"/>
    </xf>
    <xf borderId="0" fillId="0" fontId="2" numFmtId="10" xfId="0" applyAlignment="1" applyFont="1" applyNumberFormat="1">
      <alignment vertical="center"/>
    </xf>
    <xf borderId="13" fillId="0" fontId="2" numFmtId="10" xfId="0" applyAlignment="1" applyBorder="1" applyFont="1" applyNumberFormat="1">
      <alignment horizontal="center" readingOrder="0" vertical="center"/>
    </xf>
    <xf borderId="13" fillId="0" fontId="2" numFmtId="10" xfId="0" applyAlignment="1" applyBorder="1" applyFont="1" applyNumberFormat="1">
      <alignment horizontal="center" vertical="center"/>
    </xf>
    <xf borderId="4" fillId="0" fontId="2" numFmtId="165" xfId="0" applyAlignment="1" applyBorder="1" applyFont="1" applyNumberFormat="1">
      <alignment vertical="center"/>
    </xf>
    <xf borderId="22" fillId="0" fontId="2" numFmtId="165" xfId="0" applyAlignment="1" applyBorder="1" applyFont="1" applyNumberFormat="1">
      <alignment vertical="center"/>
    </xf>
    <xf borderId="22" fillId="0" fontId="2" numFmtId="165" xfId="0" applyAlignment="1" applyBorder="1" applyFont="1" applyNumberFormat="1">
      <alignment horizontal="center" readingOrder="0" vertical="center"/>
    </xf>
    <xf borderId="22" fillId="0" fontId="2" numFmtId="165" xfId="0" applyAlignment="1" applyBorder="1" applyFont="1" applyNumberFormat="1">
      <alignment horizontal="center" vertical="center"/>
    </xf>
    <xf borderId="21" fillId="0" fontId="1" numFmtId="49" xfId="0" applyAlignment="1" applyBorder="1" applyFont="1" applyNumberFormat="1">
      <alignment horizontal="center" readingOrder="0" vertical="center"/>
    </xf>
    <xf borderId="22" fillId="0" fontId="2" numFmtId="0" xfId="0" applyAlignment="1" applyBorder="1" applyFont="1">
      <alignment horizontal="center" vertical="center"/>
    </xf>
    <xf borderId="4" fillId="5" fontId="2" numFmtId="165" xfId="0" applyAlignment="1" applyBorder="1" applyFont="1" applyNumberFormat="1">
      <alignment vertical="center"/>
    </xf>
    <xf borderId="22" fillId="5" fontId="2" numFmtId="165" xfId="0" applyAlignment="1" applyBorder="1" applyFont="1" applyNumberFormat="1">
      <alignment vertical="center"/>
    </xf>
    <xf borderId="22" fillId="5" fontId="1" numFmtId="165" xfId="0" applyAlignment="1" applyBorder="1" applyFont="1" applyNumberFormat="1">
      <alignment vertical="center"/>
    </xf>
    <xf borderId="22" fillId="5" fontId="1" numFmtId="10" xfId="0" applyAlignment="1" applyBorder="1" applyFont="1" applyNumberFormat="1">
      <alignment horizontal="center" vertical="center"/>
    </xf>
    <xf borderId="22" fillId="5" fontId="2" numFmtId="165" xfId="0" applyAlignment="1" applyBorder="1" applyFont="1" applyNumberFormat="1">
      <alignment horizontal="center" readingOrder="0" vertical="center"/>
    </xf>
    <xf borderId="22" fillId="5" fontId="2" numFmtId="165" xfId="0" applyAlignment="1" applyBorder="1" applyFont="1" applyNumberFormat="1">
      <alignment horizontal="center" vertical="center"/>
    </xf>
    <xf borderId="5" fillId="0" fontId="2" numFmtId="165" xfId="0" applyAlignment="1" applyBorder="1" applyFont="1" applyNumberFormat="1">
      <alignment vertical="center"/>
    </xf>
    <xf borderId="5" fillId="0" fontId="1" numFmtId="165" xfId="0" applyAlignment="1" applyBorder="1" applyFont="1" applyNumberFormat="1">
      <alignment readingOrder="0" vertical="center"/>
    </xf>
    <xf borderId="1" fillId="4" fontId="1" numFmtId="165" xfId="0" applyAlignment="1" applyBorder="1" applyFont="1" applyNumberFormat="1">
      <alignment horizontal="center" readingOrder="0" vertical="center"/>
    </xf>
    <xf borderId="1" fillId="0" fontId="1" numFmtId="165" xfId="0" applyAlignment="1" applyBorder="1" applyFont="1" applyNumberFormat="1">
      <alignment horizontal="center" readingOrder="0" vertical="center"/>
    </xf>
    <xf borderId="5" fillId="0" fontId="1" numFmtId="165" xfId="0" applyAlignment="1" applyBorder="1" applyFont="1" applyNumberFormat="1">
      <alignment horizontal="center" readingOrder="0" vertical="center"/>
    </xf>
    <xf borderId="5" fillId="0" fontId="1" numFmtId="10" xfId="0" applyAlignment="1" applyBorder="1" applyFont="1" applyNumberFormat="1">
      <alignment horizontal="center" readingOrder="0" vertical="center"/>
    </xf>
    <xf borderId="1" fillId="4" fontId="2" numFmtId="165" xfId="0" applyAlignment="1" applyBorder="1" applyFont="1" applyNumberFormat="1">
      <alignment horizontal="center" readingOrder="0" vertical="center"/>
    </xf>
    <xf borderId="5" fillId="0" fontId="2" numFmtId="10" xfId="0" applyAlignment="1" applyBorder="1" applyFont="1" applyNumberFormat="1">
      <alignment vertical="center"/>
    </xf>
    <xf borderId="5" fillId="0" fontId="1" numFmtId="0" xfId="0" applyAlignment="1" applyBorder="1" applyFont="1">
      <alignment readingOrder="0" vertical="center"/>
    </xf>
    <xf borderId="1" fillId="4" fontId="1" numFmtId="10" xfId="0" applyAlignment="1" applyBorder="1" applyFont="1" applyNumberFormat="1">
      <alignment horizontal="center" readingOrder="0" vertical="center"/>
    </xf>
    <xf borderId="1" fillId="0" fontId="1" numFmtId="10" xfId="0" applyAlignment="1" applyBorder="1" applyFont="1" applyNumberFormat="1">
      <alignment horizontal="center" readingOrder="0" vertical="center"/>
    </xf>
    <xf borderId="1" fillId="4" fontId="2" numFmtId="10" xfId="0" applyAlignment="1" applyBorder="1" applyFont="1" applyNumberFormat="1">
      <alignment horizontal="center" readingOrder="0" vertical="center"/>
    </xf>
    <xf borderId="1" fillId="0" fontId="2" numFmtId="10" xfId="0" applyAlignment="1" applyBorder="1" applyFont="1" applyNumberFormat="1">
      <alignment horizontal="center" readingOrder="0" vertical="center"/>
    </xf>
    <xf borderId="1" fillId="2" fontId="1" numFmtId="0" xfId="0" applyAlignment="1" applyBorder="1" applyFont="1">
      <alignment readingOrder="0"/>
    </xf>
    <xf borderId="1" fillId="2" fontId="2" numFmtId="0" xfId="0" applyAlignment="1" applyBorder="1" applyFont="1">
      <alignment readingOrder="0"/>
    </xf>
    <xf borderId="1" fillId="2" fontId="2" numFmtId="164" xfId="0" applyAlignment="1" applyBorder="1" applyFont="1" applyNumberFormat="1">
      <alignment readingOrder="0"/>
    </xf>
    <xf borderId="0" fillId="2" fontId="2" numFmtId="164" xfId="0" applyAlignment="1" applyFont="1" applyNumberFormat="1">
      <alignment readingOrder="0"/>
    </xf>
    <xf borderId="0" fillId="2" fontId="2" numFmtId="0" xfId="0" applyAlignment="1" applyFont="1">
      <alignment readingOrder="0"/>
    </xf>
    <xf borderId="1" fillId="2" fontId="1" numFmtId="0" xfId="0" applyAlignment="1" applyBorder="1" applyFont="1">
      <alignment readingOrder="0" shrinkToFit="0" wrapText="1"/>
    </xf>
    <xf borderId="2" fillId="2" fontId="2" numFmtId="0" xfId="0" applyAlignment="1" applyBorder="1" applyFont="1">
      <alignment shrinkToFit="0" wrapText="1"/>
    </xf>
    <xf borderId="0" fillId="2" fontId="2" numFmtId="0" xfId="0" applyAlignment="1" applyFont="1">
      <alignment shrinkToFit="0" wrapText="1"/>
    </xf>
    <xf borderId="1" fillId="2" fontId="2" numFmtId="0" xfId="0" applyAlignment="1" applyBorder="1" applyFont="1">
      <alignment readingOrder="0" shrinkToFit="0" wrapText="1"/>
    </xf>
    <xf borderId="13" fillId="2" fontId="2" numFmtId="10" xfId="0" applyAlignment="1" applyBorder="1" applyFont="1" applyNumberFormat="1">
      <alignment horizontal="center"/>
    </xf>
    <xf borderId="0" fillId="2" fontId="2" numFmtId="10" xfId="0" applyAlignment="1" applyFont="1" applyNumberFormat="1">
      <alignment horizontal="center"/>
    </xf>
    <xf borderId="2" fillId="2" fontId="2" numFmtId="0" xfId="0" applyBorder="1" applyFont="1"/>
    <xf borderId="22" fillId="2" fontId="2" numFmtId="10" xfId="0" applyAlignment="1" applyBorder="1" applyFont="1" applyNumberFormat="1">
      <alignment horizontal="center"/>
    </xf>
    <xf borderId="0" fillId="2" fontId="1" numFmtId="0" xfId="0" applyAlignment="1" applyFont="1">
      <alignment horizontal="center" readingOrder="0"/>
    </xf>
    <xf borderId="1" fillId="0" fontId="1" numFmtId="0" xfId="0" applyAlignment="1" applyBorder="1" applyFont="1">
      <alignment horizontal="center" vertical="bottom"/>
    </xf>
    <xf borderId="21" fillId="0" fontId="13" numFmtId="0" xfId="0" applyAlignment="1" applyBorder="1" applyFont="1">
      <alignment horizontal="center" vertical="bottom"/>
    </xf>
    <xf borderId="21" fillId="0" fontId="13" numFmtId="0" xfId="0" applyAlignment="1" applyBorder="1" applyFont="1">
      <alignment horizontal="center" readingOrder="0" vertical="bottom"/>
    </xf>
    <xf borderId="21" fillId="0" fontId="2" numFmtId="0" xfId="0" applyAlignment="1" applyBorder="1" applyFont="1">
      <alignment horizontal="center" vertical="bottom"/>
    </xf>
    <xf borderId="21" fillId="0" fontId="2" numFmtId="4" xfId="0" applyAlignment="1" applyBorder="1" applyFont="1" applyNumberFormat="1">
      <alignment horizontal="center" vertical="bottom"/>
    </xf>
    <xf borderId="21" fillId="0" fontId="2" numFmtId="0" xfId="0" applyAlignment="1" applyBorder="1" applyFont="1">
      <alignment vertical="bottom"/>
    </xf>
    <xf borderId="23" fillId="0" fontId="2" numFmtId="0" xfId="0" applyAlignment="1" applyBorder="1" applyFont="1">
      <alignment horizontal="center" vertical="bottom"/>
    </xf>
    <xf borderId="0" fillId="0" fontId="2" numFmtId="0" xfId="0" applyAlignment="1" applyFont="1">
      <alignment vertical="bottom"/>
    </xf>
    <xf borderId="5" fillId="0" fontId="1" numFmtId="0" xfId="0" applyAlignment="1" applyBorder="1" applyFont="1">
      <alignment vertical="bottom"/>
    </xf>
    <xf borderId="5" fillId="0" fontId="2" numFmtId="0" xfId="0" applyAlignment="1" applyBorder="1" applyFont="1">
      <alignment readingOrder="0" vertical="bottom"/>
    </xf>
    <xf borderId="5" fillId="0" fontId="2" numFmtId="172" xfId="0" applyAlignment="1" applyBorder="1" applyFont="1" applyNumberFormat="1">
      <alignment horizontal="right" readingOrder="0" vertical="bottom"/>
    </xf>
    <xf borderId="5" fillId="8" fontId="10" numFmtId="10" xfId="0" applyAlignment="1" applyBorder="1" applyFill="1" applyFont="1" applyNumberFormat="1">
      <alignment horizontal="center" vertical="bottom"/>
    </xf>
    <xf borderId="5" fillId="0" fontId="2" numFmtId="166" xfId="0" applyAlignment="1" applyBorder="1" applyFont="1" applyNumberFormat="1">
      <alignment horizontal="right" readingOrder="0" vertical="bottom"/>
    </xf>
    <xf borderId="5" fillId="0" fontId="2" numFmtId="172" xfId="0" applyAlignment="1" applyBorder="1" applyFont="1" applyNumberFormat="1">
      <alignment horizontal="right" vertical="bottom"/>
    </xf>
    <xf borderId="0" fillId="0" fontId="2" numFmtId="166" xfId="0" applyAlignment="1" applyFont="1" applyNumberFormat="1">
      <alignment vertical="bottom"/>
    </xf>
    <xf borderId="0" fillId="0" fontId="2" numFmtId="10" xfId="0" applyAlignment="1" applyFont="1" applyNumberFormat="1">
      <alignment vertical="bottom"/>
    </xf>
    <xf borderId="0" fillId="0" fontId="7" numFmtId="0" xfId="0" applyAlignment="1" applyFont="1">
      <alignment readingOrder="0"/>
    </xf>
    <xf borderId="0" fillId="0" fontId="14" numFmtId="0" xfId="0" applyAlignment="1" applyFont="1">
      <alignment vertical="bottom"/>
    </xf>
    <xf borderId="1" fillId="2" fontId="1" numFmtId="49" xfId="0" applyAlignment="1" applyBorder="1" applyFont="1" applyNumberFormat="1">
      <alignment horizontal="right" readingOrder="0" shrinkToFit="0" wrapText="1"/>
    </xf>
    <xf borderId="1" fillId="2" fontId="2" numFmtId="0" xfId="0" applyAlignment="1" applyBorder="1" applyFont="1">
      <alignment readingOrder="0" shrinkToFit="0" wrapText="0"/>
    </xf>
    <xf borderId="2" fillId="2" fontId="2" numFmtId="2" xfId="0" applyAlignment="1" applyBorder="1" applyFont="1" applyNumberFormat="1">
      <alignment shrinkToFit="0" wrapText="1"/>
    </xf>
    <xf borderId="2" fillId="2" fontId="2" numFmtId="0" xfId="0" applyBorder="1" applyFont="1"/>
    <xf borderId="6" fillId="2" fontId="2" numFmtId="0" xfId="0" applyBorder="1" applyFont="1"/>
    <xf borderId="6" fillId="2" fontId="1" numFmtId="0" xfId="0" applyAlignment="1" applyBorder="1" applyFont="1">
      <alignment readingOrder="0" shrinkToFit="0" wrapText="1"/>
    </xf>
    <xf borderId="2" fillId="2" fontId="1" numFmtId="167" xfId="0" applyBorder="1" applyFont="1" applyNumberFormat="1"/>
    <xf borderId="6" fillId="2" fontId="1" numFmtId="167" xfId="0" applyBorder="1" applyFont="1" applyNumberFormat="1"/>
    <xf borderId="0" fillId="0" fontId="2" numFmtId="0" xfId="0" applyFont="1"/>
    <xf borderId="14" fillId="2" fontId="1" numFmtId="0" xfId="0" applyAlignment="1" applyBorder="1" applyFont="1">
      <alignment horizontal="center" readingOrder="0" shrinkToFit="0" wrapText="1"/>
    </xf>
    <xf borderId="13" fillId="2" fontId="1" numFmtId="4" xfId="0" applyAlignment="1" applyBorder="1" applyFont="1" applyNumberFormat="1">
      <alignment readingOrder="0"/>
    </xf>
    <xf borderId="13" fillId="2" fontId="2" numFmtId="4" xfId="0" applyBorder="1" applyFont="1" applyNumberFormat="1"/>
    <xf borderId="14" fillId="2" fontId="2" numFmtId="4" xfId="0" applyBorder="1" applyFont="1" applyNumberFormat="1"/>
    <xf borderId="1" fillId="2" fontId="1" numFmtId="0" xfId="0" applyAlignment="1" applyBorder="1" applyFont="1">
      <alignment readingOrder="0" shrinkToFit="0" wrapText="0"/>
    </xf>
    <xf borderId="24" fillId="2" fontId="1" numFmtId="0" xfId="0" applyAlignment="1" applyBorder="1" applyFont="1">
      <alignment horizontal="center" shrinkToFit="0" wrapText="1"/>
    </xf>
    <xf borderId="3" fillId="2" fontId="2" numFmtId="4" xfId="0" applyAlignment="1" applyBorder="1" applyFont="1" applyNumberFormat="1">
      <alignment readingOrder="0" shrinkToFit="0" wrapText="1"/>
    </xf>
    <xf borderId="13" fillId="2" fontId="2" numFmtId="4" xfId="0" applyAlignment="1" applyBorder="1" applyFont="1" applyNumberFormat="1">
      <alignment shrinkToFit="0" wrapText="1"/>
    </xf>
    <xf borderId="14" fillId="2" fontId="2" numFmtId="4" xfId="0" applyAlignment="1" applyBorder="1" applyFont="1" applyNumberFormat="1">
      <alignment shrinkToFit="0" wrapText="1"/>
    </xf>
    <xf borderId="23" fillId="2" fontId="1" numFmtId="0" xfId="0" applyAlignment="1" applyBorder="1" applyFont="1">
      <alignment horizontal="center" shrinkToFit="0" wrapText="1"/>
    </xf>
    <xf borderId="4" fillId="2" fontId="6" numFmtId="4" xfId="0" applyAlignment="1" applyBorder="1" applyFont="1" applyNumberFormat="1">
      <alignment readingOrder="0"/>
    </xf>
    <xf borderId="22" fillId="2" fontId="2" numFmtId="4" xfId="0" applyBorder="1" applyFont="1" applyNumberFormat="1"/>
    <xf borderId="23" fillId="2" fontId="6" numFmtId="167" xfId="0" applyAlignment="1" applyBorder="1" applyFont="1" applyNumberFormat="1">
      <alignment readingOrder="0" shrinkToFit="0" wrapText="1"/>
    </xf>
    <xf borderId="1" fillId="2" fontId="1" numFmtId="0" xfId="0" applyAlignment="1" applyBorder="1" applyFont="1">
      <alignment horizontal="right" readingOrder="0"/>
    </xf>
    <xf borderId="5" fillId="2" fontId="2" numFmtId="10" xfId="0" applyAlignment="1" applyBorder="1" applyFont="1" applyNumberFormat="1">
      <alignment readingOrder="0" shrinkToFit="0" wrapText="1"/>
    </xf>
    <xf borderId="1" fillId="2" fontId="1" numFmtId="0" xfId="0" applyAlignment="1" applyBorder="1" applyFont="1">
      <alignment horizontal="center" readingOrder="0" shrinkToFit="0" wrapText="1"/>
    </xf>
    <xf borderId="1" fillId="9" fontId="15" numFmtId="0" xfId="0" applyAlignment="1" applyBorder="1" applyFill="1" applyFont="1">
      <alignment horizontal="center" readingOrder="0"/>
    </xf>
    <xf borderId="21" fillId="9" fontId="15" numFmtId="0" xfId="0" applyAlignment="1" applyBorder="1" applyFont="1">
      <alignment horizontal="center" readingOrder="0" vertical="bottom"/>
    </xf>
    <xf borderId="21" fillId="9" fontId="15" numFmtId="0" xfId="0" applyAlignment="1" applyBorder="1" applyFont="1">
      <alignment readingOrder="0" vertical="bottom"/>
    </xf>
    <xf borderId="25" fillId="9" fontId="15" numFmtId="0" xfId="0" applyAlignment="1" applyBorder="1" applyFont="1">
      <alignment horizontal="center" readingOrder="0" vertical="bottom"/>
    </xf>
    <xf borderId="25" fillId="9" fontId="15" numFmtId="0" xfId="0" applyAlignment="1" applyBorder="1" applyFont="1">
      <alignment readingOrder="0" vertical="bottom"/>
    </xf>
    <xf borderId="25" fillId="9" fontId="2" numFmtId="0" xfId="0" applyAlignment="1" applyBorder="1" applyFont="1">
      <alignment vertical="bottom"/>
    </xf>
    <xf borderId="25" fillId="9" fontId="15" numFmtId="10" xfId="0" applyAlignment="1" applyBorder="1" applyFont="1" applyNumberFormat="1">
      <alignment horizontal="center" readingOrder="0" vertical="bottom"/>
    </xf>
    <xf borderId="5" fillId="0" fontId="2" numFmtId="49" xfId="0" applyAlignment="1" applyBorder="1" applyFont="1" applyNumberFormat="1">
      <alignment horizontal="center" readingOrder="0" shrinkToFit="0" wrapText="1"/>
    </xf>
    <xf borderId="5" fillId="0" fontId="2" numFmtId="0" xfId="0" applyAlignment="1" applyBorder="1" applyFont="1">
      <alignment readingOrder="0" shrinkToFit="0" wrapText="1"/>
    </xf>
    <xf borderId="5" fillId="0" fontId="2" numFmtId="10" xfId="0" applyBorder="1" applyFont="1" applyNumberFormat="1"/>
    <xf borderId="5" fillId="0" fontId="2" numFmtId="10" xfId="0" applyAlignment="1" applyBorder="1" applyFont="1" applyNumberFormat="1">
      <alignment horizontal="center" readingOrder="0"/>
    </xf>
    <xf borderId="25" fillId="9" fontId="2" numFmtId="10" xfId="0" applyAlignment="1" applyBorder="1" applyFont="1" applyNumberFormat="1">
      <alignment vertical="bottom"/>
    </xf>
    <xf borderId="5" fillId="0" fontId="1" numFmtId="10" xfId="0" applyAlignment="1" applyBorder="1" applyFont="1" applyNumberFormat="1">
      <alignment horizontal="center" readingOrder="0"/>
    </xf>
    <xf borderId="1" fillId="9" fontId="15" numFmtId="0" xfId="0" applyAlignment="1" applyBorder="1" applyFont="1">
      <alignment horizontal="center" readingOrder="0" vertical="bottom"/>
    </xf>
    <xf borderId="2" fillId="9" fontId="15" numFmtId="0" xfId="0" applyAlignment="1" applyBorder="1" applyFont="1">
      <alignment horizontal="center" vertical="bottom"/>
    </xf>
    <xf borderId="6" fillId="9" fontId="15" numFmtId="0" xfId="0" applyAlignment="1" applyBorder="1" applyFont="1">
      <alignment horizontal="center" vertical="bottom"/>
    </xf>
    <xf borderId="3" fillId="0" fontId="2" numFmtId="0" xfId="0" applyAlignment="1" applyBorder="1" applyFont="1">
      <alignment horizontal="center" readingOrder="0"/>
    </xf>
    <xf borderId="13" fillId="0" fontId="2" numFmtId="0" xfId="0" applyAlignment="1" applyBorder="1" applyFont="1">
      <alignment readingOrder="0" vertical="bottom"/>
    </xf>
    <xf borderId="13" fillId="0" fontId="2" numFmtId="0" xfId="0" applyAlignment="1" applyBorder="1" applyFont="1">
      <alignment vertical="bottom"/>
    </xf>
    <xf borderId="14" fillId="0" fontId="2" numFmtId="0" xfId="0" applyAlignment="1" applyBorder="1" applyFont="1">
      <alignment vertical="bottom"/>
    </xf>
    <xf borderId="4" fillId="0" fontId="2" numFmtId="0" xfId="0" applyAlignment="1" applyBorder="1" applyFont="1">
      <alignment horizontal="center" readingOrder="0"/>
    </xf>
    <xf borderId="22" fillId="0" fontId="2" numFmtId="0" xfId="0" applyAlignment="1" applyBorder="1" applyFont="1">
      <alignment readingOrder="0" vertical="bottom"/>
    </xf>
    <xf borderId="22" fillId="0" fontId="2" numFmtId="0" xfId="0" applyAlignment="1" applyBorder="1" applyFont="1">
      <alignment vertical="bottom"/>
    </xf>
    <xf borderId="23" fillId="0" fontId="2" numFmtId="0" xfId="0" applyAlignment="1" applyBorder="1" applyFont="1">
      <alignment vertical="bottom"/>
    </xf>
    <xf borderId="2" fillId="2" fontId="2" numFmtId="164" xfId="0" applyBorder="1" applyFont="1" applyNumberFormat="1"/>
    <xf borderId="14" fillId="2" fontId="2" numFmtId="10" xfId="0" applyAlignment="1" applyBorder="1" applyFont="1" applyNumberFormat="1">
      <alignment horizontal="center"/>
    </xf>
    <xf borderId="23" fillId="2" fontId="2" numFmtId="10" xfId="0" applyAlignment="1" applyBorder="1" applyFont="1" applyNumberFormat="1">
      <alignment horizontal="center"/>
    </xf>
    <xf borderId="3" fillId="3" fontId="1" numFmtId="0" xfId="0" applyAlignment="1" applyBorder="1" applyFont="1">
      <alignment horizontal="center" readingOrder="0"/>
    </xf>
    <xf borderId="1" fillId="3" fontId="1" numFmtId="0" xfId="0" applyAlignment="1" applyBorder="1" applyFont="1">
      <alignment horizontal="center" readingOrder="0"/>
    </xf>
    <xf borderId="2" fillId="3" fontId="1" numFmtId="0" xfId="0" applyAlignment="1" applyBorder="1" applyFont="1">
      <alignment horizontal="center"/>
    </xf>
    <xf borderId="4" fillId="3" fontId="1" numFmtId="0" xfId="0" applyAlignment="1" applyBorder="1" applyFont="1">
      <alignment horizontal="center"/>
    </xf>
    <xf borderId="1" fillId="3" fontId="2" numFmtId="0" xfId="0" applyAlignment="1" applyBorder="1" applyFont="1">
      <alignment horizontal="center" readingOrder="0"/>
    </xf>
    <xf borderId="1" fillId="10" fontId="1" numFmtId="0" xfId="0" applyAlignment="1" applyBorder="1" applyFill="1" applyFont="1">
      <alignment horizontal="center" readingOrder="0"/>
    </xf>
    <xf borderId="2" fillId="10" fontId="1" numFmtId="0" xfId="0" applyAlignment="1" applyBorder="1" applyFont="1">
      <alignment horizontal="center"/>
    </xf>
    <xf borderId="1" fillId="0" fontId="2" numFmtId="0" xfId="0" applyAlignment="1" applyBorder="1" applyFont="1">
      <alignment horizontal="center" readingOrder="0"/>
    </xf>
    <xf borderId="1" fillId="0" fontId="2" numFmtId="0" xfId="0" applyAlignment="1" applyBorder="1" applyFont="1">
      <alignment readingOrder="0"/>
    </xf>
    <xf borderId="1" fillId="0" fontId="2" numFmtId="10" xfId="0" applyAlignment="1" applyBorder="1" applyFont="1" applyNumberFormat="1">
      <alignment horizontal="center" readingOrder="0"/>
    </xf>
    <xf borderId="1" fillId="0" fontId="1" numFmtId="0" xfId="0" applyAlignment="1" applyBorder="1" applyFont="1">
      <alignment horizontal="center" readingOrder="0"/>
    </xf>
    <xf borderId="1" fillId="0" fontId="1" numFmtId="0" xfId="0" applyAlignment="1" applyBorder="1" applyFont="1">
      <alignment readingOrder="0"/>
    </xf>
    <xf borderId="1" fillId="0" fontId="1" numFmtId="10" xfId="0" applyAlignment="1" applyBorder="1" applyFont="1" applyNumberFormat="1">
      <alignment horizontal="center" readingOrder="0"/>
    </xf>
    <xf borderId="1" fillId="10" fontId="1" numFmtId="10" xfId="0" applyAlignment="1" applyBorder="1" applyFont="1" applyNumberFormat="1">
      <alignment horizontal="center" readingOrder="0"/>
    </xf>
    <xf borderId="3" fillId="0" fontId="2" numFmtId="0" xfId="0" applyBorder="1" applyFont="1"/>
    <xf borderId="13" fillId="0" fontId="2" numFmtId="0" xfId="0" applyBorder="1" applyFont="1"/>
    <xf borderId="26" fillId="0" fontId="2" numFmtId="0" xfId="0" applyAlignment="1" applyBorder="1" applyFont="1">
      <alignment readingOrder="0"/>
    </xf>
    <xf borderId="0" fillId="0" fontId="16" numFmtId="0" xfId="0" applyAlignment="1" applyFont="1">
      <alignment readingOrder="0" vertical="bottom"/>
    </xf>
    <xf borderId="4" fillId="0" fontId="2" numFmtId="0" xfId="0" applyBorder="1" applyFont="1"/>
    <xf borderId="22" fillId="0" fontId="2" numFmtId="0" xfId="0" applyBorder="1" applyFont="1"/>
    <xf borderId="5" fillId="2" fontId="1" numFmtId="0" xfId="0" applyAlignment="1" applyBorder="1" applyFont="1">
      <alignment readingOrder="0" vertical="center"/>
    </xf>
    <xf borderId="1" fillId="2" fontId="17" numFmtId="164" xfId="0" applyAlignment="1" applyBorder="1" applyFont="1" applyNumberFormat="1">
      <alignment readingOrder="0" vertical="center"/>
    </xf>
    <xf borderId="2" fillId="2" fontId="2" numFmtId="164" xfId="0" applyAlignment="1" applyBorder="1" applyFont="1" applyNumberFormat="1">
      <alignment horizontal="center" vertical="center"/>
    </xf>
    <xf borderId="6" fillId="2" fontId="2" numFmtId="164" xfId="0" applyAlignment="1" applyBorder="1" applyFont="1" applyNumberFormat="1">
      <alignment horizontal="center" vertical="center"/>
    </xf>
    <xf borderId="3" fillId="2" fontId="2" numFmtId="0" xfId="0" applyAlignment="1" applyBorder="1" applyFont="1">
      <alignment readingOrder="0" vertical="center"/>
    </xf>
    <xf borderId="5" fillId="2" fontId="2" numFmtId="0" xfId="0" applyAlignment="1" applyBorder="1" applyFont="1">
      <alignment readingOrder="0" vertical="center"/>
    </xf>
    <xf borderId="3" fillId="2" fontId="1" numFmtId="0" xfId="0" applyAlignment="1" applyBorder="1" applyFont="1">
      <alignment readingOrder="0" vertical="center"/>
    </xf>
    <xf borderId="26" fillId="2" fontId="1" numFmtId="0" xfId="0" applyAlignment="1" applyBorder="1" applyFont="1">
      <alignment vertical="center"/>
    </xf>
    <xf borderId="24" fillId="2" fontId="1" numFmtId="0" xfId="0" applyAlignment="1" applyBorder="1" applyFont="1">
      <alignment vertical="center"/>
    </xf>
    <xf borderId="26" fillId="2" fontId="2" numFmtId="0" xfId="0" applyAlignment="1" applyBorder="1" applyFont="1">
      <alignment shrinkToFit="0" vertical="center" wrapText="1"/>
    </xf>
    <xf borderId="0" fillId="2" fontId="2" numFmtId="0" xfId="0" applyAlignment="1" applyFont="1">
      <alignment shrinkToFit="0" vertical="center" wrapText="1"/>
    </xf>
    <xf borderId="24" fillId="2" fontId="2" numFmtId="0" xfId="0" applyAlignment="1" applyBorder="1" applyFont="1">
      <alignment shrinkToFit="0" vertical="center" wrapText="1"/>
    </xf>
    <xf borderId="4" fillId="2" fontId="1" numFmtId="0" xfId="0" applyAlignment="1" applyBorder="1" applyFont="1">
      <alignment vertical="center"/>
    </xf>
    <xf borderId="23" fillId="2" fontId="1" numFmtId="0" xfId="0" applyAlignment="1" applyBorder="1" applyFont="1">
      <alignment vertical="center"/>
    </xf>
    <xf borderId="4" fillId="2" fontId="2" numFmtId="0" xfId="0" applyAlignment="1" applyBorder="1" applyFont="1">
      <alignment shrinkToFit="0" vertical="center" wrapText="1"/>
    </xf>
    <xf borderId="22" fillId="2" fontId="2" numFmtId="0" xfId="0" applyAlignment="1" applyBorder="1" applyFont="1">
      <alignment shrinkToFit="0" vertical="center" wrapText="1"/>
    </xf>
    <xf borderId="23" fillId="2" fontId="2" numFmtId="0" xfId="0" applyAlignment="1" applyBorder="1" applyFont="1">
      <alignment shrinkToFit="0" vertical="center" wrapText="1"/>
    </xf>
    <xf borderId="26" fillId="0" fontId="2" numFmtId="0" xfId="0" applyAlignment="1" applyBorder="1" applyFont="1">
      <alignment vertical="center"/>
    </xf>
    <xf borderId="5" fillId="3" fontId="2" numFmtId="0" xfId="0" applyAlignment="1" applyBorder="1" applyFont="1">
      <alignment horizontal="center" readingOrder="0" shrinkToFit="0" vertical="center" wrapText="1"/>
    </xf>
    <xf borderId="5" fillId="3" fontId="1" numFmtId="0" xfId="0" applyAlignment="1" applyBorder="1" applyFont="1">
      <alignment horizontal="center" readingOrder="0" shrinkToFit="0" vertical="center" wrapText="1"/>
    </xf>
    <xf borderId="5" fillId="4" fontId="2" numFmtId="0" xfId="0" applyAlignment="1" applyBorder="1" applyFont="1">
      <alignment vertical="center"/>
    </xf>
    <xf borderId="5" fillId="4" fontId="2" numFmtId="171" xfId="0" applyAlignment="1" applyBorder="1" applyFont="1" applyNumberFormat="1">
      <alignment vertical="center"/>
    </xf>
    <xf borderId="5" fillId="4" fontId="1" numFmtId="165" xfId="0" applyAlignment="1" applyBorder="1" applyFont="1" applyNumberFormat="1">
      <alignment horizontal="center" readingOrder="0" shrinkToFit="0" vertical="center" wrapText="1"/>
    </xf>
    <xf borderId="5" fillId="0" fontId="2" numFmtId="0" xfId="0" applyAlignment="1" applyBorder="1" applyFont="1">
      <alignment vertical="center"/>
    </xf>
    <xf borderId="0" fillId="4" fontId="1" numFmtId="165" xfId="0" applyAlignment="1" applyFont="1" applyNumberFormat="1">
      <alignment horizontal="center" readingOrder="0" shrinkToFit="0" vertical="center" wrapText="1"/>
    </xf>
    <xf borderId="20" fillId="0" fontId="3" numFmtId="0" xfId="0" applyBorder="1" applyFont="1"/>
    <xf borderId="5" fillId="0" fontId="2" numFmtId="0" xfId="0" applyAlignment="1" applyBorder="1" applyFont="1">
      <alignment readingOrder="0" shrinkToFit="0" vertical="center" wrapText="1"/>
    </xf>
    <xf borderId="5" fillId="0" fontId="2" numFmtId="171" xfId="0" applyAlignment="1" applyBorder="1" applyFont="1" applyNumberFormat="1">
      <alignment horizontal="center" readingOrder="0" vertical="center"/>
    </xf>
    <xf borderId="5" fillId="0" fontId="2" numFmtId="165" xfId="0" applyAlignment="1" applyBorder="1" applyFont="1" applyNumberFormat="1">
      <alignment horizontal="right" readingOrder="0" vertical="center"/>
    </xf>
    <xf borderId="5" fillId="0" fontId="2" numFmtId="10" xfId="0" applyAlignment="1" applyBorder="1" applyFont="1" applyNumberFormat="1">
      <alignment readingOrder="0" vertical="center"/>
    </xf>
    <xf borderId="5" fillId="0" fontId="2" numFmtId="1" xfId="0" applyAlignment="1" applyBorder="1" applyFont="1" applyNumberFormat="1">
      <alignment horizontal="center" readingOrder="0" shrinkToFit="0" vertical="center" wrapText="1"/>
    </xf>
    <xf borderId="5" fillId="0" fontId="2" numFmtId="0" xfId="0" applyAlignment="1" applyBorder="1" applyFont="1">
      <alignment readingOrder="0" vertical="center"/>
    </xf>
    <xf borderId="5" fillId="0" fontId="2" numFmtId="165" xfId="0" applyAlignment="1" applyBorder="1" applyFont="1" applyNumberFormat="1">
      <alignment readingOrder="0" vertical="center"/>
    </xf>
    <xf borderId="21" fillId="0" fontId="3" numFmtId="0" xfId="0" applyBorder="1" applyFont="1"/>
    <xf borderId="0" fillId="0" fontId="2" numFmtId="0" xfId="0" applyAlignment="1" applyFont="1">
      <alignment readingOrder="0" vertical="center"/>
    </xf>
    <xf borderId="1" fillId="0" fontId="2" numFmtId="0" xfId="0" applyAlignment="1" applyBorder="1" applyFont="1">
      <alignment vertical="center"/>
    </xf>
    <xf borderId="2" fillId="0" fontId="2" numFmtId="171" xfId="0" applyAlignment="1" applyBorder="1" applyFont="1" applyNumberFormat="1">
      <alignment vertical="center"/>
    </xf>
    <xf borderId="2" fillId="0" fontId="2" numFmtId="0" xfId="0" applyAlignment="1" applyBorder="1" applyFont="1">
      <alignment readingOrder="0" shrinkToFit="0" vertical="center" wrapText="0"/>
    </xf>
    <xf borderId="2" fillId="0" fontId="1" numFmtId="0" xfId="0" applyAlignment="1" applyBorder="1" applyFont="1">
      <alignment shrinkToFit="0" vertical="center" wrapText="1"/>
    </xf>
    <xf borderId="5" fillId="4" fontId="1" numFmtId="171" xfId="0" applyAlignment="1" applyBorder="1" applyFont="1" applyNumberFormat="1">
      <alignment readingOrder="0" vertical="center"/>
    </xf>
    <xf borderId="5" fillId="0" fontId="2" numFmtId="0" xfId="0" applyAlignment="1" applyBorder="1" applyFont="1">
      <alignment horizontal="left" readingOrder="0" shrinkToFit="0" vertical="center" wrapText="1"/>
    </xf>
    <xf borderId="0" fillId="0" fontId="2" numFmtId="9" xfId="0" applyAlignment="1" applyFont="1" applyNumberFormat="1">
      <alignment readingOrder="0" vertical="center"/>
    </xf>
    <xf borderId="0" fillId="0" fontId="8" numFmtId="0" xfId="0" applyAlignment="1" applyFont="1">
      <alignment vertical="center"/>
    </xf>
    <xf borderId="5" fillId="4" fontId="18" numFmtId="165" xfId="0" applyAlignment="1" applyBorder="1" applyFont="1" applyNumberFormat="1">
      <alignment horizontal="center" readingOrder="0" shrinkToFit="0" vertical="center" wrapText="1"/>
    </xf>
    <xf borderId="1" fillId="2" fontId="1" numFmtId="0" xfId="0" applyAlignment="1" applyBorder="1" applyFont="1">
      <alignment readingOrder="0" shrinkToFit="0" vertical="center" wrapText="0"/>
    </xf>
    <xf borderId="1" fillId="2" fontId="2" numFmtId="0" xfId="0" applyAlignment="1" applyBorder="1" applyFont="1">
      <alignment readingOrder="0" shrinkToFit="0" vertical="center" wrapText="0"/>
    </xf>
    <xf borderId="2" fillId="2" fontId="2" numFmtId="0" xfId="0" applyAlignment="1" applyBorder="1" applyFont="1">
      <alignment shrinkToFit="0" vertical="center" wrapText="0"/>
    </xf>
    <xf borderId="2" fillId="2" fontId="2" numFmtId="164" xfId="0" applyAlignment="1" applyBorder="1" applyFont="1" applyNumberFormat="1">
      <alignment shrinkToFit="0" vertical="center" wrapText="0"/>
    </xf>
    <xf borderId="1" fillId="2" fontId="17" numFmtId="164" xfId="0" applyAlignment="1" applyBorder="1" applyFont="1" applyNumberFormat="1">
      <alignment readingOrder="0"/>
    </xf>
    <xf borderId="2" fillId="2" fontId="1" numFmtId="0" xfId="0" applyAlignment="1" applyBorder="1" applyFont="1">
      <alignment shrinkToFit="0" vertical="center" wrapText="0"/>
    </xf>
    <xf borderId="1" fillId="2" fontId="1" numFmtId="0" xfId="0" applyAlignment="1" applyBorder="1" applyFont="1">
      <alignment horizontal="center" readingOrder="0" shrinkToFit="0" vertical="center" wrapText="0"/>
    </xf>
    <xf borderId="0" fillId="0" fontId="2" numFmtId="0" xfId="0" applyAlignment="1" applyFont="1">
      <alignment shrinkToFit="0" vertical="center" wrapText="0"/>
    </xf>
    <xf borderId="3" fillId="3" fontId="1" numFmtId="0" xfId="0" applyAlignment="1" applyBorder="1" applyFont="1">
      <alignment horizontal="center" readingOrder="0" shrinkToFit="0" vertical="center" wrapText="0"/>
    </xf>
    <xf borderId="1" fillId="3" fontId="2" numFmtId="0" xfId="0" applyAlignment="1" applyBorder="1" applyFont="1">
      <alignment shrinkToFit="0" vertical="center" wrapText="0"/>
    </xf>
    <xf borderId="1" fillId="3" fontId="1" numFmtId="0" xfId="0" applyAlignment="1" applyBorder="1" applyFont="1">
      <alignment horizontal="center" readingOrder="0" shrinkToFit="0" vertical="center" wrapText="0"/>
    </xf>
    <xf borderId="2" fillId="3" fontId="1" numFmtId="0" xfId="0" applyAlignment="1" applyBorder="1" applyFont="1">
      <alignment horizontal="center" shrinkToFit="0" vertical="center" wrapText="0"/>
    </xf>
    <xf borderId="5" fillId="3" fontId="1" numFmtId="0" xfId="0" applyAlignment="1" applyBorder="1" applyFont="1">
      <alignment horizontal="center" shrinkToFit="0" vertical="center" wrapText="0"/>
    </xf>
    <xf borderId="4" fillId="3" fontId="1" numFmtId="0" xfId="0" applyAlignment="1" applyBorder="1" applyFont="1">
      <alignment horizontal="center" shrinkToFit="0" vertical="center" wrapText="0"/>
    </xf>
    <xf borderId="5" fillId="3" fontId="2" numFmtId="0" xfId="0" applyAlignment="1" applyBorder="1" applyFont="1">
      <alignment shrinkToFit="0" vertical="center" wrapText="0"/>
    </xf>
    <xf borderId="5" fillId="3" fontId="1" numFmtId="0" xfId="0" applyAlignment="1" applyBorder="1" applyFont="1">
      <alignment horizontal="center" readingOrder="0" shrinkToFit="0" vertical="center" wrapText="0"/>
    </xf>
    <xf borderId="3" fillId="0" fontId="1" numFmtId="0" xfId="0" applyAlignment="1" applyBorder="1" applyFont="1">
      <alignment horizontal="center" readingOrder="0" shrinkToFit="0" vertical="center" wrapText="0"/>
    </xf>
    <xf borderId="3" fillId="0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horizontal="center" readingOrder="0" shrinkToFit="0" vertical="center" wrapText="0"/>
    </xf>
    <xf borderId="1" fillId="0" fontId="2" numFmtId="165" xfId="0" applyAlignment="1" applyBorder="1" applyFont="1" applyNumberFormat="1">
      <alignment horizontal="center" readingOrder="0" shrinkToFit="0" vertical="center" wrapText="0"/>
    </xf>
    <xf borderId="12" fillId="0" fontId="1" numFmtId="173" xfId="0" applyAlignment="1" applyBorder="1" applyFont="1" applyNumberFormat="1">
      <alignment horizontal="center" readingOrder="0" shrinkToFit="0" vertical="center" wrapText="0"/>
    </xf>
    <xf borderId="26" fillId="0" fontId="3" numFmtId="0" xfId="0" applyBorder="1" applyFont="1"/>
    <xf borderId="1" fillId="0" fontId="2" numFmtId="164" xfId="0" applyAlignment="1" applyBorder="1" applyFont="1" applyNumberFormat="1">
      <alignment horizontal="center" readingOrder="0" shrinkToFit="0" vertical="center" wrapText="0"/>
    </xf>
    <xf borderId="1" fillId="0" fontId="1" numFmtId="3" xfId="0" applyAlignment="1" applyBorder="1" applyFont="1" applyNumberFormat="1">
      <alignment horizontal="center" readingOrder="0" shrinkToFit="0" vertical="center" wrapText="0"/>
    </xf>
    <xf borderId="1" fillId="0" fontId="1" numFmtId="171" xfId="0" applyAlignment="1" applyBorder="1" applyFont="1" applyNumberFormat="1">
      <alignment horizontal="center" readingOrder="0" shrinkToFit="0" vertical="center" wrapText="0"/>
    </xf>
    <xf borderId="4" fillId="0" fontId="3" numFmtId="0" xfId="0" applyBorder="1" applyFont="1"/>
    <xf borderId="5" fillId="0" fontId="1" numFmtId="0" xfId="0" applyAlignment="1" applyBorder="1" applyFont="1">
      <alignment horizontal="center" readingOrder="0" shrinkToFit="0" vertical="center" wrapText="0"/>
    </xf>
    <xf borderId="1" fillId="0" fontId="1" numFmtId="173" xfId="0" applyAlignment="1" applyBorder="1" applyFont="1" applyNumberFormat="1">
      <alignment horizontal="center" readingOrder="0" shrinkToFit="0" vertical="center" wrapText="0"/>
    </xf>
    <xf borderId="1" fillId="0" fontId="1" numFmtId="171" xfId="0" applyAlignment="1" applyBorder="1" applyFont="1" applyNumberFormat="1">
      <alignment horizontal="center" readingOrder="0" shrinkToFit="0" vertical="center" wrapText="1"/>
    </xf>
    <xf borderId="0" fillId="0" fontId="7" numFmtId="0" xfId="0" applyFont="1"/>
    <xf borderId="0" fillId="0" fontId="7" numFmtId="0" xfId="0" applyFont="1"/>
    <xf borderId="0" fillId="0" fontId="7" numFmtId="173" xfId="0" applyFont="1" applyNumberFormat="1"/>
    <xf borderId="0" fillId="0" fontId="7" numFmtId="171" xfId="0" applyFont="1" applyNumberFormat="1"/>
    <xf borderId="1" fillId="0" fontId="2" numFmtId="173" xfId="0" applyAlignment="1" applyBorder="1" applyFont="1" applyNumberFormat="1">
      <alignment horizontal="center" readingOrder="0" shrinkToFit="0" vertical="center" wrapText="0"/>
    </xf>
    <xf borderId="1" fillId="0" fontId="8" numFmtId="164" xfId="0" applyAlignment="1" applyBorder="1" applyFont="1" applyNumberFormat="1">
      <alignment horizontal="center" readingOrder="0" shrinkToFit="0" vertical="center" wrapText="0"/>
    </xf>
    <xf borderId="5" fillId="0" fontId="2" numFmtId="0" xfId="0" applyAlignment="1" applyBorder="1" applyFont="1">
      <alignment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indiceseconomicos.secovi.com.br/indicadormensal.php?idindicador=59" TargetMode="External"/><Relationship Id="rId2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hyperlink" Target="https://www.goinfra.go.gov.br/arquivos/arquivos/ENCARGOS_SOCIAIS_GOINFRA_HORIS%20-%202025.02.pdf" TargetMode="External"/><Relationship Id="rId2" Type="http://schemas.openxmlformats.org/officeDocument/2006/relationships/hyperlink" Target="https://www.goinfra.go.gov.br/arquivos/arquivos/ENCARGOS_SOCIAIS_GOINFRA_MENSA%20-%202025.02.pdf" TargetMode="External"/><Relationship Id="rId3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20.63"/>
    <col customWidth="1" min="2" max="2" width="62.13"/>
    <col customWidth="1" min="3" max="3" width="13.5"/>
    <col customWidth="1" min="4" max="4" width="48.63"/>
    <col customWidth="1" min="5" max="5" width="9.13"/>
  </cols>
  <sheetData>
    <row r="1">
      <c r="A1" s="1" t="s">
        <v>0</v>
      </c>
      <c r="B1" s="2" t="s">
        <v>1</v>
      </c>
      <c r="C1" s="1" t="s">
        <v>2</v>
      </c>
      <c r="D1" s="3">
        <f>TODAY()</f>
        <v>46056</v>
      </c>
      <c r="E1" s="4"/>
      <c r="F1" s="5"/>
    </row>
    <row r="2">
      <c r="A2" s="1" t="s">
        <v>3</v>
      </c>
      <c r="B2" s="2" t="s">
        <v>4</v>
      </c>
      <c r="C2" s="1" t="s">
        <v>5</v>
      </c>
      <c r="D2" s="2" t="s">
        <v>6</v>
      </c>
      <c r="E2" s="6"/>
      <c r="F2" s="5"/>
    </row>
    <row r="3">
      <c r="A3" s="1" t="s">
        <v>7</v>
      </c>
      <c r="B3" s="7" t="s">
        <v>8</v>
      </c>
      <c r="C3" s="1" t="s">
        <v>9</v>
      </c>
      <c r="D3" s="8" t="s">
        <v>10</v>
      </c>
      <c r="E3" s="9"/>
      <c r="F3" s="5"/>
    </row>
    <row r="4">
      <c r="A4" s="1" t="s">
        <v>11</v>
      </c>
      <c r="B4" s="8" t="s">
        <v>12</v>
      </c>
      <c r="C4" s="10"/>
      <c r="D4" s="11"/>
      <c r="E4" s="10"/>
      <c r="F4" s="5"/>
    </row>
    <row r="5">
      <c r="A5" s="1" t="s">
        <v>13</v>
      </c>
      <c r="B5" s="2" t="s">
        <v>14</v>
      </c>
      <c r="C5" s="12"/>
      <c r="D5" s="13"/>
      <c r="E5" s="12"/>
      <c r="F5" s="5"/>
    </row>
    <row r="6">
      <c r="A6" s="14" t="s">
        <v>15</v>
      </c>
      <c r="B6" s="9"/>
      <c r="C6" s="9"/>
      <c r="D6" s="9"/>
      <c r="E6" s="9"/>
      <c r="F6" s="5"/>
    </row>
    <row r="7">
      <c r="A7" s="5"/>
      <c r="B7" s="5"/>
      <c r="C7" s="5"/>
      <c r="D7" s="5"/>
      <c r="E7" s="5"/>
      <c r="F7" s="5"/>
    </row>
    <row r="8">
      <c r="A8" s="15" t="s">
        <v>16</v>
      </c>
      <c r="B8" s="16" t="s">
        <v>17</v>
      </c>
      <c r="C8" s="15" t="s">
        <v>18</v>
      </c>
      <c r="D8" s="15" t="s">
        <v>19</v>
      </c>
      <c r="E8" s="15" t="s">
        <v>20</v>
      </c>
      <c r="F8" s="5"/>
    </row>
    <row r="9">
      <c r="A9" s="17"/>
      <c r="B9" s="18" t="s">
        <v>21</v>
      </c>
      <c r="C9" s="19">
        <f t="shared" ref="C9:E9" si="1">SUM(C10:C23)</f>
        <v>1656372.466</v>
      </c>
      <c r="D9" s="19">
        <f t="shared" si="1"/>
        <v>2027854.257</v>
      </c>
      <c r="E9" s="20">
        <f t="shared" si="1"/>
        <v>1</v>
      </c>
      <c r="F9" s="5"/>
    </row>
    <row r="10">
      <c r="A10" s="21">
        <v>1.0</v>
      </c>
      <c r="B10" s="22" t="str">
        <f>'ORÇA onerado'!D8</f>
        <v>SERVIÇOS PRELIMINARES</v>
      </c>
      <c r="C10" s="23">
        <f>'ORÇA onerado'!J8</f>
        <v>78743.3223</v>
      </c>
      <c r="D10" s="23">
        <f>'ORÇA onerado'!O8</f>
        <v>93646.66023</v>
      </c>
      <c r="E10" s="24">
        <f t="shared" ref="E10:E23" si="2">D10/$D$25</f>
        <v>0.04618017292</v>
      </c>
      <c r="F10" s="5"/>
    </row>
    <row r="11">
      <c r="A11" s="21">
        <v>2.0</v>
      </c>
      <c r="B11" s="22" t="str">
        <f>'ORÇA onerado'!D13</f>
        <v>TRANSPORTES</v>
      </c>
      <c r="C11" s="23">
        <f>'ORÇA onerado'!J13</f>
        <v>10625.1374</v>
      </c>
      <c r="D11" s="23">
        <f>'ORÇA onerado'!O13</f>
        <v>13065.8625</v>
      </c>
      <c r="E11" s="24">
        <f t="shared" si="2"/>
        <v>0.006443196029</v>
      </c>
      <c r="F11" s="5"/>
    </row>
    <row r="12">
      <c r="A12" s="21">
        <v>3.0</v>
      </c>
      <c r="B12" s="22" t="str">
        <f>'ORÇA onerado'!D17</f>
        <v>PAISAGISMO</v>
      </c>
      <c r="C12" s="23">
        <f>'ORÇA onerado'!J17</f>
        <v>1007.15223</v>
      </c>
      <c r="D12" s="23">
        <f>'ORÇA onerado'!O17</f>
        <v>1235.465546</v>
      </c>
      <c r="E12" s="24">
        <f t="shared" si="2"/>
        <v>0.0006092477022</v>
      </c>
      <c r="F12" s="5"/>
    </row>
    <row r="13">
      <c r="A13" s="21">
        <v>4.0</v>
      </c>
      <c r="B13" s="22" t="str">
        <f>'ORÇA onerado'!D20</f>
        <v>INST. ELÉT./TELEFÔNICA/CABEAMENTO ESTRUTURADO</v>
      </c>
      <c r="C13" s="23">
        <f>'ORÇA onerado'!J20</f>
        <v>7491.292342</v>
      </c>
      <c r="D13" s="23">
        <f>'ORÇA onerado'!O20</f>
        <v>9197.869223</v>
      </c>
      <c r="E13" s="24">
        <f t="shared" si="2"/>
        <v>0.004535764438</v>
      </c>
      <c r="F13" s="5"/>
    </row>
    <row r="14">
      <c r="A14" s="21">
        <v>5.0</v>
      </c>
      <c r="B14" s="22" t="str">
        <f>'ORÇA onerado'!D41</f>
        <v>INSTALAÇÕES PLUVIAIS</v>
      </c>
      <c r="C14" s="23">
        <f>'ORÇA onerado'!J41</f>
        <v>12082.91028</v>
      </c>
      <c r="D14" s="23">
        <f>'ORÇA onerado'!O41</f>
        <v>14797.42657</v>
      </c>
      <c r="E14" s="24">
        <f t="shared" si="2"/>
        <v>0.007297085834</v>
      </c>
      <c r="F14" s="5"/>
    </row>
    <row r="15">
      <c r="A15" s="21">
        <v>6.0</v>
      </c>
      <c r="B15" s="22" t="str">
        <f>'ORÇA onerado'!D51</f>
        <v>ALVENARIAS E DIVISÓRIAS</v>
      </c>
      <c r="C15" s="23">
        <f>'ORÇA onerado'!J51</f>
        <v>4316.906769</v>
      </c>
      <c r="D15" s="23">
        <f>'ORÇA onerado'!O51</f>
        <v>5300.257355</v>
      </c>
      <c r="E15" s="24">
        <f t="shared" si="2"/>
        <v>0.002613726966</v>
      </c>
      <c r="F15" s="5"/>
    </row>
    <row r="16">
      <c r="A16" s="21">
        <v>7.0</v>
      </c>
      <c r="B16" s="22" t="str">
        <f>'ORÇA onerado'!D56</f>
        <v>ESTRUTURAS METÁLICAS</v>
      </c>
      <c r="C16" s="23">
        <f>'ORÇA onerado'!J56</f>
        <v>43546.106</v>
      </c>
      <c r="D16" s="23">
        <f>'ORÇA onerado'!O56</f>
        <v>53549.18358</v>
      </c>
      <c r="E16" s="24">
        <f t="shared" si="2"/>
        <v>0.02640682061</v>
      </c>
      <c r="F16" s="5"/>
    </row>
    <row r="17">
      <c r="A17" s="21">
        <v>8.0</v>
      </c>
      <c r="B17" s="22" t="str">
        <f>'ORÇA onerado'!D59</f>
        <v>COBERTURAS</v>
      </c>
      <c r="C17" s="23">
        <f>'ORÇA onerado'!J59</f>
        <v>53462.2053</v>
      </c>
      <c r="D17" s="23">
        <f>'ORÇA onerado'!O59</f>
        <v>65521.4773</v>
      </c>
      <c r="E17" s="24">
        <f t="shared" si="2"/>
        <v>0.03231074279</v>
      </c>
      <c r="F17" s="5"/>
    </row>
    <row r="18">
      <c r="A18" s="21">
        <v>9.0</v>
      </c>
      <c r="B18" s="22" t="str">
        <f>'ORÇA onerado'!D66</f>
        <v>ESQUADRIAS MADEIRAS/ METÁLICAS </v>
      </c>
      <c r="C18" s="23">
        <f>'ORÇA onerado'!J66</f>
        <v>880660.7816</v>
      </c>
      <c r="D18" s="23">
        <f>'ORÇA onerado'!O66</f>
        <v>1077866.239</v>
      </c>
      <c r="E18" s="24">
        <f t="shared" si="2"/>
        <v>0.5315304271</v>
      </c>
      <c r="F18" s="5"/>
    </row>
    <row r="19">
      <c r="A19" s="21">
        <v>10.0</v>
      </c>
      <c r="B19" s="22" t="str">
        <f>'ORÇA onerado'!D74</f>
        <v>REVESTIMENTO DE PAREDES</v>
      </c>
      <c r="C19" s="23">
        <f>'ORÇA onerado'!J74</f>
        <v>32278.06764</v>
      </c>
      <c r="D19" s="23">
        <f>'ORÇA onerado'!O74</f>
        <v>39505.12698</v>
      </c>
      <c r="E19" s="24">
        <f t="shared" si="2"/>
        <v>0.01948124568</v>
      </c>
      <c r="F19" s="5"/>
    </row>
    <row r="20">
      <c r="A20" s="21">
        <v>11.0</v>
      </c>
      <c r="B20" s="22" t="str">
        <f>'ORÇA onerado'!D77</f>
        <v>REVESTIMENTO DE PISO</v>
      </c>
      <c r="C20" s="23">
        <f>'ORÇA onerado'!J77</f>
        <v>48282.00489</v>
      </c>
      <c r="D20" s="23">
        <f>'ORÇA onerado'!O77</f>
        <v>59284.98033</v>
      </c>
      <c r="E20" s="24">
        <f t="shared" si="2"/>
        <v>0.02923532602</v>
      </c>
      <c r="F20" s="5"/>
    </row>
    <row r="21">
      <c r="A21" s="21">
        <v>12.0</v>
      </c>
      <c r="B21" s="22" t="str">
        <f>'ORÇA onerado'!D90</f>
        <v>PINTURA</v>
      </c>
      <c r="C21" s="23">
        <f>'ORÇA onerado'!J90</f>
        <v>326245.5878</v>
      </c>
      <c r="D21" s="23">
        <f>'ORÇA onerado'!O90</f>
        <v>401170.4901</v>
      </c>
      <c r="E21" s="24">
        <f t="shared" si="2"/>
        <v>0.1978300406</v>
      </c>
      <c r="F21" s="5"/>
    </row>
    <row r="22">
      <c r="A22" s="21">
        <v>13.0</v>
      </c>
      <c r="B22" s="22" t="str">
        <f>'ORÇA onerado'!D97</f>
        <v>DIVERSOS</v>
      </c>
      <c r="C22" s="23">
        <f>'ORÇA onerado'!J97</f>
        <v>23018.32187</v>
      </c>
      <c r="D22" s="23">
        <f>'ORÇA onerado'!O97</f>
        <v>28178.35745</v>
      </c>
      <c r="E22" s="24">
        <f t="shared" si="2"/>
        <v>0.01389565219</v>
      </c>
      <c r="F22" s="5"/>
    </row>
    <row r="23">
      <c r="A23" s="21">
        <v>14.0</v>
      </c>
      <c r="B23" s="22" t="str">
        <f>'ORÇA onerado'!D101</f>
        <v>ADMINISTRAÇÃO - MENSALISTAS</v>
      </c>
      <c r="C23" s="23">
        <f>'ORÇA onerado'!J101</f>
        <v>134612.67</v>
      </c>
      <c r="D23" s="23">
        <f>'ORÇA onerado'!O101</f>
        <v>165534.8604</v>
      </c>
      <c r="E23" s="24">
        <f t="shared" si="2"/>
        <v>0.08163055104</v>
      </c>
      <c r="F23" s="5"/>
    </row>
    <row r="24">
      <c r="A24" s="25"/>
      <c r="B24" s="25"/>
      <c r="C24" s="25"/>
      <c r="D24" s="25"/>
      <c r="E24" s="25"/>
      <c r="F24" s="5"/>
    </row>
    <row r="25">
      <c r="A25" s="26" t="s">
        <v>22</v>
      </c>
      <c r="B25" s="9"/>
      <c r="C25" s="27">
        <f t="shared" ref="C25:E25" si="3">SUM(C10:C23)</f>
        <v>1656372.466</v>
      </c>
      <c r="D25" s="27">
        <f t="shared" si="3"/>
        <v>2027854.257</v>
      </c>
      <c r="E25" s="28">
        <f t="shared" si="3"/>
        <v>1</v>
      </c>
      <c r="F25" s="5"/>
    </row>
    <row r="26">
      <c r="A26" s="5"/>
      <c r="B26" s="5"/>
      <c r="C26" s="5"/>
      <c r="D26" s="5"/>
      <c r="E26" s="5"/>
      <c r="F26" s="5"/>
    </row>
  </sheetData>
  <mergeCells count="3">
    <mergeCell ref="D3:E3"/>
    <mergeCell ref="A6:E6"/>
    <mergeCell ref="A25:B2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75"/>
  <cols>
    <col customWidth="1" min="1" max="1" width="11.38"/>
    <col customWidth="1" min="2" max="2" width="15.13"/>
    <col customWidth="1" min="3" max="3" width="10.88"/>
    <col customWidth="1" min="4" max="4" width="68.88"/>
    <col customWidth="1" min="5" max="5" width="12.0"/>
    <col customWidth="1" min="6" max="6" width="16.63"/>
    <col customWidth="1" min="7" max="13" width="16.0"/>
    <col customWidth="1" min="14" max="14" width="18.13"/>
    <col customWidth="1" min="15" max="15" width="16.0"/>
  </cols>
  <sheetData>
    <row r="1">
      <c r="A1" s="29" t="s">
        <v>0</v>
      </c>
      <c r="B1" s="30" t="s">
        <v>1</v>
      </c>
      <c r="C1" s="31"/>
      <c r="D1" s="32"/>
      <c r="E1" s="33" t="s">
        <v>23</v>
      </c>
      <c r="F1" s="34">
        <v>45992.0</v>
      </c>
      <c r="G1" s="35"/>
      <c r="H1" s="36"/>
      <c r="I1" s="37"/>
      <c r="J1" s="38"/>
      <c r="K1" s="39"/>
      <c r="L1" s="39"/>
      <c r="M1" s="39"/>
      <c r="N1" s="40"/>
      <c r="O1" s="41"/>
      <c r="P1" s="5"/>
    </row>
    <row r="2">
      <c r="A2" s="29" t="s">
        <v>3</v>
      </c>
      <c r="B2" s="30" t="s">
        <v>4</v>
      </c>
      <c r="C2" s="31"/>
      <c r="D2" s="32"/>
      <c r="E2" s="42" t="s">
        <v>24</v>
      </c>
      <c r="F2" s="43" t="s">
        <v>25</v>
      </c>
      <c r="G2" s="44"/>
      <c r="H2" s="45"/>
      <c r="I2" s="46"/>
      <c r="J2" s="47"/>
      <c r="K2" s="48"/>
      <c r="L2" s="48"/>
      <c r="M2" s="48"/>
      <c r="N2" s="49"/>
      <c r="O2" s="50"/>
      <c r="P2" s="5"/>
    </row>
    <row r="3">
      <c r="A3" s="29" t="s">
        <v>7</v>
      </c>
      <c r="B3" s="30" t="s">
        <v>8</v>
      </c>
      <c r="C3" s="31"/>
      <c r="D3" s="32"/>
      <c r="E3" s="51"/>
      <c r="F3" s="52" t="s">
        <v>10</v>
      </c>
      <c r="G3" s="53"/>
      <c r="H3" s="54"/>
      <c r="I3" s="47"/>
      <c r="J3" s="55"/>
      <c r="K3" s="55"/>
      <c r="L3" s="48"/>
      <c r="M3" s="55"/>
      <c r="N3" s="55"/>
      <c r="O3" s="50"/>
      <c r="P3" s="5"/>
    </row>
    <row r="4">
      <c r="A4" s="29" t="s">
        <v>11</v>
      </c>
      <c r="B4" s="30" t="s">
        <v>12</v>
      </c>
      <c r="C4" s="56"/>
      <c r="D4" s="32"/>
      <c r="E4" s="57"/>
      <c r="F4" s="58" t="s">
        <v>26</v>
      </c>
      <c r="G4" s="59"/>
      <c r="H4" s="60">
        <f>F1</f>
        <v>45992</v>
      </c>
      <c r="I4" s="47"/>
      <c r="J4" s="47"/>
      <c r="K4" s="48"/>
      <c r="L4" s="48"/>
      <c r="M4" s="48"/>
      <c r="N4" s="49"/>
      <c r="O4" s="50"/>
      <c r="P4" s="5"/>
    </row>
    <row r="5">
      <c r="A5" s="61" t="s">
        <v>13</v>
      </c>
      <c r="B5" s="30" t="s">
        <v>14</v>
      </c>
      <c r="C5" s="31"/>
      <c r="D5" s="32"/>
      <c r="E5" s="33" t="s">
        <v>27</v>
      </c>
      <c r="F5" s="62">
        <f>BDI!E22</f>
        <v>0.2239</v>
      </c>
      <c r="G5" s="63" t="s">
        <v>28</v>
      </c>
      <c r="H5" s="62">
        <f>BDI!K22</f>
        <v>0.1827</v>
      </c>
      <c r="I5" s="46"/>
      <c r="J5" s="47"/>
      <c r="K5" s="48"/>
      <c r="L5" s="48"/>
      <c r="M5" s="48"/>
      <c r="N5" s="49"/>
      <c r="O5" s="50"/>
      <c r="P5" s="5"/>
    </row>
    <row r="6">
      <c r="A6" s="64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65"/>
      <c r="P6" s="5"/>
    </row>
    <row r="7">
      <c r="A7" s="66" t="s">
        <v>30</v>
      </c>
      <c r="B7" s="66" t="s">
        <v>31</v>
      </c>
      <c r="C7" s="67" t="s">
        <v>32</v>
      </c>
      <c r="D7" s="33" t="s">
        <v>33</v>
      </c>
      <c r="E7" s="66" t="s">
        <v>34</v>
      </c>
      <c r="F7" s="68" t="s">
        <v>35</v>
      </c>
      <c r="G7" s="68" t="s">
        <v>36</v>
      </c>
      <c r="H7" s="68" t="s">
        <v>37</v>
      </c>
      <c r="I7" s="68" t="s">
        <v>38</v>
      </c>
      <c r="J7" s="68" t="s">
        <v>39</v>
      </c>
      <c r="K7" s="68" t="s">
        <v>40</v>
      </c>
      <c r="L7" s="68" t="s">
        <v>41</v>
      </c>
      <c r="M7" s="68" t="s">
        <v>42</v>
      </c>
      <c r="N7" s="68" t="s">
        <v>43</v>
      </c>
      <c r="O7" s="66" t="s">
        <v>44</v>
      </c>
      <c r="P7" s="5"/>
    </row>
    <row r="8">
      <c r="A8" s="66" t="s">
        <v>45</v>
      </c>
      <c r="B8" s="69"/>
      <c r="C8" s="70"/>
      <c r="D8" s="71" t="s">
        <v>46</v>
      </c>
      <c r="E8" s="69"/>
      <c r="F8" s="72"/>
      <c r="G8" s="73">
        <f t="shared" ref="G8:J8" si="1">SUM(G9:G12)</f>
        <v>2876.9</v>
      </c>
      <c r="H8" s="73">
        <f t="shared" si="1"/>
        <v>10.06</v>
      </c>
      <c r="I8" s="73">
        <f t="shared" si="1"/>
        <v>2886.96</v>
      </c>
      <c r="J8" s="73">
        <f t="shared" si="1"/>
        <v>78743.3223</v>
      </c>
      <c r="K8" s="73"/>
      <c r="L8" s="73">
        <f>SUM(L9:L12)</f>
        <v>3430.919728</v>
      </c>
      <c r="M8" s="73"/>
      <c r="N8" s="73">
        <f t="shared" ref="N8:O8" si="2">SUM(N9:N12)</f>
        <v>3447.213254</v>
      </c>
      <c r="O8" s="73">
        <f t="shared" si="2"/>
        <v>93646.66023</v>
      </c>
      <c r="P8" s="5"/>
    </row>
    <row r="9">
      <c r="A9" s="74">
        <v>45658.0</v>
      </c>
      <c r="B9" s="75" t="s">
        <v>47</v>
      </c>
      <c r="C9" s="76">
        <v>21301.0</v>
      </c>
      <c r="D9" s="77" t="s">
        <v>48</v>
      </c>
      <c r="E9" s="78" t="s">
        <v>49</v>
      </c>
      <c r="F9" s="79">
        <f>'MEM. CÁLC'!D10</f>
        <v>4.5</v>
      </c>
      <c r="G9" s="80">
        <v>396.3</v>
      </c>
      <c r="H9" s="80">
        <v>4.48</v>
      </c>
      <c r="I9" s="80">
        <f t="shared" ref="I9:I12" si="3">G9+H9</f>
        <v>400.78</v>
      </c>
      <c r="J9" s="80">
        <f t="shared" ref="J9:J12" si="4">I9*F9</f>
        <v>1803.51</v>
      </c>
      <c r="K9" s="81">
        <f>$F$5</f>
        <v>0.2239</v>
      </c>
      <c r="L9" s="82">
        <f t="shared" ref="L9:L12" si="5">(1+K9)*I9</f>
        <v>490.514642</v>
      </c>
      <c r="M9" s="81">
        <f>INCC!$C$26</f>
        <v>0.004749025652</v>
      </c>
      <c r="N9" s="80">
        <f t="shared" ref="N9:N12" si="6">(1+M9)*L9</f>
        <v>492.8441086</v>
      </c>
      <c r="O9" s="80">
        <f t="shared" ref="O9:O12" si="7">N9*F9</f>
        <v>2217.798489</v>
      </c>
      <c r="P9" s="83"/>
    </row>
    <row r="10">
      <c r="A10" s="74">
        <v>45689.0</v>
      </c>
      <c r="B10" s="75" t="s">
        <v>47</v>
      </c>
      <c r="C10" s="76">
        <v>20230.0</v>
      </c>
      <c r="D10" s="77" t="s">
        <v>50</v>
      </c>
      <c r="E10" s="78" t="s">
        <v>51</v>
      </c>
      <c r="F10" s="79">
        <f>'MEM. CÁLC'!D11</f>
        <v>3</v>
      </c>
      <c r="G10" s="80">
        <v>1135.26</v>
      </c>
      <c r="H10" s="80">
        <v>0.0</v>
      </c>
      <c r="I10" s="80">
        <f t="shared" si="3"/>
        <v>1135.26</v>
      </c>
      <c r="J10" s="80">
        <f t="shared" si="4"/>
        <v>3405.78</v>
      </c>
      <c r="K10" s="81">
        <f t="shared" ref="K10:K12" si="8">$H$5</f>
        <v>0.1827</v>
      </c>
      <c r="L10" s="82">
        <f t="shared" si="5"/>
        <v>1342.672002</v>
      </c>
      <c r="M10" s="81">
        <f>INCC!$C$26</f>
        <v>0.004749025652</v>
      </c>
      <c r="N10" s="80">
        <f t="shared" si="6"/>
        <v>1349.048386</v>
      </c>
      <c r="O10" s="80">
        <f t="shared" si="7"/>
        <v>4047.145157</v>
      </c>
      <c r="P10" s="83"/>
    </row>
    <row r="11">
      <c r="A11" s="74">
        <v>45717.0</v>
      </c>
      <c r="B11" s="75" t="s">
        <v>47</v>
      </c>
      <c r="C11" s="76">
        <v>20232.0</v>
      </c>
      <c r="D11" s="77" t="s">
        <v>52</v>
      </c>
      <c r="E11" s="78" t="s">
        <v>51</v>
      </c>
      <c r="F11" s="79">
        <f>'MEM. CÁLC'!D12</f>
        <v>3</v>
      </c>
      <c r="G11" s="80">
        <v>1325.95</v>
      </c>
      <c r="H11" s="80">
        <v>0.0</v>
      </c>
      <c r="I11" s="80">
        <f t="shared" si="3"/>
        <v>1325.95</v>
      </c>
      <c r="J11" s="80">
        <f t="shared" si="4"/>
        <v>3977.85</v>
      </c>
      <c r="K11" s="81">
        <f t="shared" si="8"/>
        <v>0.1827</v>
      </c>
      <c r="L11" s="82">
        <f t="shared" si="5"/>
        <v>1568.201065</v>
      </c>
      <c r="M11" s="81">
        <f>INCC!$C$26</f>
        <v>0.004749025652</v>
      </c>
      <c r="N11" s="80">
        <f t="shared" si="6"/>
        <v>1575.648492</v>
      </c>
      <c r="O11" s="80">
        <f t="shared" si="7"/>
        <v>4726.945476</v>
      </c>
      <c r="P11" s="84"/>
    </row>
    <row r="12">
      <c r="A12" s="74">
        <v>45748.0</v>
      </c>
      <c r="B12" s="75" t="s">
        <v>47</v>
      </c>
      <c r="C12" s="76">
        <v>60105.0</v>
      </c>
      <c r="D12" s="77" t="s">
        <v>53</v>
      </c>
      <c r="E12" s="78" t="s">
        <v>54</v>
      </c>
      <c r="F12" s="79">
        <f>'MEM. CÁLC'!D14</f>
        <v>2785.59</v>
      </c>
      <c r="G12" s="80">
        <v>19.39</v>
      </c>
      <c r="H12" s="80">
        <v>5.58</v>
      </c>
      <c r="I12" s="80">
        <f t="shared" si="3"/>
        <v>24.97</v>
      </c>
      <c r="J12" s="80">
        <f t="shared" si="4"/>
        <v>69556.1823</v>
      </c>
      <c r="K12" s="81">
        <f t="shared" si="8"/>
        <v>0.1827</v>
      </c>
      <c r="L12" s="82">
        <f t="shared" si="5"/>
        <v>29.532019</v>
      </c>
      <c r="M12" s="81">
        <f>INCC!$C$26</f>
        <v>0.004749025652</v>
      </c>
      <c r="N12" s="80">
        <f t="shared" si="6"/>
        <v>29.67226732</v>
      </c>
      <c r="O12" s="80">
        <f t="shared" si="7"/>
        <v>82654.77111</v>
      </c>
      <c r="P12" s="84"/>
    </row>
    <row r="13">
      <c r="A13" s="66" t="s">
        <v>55</v>
      </c>
      <c r="B13" s="85"/>
      <c r="C13" s="86"/>
      <c r="D13" s="71" t="s">
        <v>56</v>
      </c>
      <c r="E13" s="85"/>
      <c r="F13" s="87"/>
      <c r="G13" s="73">
        <f t="shared" ref="G13:J13" si="9">SUM(G14:G16)</f>
        <v>570.24</v>
      </c>
      <c r="H13" s="73">
        <f t="shared" si="9"/>
        <v>512.63</v>
      </c>
      <c r="I13" s="73">
        <f t="shared" si="9"/>
        <v>1082.87</v>
      </c>
      <c r="J13" s="73">
        <f t="shared" si="9"/>
        <v>10625.1374</v>
      </c>
      <c r="K13" s="73"/>
      <c r="L13" s="73">
        <f>SUM(L14:L16)</f>
        <v>1325.324593</v>
      </c>
      <c r="M13" s="73"/>
      <c r="N13" s="73">
        <f t="shared" ref="N13:O13" si="10">SUM(N14:N16)</f>
        <v>1331.618593</v>
      </c>
      <c r="O13" s="73">
        <f t="shared" si="10"/>
        <v>13065.8625</v>
      </c>
      <c r="P13" s="88"/>
    </row>
    <row r="14">
      <c r="A14" s="74">
        <v>45659.0</v>
      </c>
      <c r="B14" s="75" t="s">
        <v>47</v>
      </c>
      <c r="C14" s="76">
        <v>30105.0</v>
      </c>
      <c r="D14" s="77" t="s">
        <v>57</v>
      </c>
      <c r="E14" s="78" t="s">
        <v>58</v>
      </c>
      <c r="F14" s="79">
        <f>'MEM. CÁLC'!D19</f>
        <v>87.74</v>
      </c>
      <c r="G14" s="80">
        <v>96.8</v>
      </c>
      <c r="H14" s="80">
        <v>13.21</v>
      </c>
      <c r="I14" s="80">
        <f t="shared" ref="I14:I16" si="11">G14+H14</f>
        <v>110.01</v>
      </c>
      <c r="J14" s="80">
        <f t="shared" ref="J14:J16" si="12">I14*F14</f>
        <v>9652.2774</v>
      </c>
      <c r="K14" s="81">
        <f t="shared" ref="K14:K16" si="13">$F$5</f>
        <v>0.2239</v>
      </c>
      <c r="L14" s="82">
        <f t="shared" ref="L14:L16" si="14">(1+K14)*I14</f>
        <v>134.641239</v>
      </c>
      <c r="M14" s="81">
        <f>INCC!$C$26</f>
        <v>0.004749025652</v>
      </c>
      <c r="N14" s="80">
        <f t="shared" ref="N14:N16" si="15">(1+M14)*L14</f>
        <v>135.2806537</v>
      </c>
      <c r="O14" s="80">
        <f t="shared" ref="O14:O16" si="16">N14*F14</f>
        <v>11869.52456</v>
      </c>
      <c r="P14" s="5"/>
    </row>
    <row r="15">
      <c r="A15" s="74">
        <v>45690.0</v>
      </c>
      <c r="B15" s="75" t="s">
        <v>47</v>
      </c>
      <c r="C15" s="76">
        <v>30114.0</v>
      </c>
      <c r="D15" s="77" t="s">
        <v>59</v>
      </c>
      <c r="E15" s="78" t="s">
        <v>60</v>
      </c>
      <c r="F15" s="79">
        <f>'MEM. CÁLC'!D20</f>
        <v>1</v>
      </c>
      <c r="G15" s="80">
        <v>236.72</v>
      </c>
      <c r="H15" s="80">
        <v>249.71</v>
      </c>
      <c r="I15" s="80">
        <f t="shared" si="11"/>
        <v>486.43</v>
      </c>
      <c r="J15" s="80">
        <f t="shared" si="12"/>
        <v>486.43</v>
      </c>
      <c r="K15" s="81">
        <f t="shared" si="13"/>
        <v>0.2239</v>
      </c>
      <c r="L15" s="82">
        <f t="shared" si="14"/>
        <v>595.341677</v>
      </c>
      <c r="M15" s="81">
        <f>INCC!$C$26</f>
        <v>0.004749025652</v>
      </c>
      <c r="N15" s="80">
        <f t="shared" si="15"/>
        <v>598.1689699</v>
      </c>
      <c r="O15" s="80">
        <f t="shared" si="16"/>
        <v>598.1689699</v>
      </c>
      <c r="P15" s="5"/>
    </row>
    <row r="16">
      <c r="A16" s="74">
        <v>45718.0</v>
      </c>
      <c r="B16" s="75" t="s">
        <v>47</v>
      </c>
      <c r="C16" s="76">
        <v>30116.0</v>
      </c>
      <c r="D16" s="77" t="s">
        <v>61</v>
      </c>
      <c r="E16" s="78" t="s">
        <v>60</v>
      </c>
      <c r="F16" s="79">
        <f>'MEM. CÁLC'!D21</f>
        <v>1</v>
      </c>
      <c r="G16" s="80">
        <v>236.72</v>
      </c>
      <c r="H16" s="80">
        <v>249.71</v>
      </c>
      <c r="I16" s="80">
        <f t="shared" si="11"/>
        <v>486.43</v>
      </c>
      <c r="J16" s="80">
        <f t="shared" si="12"/>
        <v>486.43</v>
      </c>
      <c r="K16" s="81">
        <f t="shared" si="13"/>
        <v>0.2239</v>
      </c>
      <c r="L16" s="82">
        <f t="shared" si="14"/>
        <v>595.341677</v>
      </c>
      <c r="M16" s="81">
        <f>INCC!$C$26</f>
        <v>0.004749025652</v>
      </c>
      <c r="N16" s="80">
        <f t="shared" si="15"/>
        <v>598.1689699</v>
      </c>
      <c r="O16" s="80">
        <f t="shared" si="16"/>
        <v>598.1689699</v>
      </c>
      <c r="P16" s="5"/>
    </row>
    <row r="17">
      <c r="A17" s="66" t="s">
        <v>62</v>
      </c>
      <c r="B17" s="85"/>
      <c r="C17" s="85"/>
      <c r="D17" s="71" t="s">
        <v>63</v>
      </c>
      <c r="E17" s="85"/>
      <c r="F17" s="85"/>
      <c r="G17" s="73">
        <f t="shared" ref="G17:J17" si="17">SUM(G18:G19)</f>
        <v>38.2</v>
      </c>
      <c r="H17" s="73">
        <f t="shared" si="17"/>
        <v>24.05</v>
      </c>
      <c r="I17" s="73">
        <f t="shared" si="17"/>
        <v>62.25</v>
      </c>
      <c r="J17" s="73">
        <f t="shared" si="17"/>
        <v>1007.15223</v>
      </c>
      <c r="K17" s="85"/>
      <c r="L17" s="73">
        <f>SUM(L18:L19)</f>
        <v>76.187775</v>
      </c>
      <c r="M17" s="85"/>
      <c r="N17" s="73">
        <f t="shared" ref="N17:O17" si="18">SUM(N18:N19)</f>
        <v>76.42284388</v>
      </c>
      <c r="O17" s="73">
        <f t="shared" si="18"/>
        <v>1235.465546</v>
      </c>
      <c r="P17" s="5"/>
    </row>
    <row r="18">
      <c r="A18" s="74">
        <v>46025.0</v>
      </c>
      <c r="B18" s="75" t="s">
        <v>47</v>
      </c>
      <c r="C18" s="76">
        <v>270213.0</v>
      </c>
      <c r="D18" s="77" t="s">
        <v>64</v>
      </c>
      <c r="E18" s="78" t="s">
        <v>49</v>
      </c>
      <c r="F18" s="79">
        <v>3.4579</v>
      </c>
      <c r="G18" s="80">
        <v>2.7</v>
      </c>
      <c r="H18" s="80">
        <v>21.0</v>
      </c>
      <c r="I18" s="80">
        <f t="shared" ref="I18:I19" si="19">G18+H18</f>
        <v>23.7</v>
      </c>
      <c r="J18" s="80">
        <f t="shared" ref="J18:J19" si="20">I18*F18</f>
        <v>81.95223</v>
      </c>
      <c r="K18" s="81">
        <f t="shared" ref="K18:K19" si="21">$F$5</f>
        <v>0.2239</v>
      </c>
      <c r="L18" s="82">
        <f t="shared" ref="L18:L19" si="22">(1+K18)*I18</f>
        <v>29.00643</v>
      </c>
      <c r="M18" s="81">
        <f>INCC!$C$26</f>
        <v>0.004749025652</v>
      </c>
      <c r="N18" s="80">
        <f t="shared" ref="N18:N19" si="23">(1+M18)*L18</f>
        <v>29.14418228</v>
      </c>
      <c r="O18" s="80">
        <f t="shared" ref="O18:O19" si="24">N18*F18</f>
        <v>100.7776679</v>
      </c>
      <c r="P18" s="5"/>
    </row>
    <row r="19">
      <c r="A19" s="74">
        <v>46056.0</v>
      </c>
      <c r="B19" s="75" t="s">
        <v>65</v>
      </c>
      <c r="C19" s="76">
        <v>2397.0</v>
      </c>
      <c r="D19" s="77" t="s">
        <v>66</v>
      </c>
      <c r="E19" s="78" t="s">
        <v>67</v>
      </c>
      <c r="F19" s="79">
        <v>24.0</v>
      </c>
      <c r="G19" s="80">
        <v>35.5</v>
      </c>
      <c r="H19" s="80">
        <f>1.38+1.54+0.13</f>
        <v>3.05</v>
      </c>
      <c r="I19" s="80">
        <f t="shared" si="19"/>
        <v>38.55</v>
      </c>
      <c r="J19" s="80">
        <f t="shared" si="20"/>
        <v>925.2</v>
      </c>
      <c r="K19" s="81">
        <f t="shared" si="21"/>
        <v>0.2239</v>
      </c>
      <c r="L19" s="82">
        <f t="shared" si="22"/>
        <v>47.181345</v>
      </c>
      <c r="M19" s="81">
        <f>INCC!$C$29</f>
        <v>0.002062607648</v>
      </c>
      <c r="N19" s="80">
        <f t="shared" si="23"/>
        <v>47.2786616</v>
      </c>
      <c r="O19" s="80">
        <f t="shared" si="24"/>
        <v>1134.687878</v>
      </c>
      <c r="P19" s="5"/>
    </row>
    <row r="20">
      <c r="A20" s="66" t="s">
        <v>68</v>
      </c>
      <c r="B20" s="85"/>
      <c r="C20" s="85"/>
      <c r="D20" s="71" t="s">
        <v>69</v>
      </c>
      <c r="E20" s="85"/>
      <c r="F20" s="85"/>
      <c r="G20" s="73">
        <f t="shared" ref="G20:J20" si="25">SUM(G21:G40)</f>
        <v>1101.61259</v>
      </c>
      <c r="H20" s="73">
        <f t="shared" si="25"/>
        <v>178.2417487</v>
      </c>
      <c r="I20" s="73">
        <f t="shared" si="25"/>
        <v>1279.854338</v>
      </c>
      <c r="J20" s="73">
        <f t="shared" si="25"/>
        <v>7491.292342</v>
      </c>
      <c r="K20" s="85"/>
      <c r="L20" s="73">
        <f>SUM(L21:L40)</f>
        <v>1566.413725</v>
      </c>
      <c r="M20" s="85"/>
      <c r="N20" s="73">
        <f t="shared" ref="N20:O20" si="26">SUM(N21:N40)</f>
        <v>1569.105522</v>
      </c>
      <c r="O20" s="73">
        <f t="shared" si="26"/>
        <v>9197.869223</v>
      </c>
      <c r="P20" s="5"/>
    </row>
    <row r="21">
      <c r="A21" s="74">
        <v>46026.0</v>
      </c>
      <c r="B21" s="75" t="s">
        <v>47</v>
      </c>
      <c r="C21" s="76">
        <v>71231.0</v>
      </c>
      <c r="D21" s="77" t="s">
        <v>70</v>
      </c>
      <c r="E21" s="78" t="s">
        <v>71</v>
      </c>
      <c r="F21" s="79">
        <v>3.0</v>
      </c>
      <c r="G21" s="80">
        <v>9.52</v>
      </c>
      <c r="H21" s="80">
        <v>8.78</v>
      </c>
      <c r="I21" s="80">
        <f t="shared" ref="I21:I40" si="27">G21+H21</f>
        <v>18.3</v>
      </c>
      <c r="J21" s="80">
        <f t="shared" ref="J21:J40" si="28">I21*F21</f>
        <v>54.9</v>
      </c>
      <c r="K21" s="81">
        <f t="shared" ref="K21:K40" si="29">$F$5</f>
        <v>0.2239</v>
      </c>
      <c r="L21" s="82">
        <f t="shared" ref="L21:L40" si="30">(1+K21)*I21</f>
        <v>22.39737</v>
      </c>
      <c r="M21" s="81">
        <f>INCC!$C$26</f>
        <v>0.004749025652</v>
      </c>
      <c r="N21" s="80">
        <f t="shared" ref="N21:N40" si="31">(1+M21)*L21</f>
        <v>22.50373568</v>
      </c>
      <c r="O21" s="80">
        <f t="shared" ref="O21:O40" si="32">N21*F21</f>
        <v>67.51120705</v>
      </c>
      <c r="P21" s="5"/>
    </row>
    <row r="22">
      <c r="A22" s="74">
        <v>46057.0</v>
      </c>
      <c r="B22" s="75" t="s">
        <v>47</v>
      </c>
      <c r="C22" s="76">
        <v>71193.0</v>
      </c>
      <c r="D22" s="77" t="s">
        <v>72</v>
      </c>
      <c r="E22" s="78" t="s">
        <v>71</v>
      </c>
      <c r="F22" s="79">
        <v>12.0</v>
      </c>
      <c r="G22" s="80">
        <v>8.78</v>
      </c>
      <c r="H22" s="80">
        <v>2.0</v>
      </c>
      <c r="I22" s="80">
        <f t="shared" si="27"/>
        <v>10.78</v>
      </c>
      <c r="J22" s="80">
        <f t="shared" si="28"/>
        <v>129.36</v>
      </c>
      <c r="K22" s="81">
        <f t="shared" si="29"/>
        <v>0.2239</v>
      </c>
      <c r="L22" s="82">
        <f t="shared" si="30"/>
        <v>13.193642</v>
      </c>
      <c r="M22" s="81">
        <f>INCC!$C$26</f>
        <v>0.004749025652</v>
      </c>
      <c r="N22" s="80">
        <f t="shared" si="31"/>
        <v>13.25629894</v>
      </c>
      <c r="O22" s="80">
        <f t="shared" si="32"/>
        <v>159.0755873</v>
      </c>
      <c r="P22" s="5"/>
    </row>
    <row r="23">
      <c r="A23" s="74">
        <v>46085.0</v>
      </c>
      <c r="B23" s="75" t="s">
        <v>47</v>
      </c>
      <c r="C23" s="76">
        <v>70371.0</v>
      </c>
      <c r="D23" s="77" t="s">
        <v>73</v>
      </c>
      <c r="E23" s="78" t="s">
        <v>67</v>
      </c>
      <c r="F23" s="79">
        <v>40.0</v>
      </c>
      <c r="G23" s="80">
        <v>0.51</v>
      </c>
      <c r="H23" s="80">
        <v>1.08</v>
      </c>
      <c r="I23" s="80">
        <f t="shared" si="27"/>
        <v>1.59</v>
      </c>
      <c r="J23" s="80">
        <f t="shared" si="28"/>
        <v>63.6</v>
      </c>
      <c r="K23" s="81">
        <f t="shared" si="29"/>
        <v>0.2239</v>
      </c>
      <c r="L23" s="82">
        <f t="shared" si="30"/>
        <v>1.946001</v>
      </c>
      <c r="M23" s="81">
        <f>INCC!$C$26</f>
        <v>0.004749025652</v>
      </c>
      <c r="N23" s="80">
        <f t="shared" si="31"/>
        <v>1.955242609</v>
      </c>
      <c r="O23" s="80">
        <f t="shared" si="32"/>
        <v>78.20970435</v>
      </c>
      <c r="P23" s="5"/>
    </row>
    <row r="24">
      <c r="A24" s="74">
        <v>46116.0</v>
      </c>
      <c r="B24" s="75" t="s">
        <v>47</v>
      </c>
      <c r="C24" s="76">
        <v>71211.0</v>
      </c>
      <c r="D24" s="77" t="s">
        <v>74</v>
      </c>
      <c r="E24" s="78" t="s">
        <v>71</v>
      </c>
      <c r="F24" s="79">
        <v>40.0</v>
      </c>
      <c r="G24" s="80">
        <v>15.5</v>
      </c>
      <c r="H24" s="80">
        <v>27.6</v>
      </c>
      <c r="I24" s="80">
        <f t="shared" si="27"/>
        <v>43.1</v>
      </c>
      <c r="J24" s="80">
        <f t="shared" si="28"/>
        <v>1724</v>
      </c>
      <c r="K24" s="81">
        <f t="shared" si="29"/>
        <v>0.2239</v>
      </c>
      <c r="L24" s="82">
        <f t="shared" si="30"/>
        <v>52.75009</v>
      </c>
      <c r="M24" s="81">
        <f>INCC!$C$26</f>
        <v>0.004749025652</v>
      </c>
      <c r="N24" s="80">
        <f t="shared" si="31"/>
        <v>53.00060153</v>
      </c>
      <c r="O24" s="80">
        <f t="shared" si="32"/>
        <v>2120.024061</v>
      </c>
      <c r="P24" s="5"/>
    </row>
    <row r="25">
      <c r="A25" s="74">
        <v>46146.0</v>
      </c>
      <c r="B25" s="75" t="s">
        <v>47</v>
      </c>
      <c r="C25" s="76">
        <v>70932.0</v>
      </c>
      <c r="D25" s="77" t="s">
        <v>75</v>
      </c>
      <c r="E25" s="78" t="s">
        <v>67</v>
      </c>
      <c r="F25" s="79">
        <v>63.0</v>
      </c>
      <c r="G25" s="80">
        <v>1.54</v>
      </c>
      <c r="H25" s="80">
        <v>0.25</v>
      </c>
      <c r="I25" s="80">
        <f t="shared" si="27"/>
        <v>1.79</v>
      </c>
      <c r="J25" s="80">
        <f t="shared" si="28"/>
        <v>112.77</v>
      </c>
      <c r="K25" s="81">
        <f t="shared" si="29"/>
        <v>0.2239</v>
      </c>
      <c r="L25" s="82">
        <f t="shared" si="30"/>
        <v>2.190781</v>
      </c>
      <c r="M25" s="81">
        <f>INCC!$C$26</f>
        <v>0.004749025652</v>
      </c>
      <c r="N25" s="80">
        <f t="shared" si="31"/>
        <v>2.201185075</v>
      </c>
      <c r="O25" s="80">
        <f t="shared" si="32"/>
        <v>138.6746597</v>
      </c>
      <c r="P25" s="5"/>
    </row>
    <row r="26">
      <c r="A26" s="74">
        <v>46177.0</v>
      </c>
      <c r="B26" s="75" t="s">
        <v>47</v>
      </c>
      <c r="C26" s="76">
        <v>70929.0</v>
      </c>
      <c r="D26" s="77" t="s">
        <v>76</v>
      </c>
      <c r="E26" s="78" t="s">
        <v>67</v>
      </c>
      <c r="F26" s="79">
        <v>23.0</v>
      </c>
      <c r="G26" s="80">
        <v>17.57</v>
      </c>
      <c r="H26" s="80">
        <v>9.33</v>
      </c>
      <c r="I26" s="80">
        <f t="shared" si="27"/>
        <v>26.9</v>
      </c>
      <c r="J26" s="80">
        <f t="shared" si="28"/>
        <v>618.7</v>
      </c>
      <c r="K26" s="81">
        <f t="shared" si="29"/>
        <v>0.2239</v>
      </c>
      <c r="L26" s="82">
        <f t="shared" si="30"/>
        <v>32.92291</v>
      </c>
      <c r="M26" s="81">
        <f>INCC!$C$26</f>
        <v>0.004749025652</v>
      </c>
      <c r="N26" s="80">
        <f t="shared" si="31"/>
        <v>33.07926174</v>
      </c>
      <c r="O26" s="80">
        <f t="shared" si="32"/>
        <v>760.8230201</v>
      </c>
      <c r="P26" s="5"/>
    </row>
    <row r="27">
      <c r="A27" s="74">
        <v>46207.0</v>
      </c>
      <c r="B27" s="75" t="s">
        <v>47</v>
      </c>
      <c r="C27" s="76">
        <v>70930.0</v>
      </c>
      <c r="D27" s="77" t="s">
        <v>77</v>
      </c>
      <c r="E27" s="78" t="s">
        <v>67</v>
      </c>
      <c r="F27" s="79">
        <v>42.0</v>
      </c>
      <c r="G27" s="80">
        <v>4.12</v>
      </c>
      <c r="H27" s="80">
        <v>2.68</v>
      </c>
      <c r="I27" s="80">
        <f t="shared" si="27"/>
        <v>6.8</v>
      </c>
      <c r="J27" s="80">
        <f t="shared" si="28"/>
        <v>285.6</v>
      </c>
      <c r="K27" s="81">
        <f t="shared" si="29"/>
        <v>0.2239</v>
      </c>
      <c r="L27" s="82">
        <f t="shared" si="30"/>
        <v>8.32252</v>
      </c>
      <c r="M27" s="81">
        <f>INCC!$C$26</f>
        <v>0.004749025652</v>
      </c>
      <c r="N27" s="80">
        <f t="shared" si="31"/>
        <v>8.362043861</v>
      </c>
      <c r="O27" s="80">
        <f t="shared" si="32"/>
        <v>351.2058422</v>
      </c>
      <c r="P27" s="5"/>
    </row>
    <row r="28">
      <c r="A28" s="74">
        <v>46238.0</v>
      </c>
      <c r="B28" s="75" t="s">
        <v>78</v>
      </c>
      <c r="C28" s="76">
        <v>11.0</v>
      </c>
      <c r="D28" s="77" t="s">
        <v>79</v>
      </c>
      <c r="E28" s="78" t="s">
        <v>67</v>
      </c>
      <c r="F28" s="79">
        <v>17.0</v>
      </c>
      <c r="G28" s="80">
        <f>'COMP. onerado'!M72</f>
        <v>0.9519594773</v>
      </c>
      <c r="H28" s="80">
        <f>'COMP. onerado'!N72</f>
        <v>4.157249569</v>
      </c>
      <c r="I28" s="80">
        <f t="shared" si="27"/>
        <v>5.109209046</v>
      </c>
      <c r="J28" s="80">
        <f t="shared" si="28"/>
        <v>86.85655378</v>
      </c>
      <c r="K28" s="81">
        <f t="shared" si="29"/>
        <v>0.2239</v>
      </c>
      <c r="L28" s="82">
        <f t="shared" si="30"/>
        <v>6.253160951</v>
      </c>
      <c r="M28" s="89"/>
      <c r="N28" s="80">
        <f t="shared" si="31"/>
        <v>6.253160951</v>
      </c>
      <c r="O28" s="80">
        <f t="shared" si="32"/>
        <v>106.3037362</v>
      </c>
      <c r="P28" s="5"/>
    </row>
    <row r="29">
      <c r="A29" s="74">
        <v>46269.0</v>
      </c>
      <c r="B29" s="75" t="s">
        <v>78</v>
      </c>
      <c r="C29" s="76">
        <v>10.0</v>
      </c>
      <c r="D29" s="77" t="s">
        <v>80</v>
      </c>
      <c r="E29" s="78" t="s">
        <v>67</v>
      </c>
      <c r="F29" s="79">
        <v>3.0</v>
      </c>
      <c r="G29" s="90">
        <f>'COMP. onerado'!M66</f>
        <v>120.43</v>
      </c>
      <c r="H29" s="90">
        <f>'COMP. onerado'!N66</f>
        <v>4.157249569</v>
      </c>
      <c r="I29" s="80">
        <f t="shared" si="27"/>
        <v>124.5872496</v>
      </c>
      <c r="J29" s="80">
        <f t="shared" si="28"/>
        <v>373.7617487</v>
      </c>
      <c r="K29" s="81">
        <f t="shared" si="29"/>
        <v>0.2239</v>
      </c>
      <c r="L29" s="82">
        <f t="shared" si="30"/>
        <v>152.4823347</v>
      </c>
      <c r="M29" s="89"/>
      <c r="N29" s="80">
        <f t="shared" si="31"/>
        <v>152.4823347</v>
      </c>
      <c r="O29" s="80">
        <f t="shared" si="32"/>
        <v>457.4470042</v>
      </c>
      <c r="P29" s="5"/>
    </row>
    <row r="30">
      <c r="A30" s="74">
        <v>46299.0</v>
      </c>
      <c r="B30" s="75" t="s">
        <v>65</v>
      </c>
      <c r="C30" s="76">
        <v>9039.0</v>
      </c>
      <c r="D30" s="77" t="s">
        <v>81</v>
      </c>
      <c r="E30" s="78" t="s">
        <v>67</v>
      </c>
      <c r="F30" s="79">
        <f>0.4*0.4*2</f>
        <v>0.32</v>
      </c>
      <c r="G30" s="80">
        <v>392.26</v>
      </c>
      <c r="H30" s="80">
        <f>20.1+22.39+1.72</f>
        <v>44.21</v>
      </c>
      <c r="I30" s="80">
        <f t="shared" si="27"/>
        <v>436.47</v>
      </c>
      <c r="J30" s="80">
        <f t="shared" si="28"/>
        <v>139.6704</v>
      </c>
      <c r="K30" s="81">
        <f t="shared" si="29"/>
        <v>0.2239</v>
      </c>
      <c r="L30" s="82">
        <f t="shared" si="30"/>
        <v>534.195633</v>
      </c>
      <c r="M30" s="81">
        <f>INCC!$C$29</f>
        <v>0.002062607648</v>
      </c>
      <c r="N30" s="80">
        <f t="shared" si="31"/>
        <v>535.297469</v>
      </c>
      <c r="O30" s="80">
        <f t="shared" si="32"/>
        <v>171.2951901</v>
      </c>
      <c r="P30" s="5"/>
    </row>
    <row r="31">
      <c r="A31" s="74">
        <v>46330.0</v>
      </c>
      <c r="B31" s="75" t="s">
        <v>47</v>
      </c>
      <c r="C31" s="76">
        <v>70563.0</v>
      </c>
      <c r="D31" s="77" t="s">
        <v>82</v>
      </c>
      <c r="E31" s="78" t="s">
        <v>71</v>
      </c>
      <c r="F31" s="79">
        <v>180.0</v>
      </c>
      <c r="G31" s="80">
        <v>2.84</v>
      </c>
      <c r="H31" s="80">
        <v>2.33</v>
      </c>
      <c r="I31" s="80">
        <f t="shared" si="27"/>
        <v>5.17</v>
      </c>
      <c r="J31" s="80">
        <f t="shared" si="28"/>
        <v>930.6</v>
      </c>
      <c r="K31" s="81">
        <f t="shared" si="29"/>
        <v>0.2239</v>
      </c>
      <c r="L31" s="82">
        <f t="shared" si="30"/>
        <v>6.327563</v>
      </c>
      <c r="M31" s="81">
        <f>INCC!$C$26</f>
        <v>0.004749025652</v>
      </c>
      <c r="N31" s="80">
        <f t="shared" si="31"/>
        <v>6.357612759</v>
      </c>
      <c r="O31" s="80">
        <f t="shared" si="32"/>
        <v>1144.370297</v>
      </c>
      <c r="P31" s="5"/>
    </row>
    <row r="32">
      <c r="A32" s="74">
        <v>46360.0</v>
      </c>
      <c r="B32" s="75" t="s">
        <v>47</v>
      </c>
      <c r="C32" s="76">
        <v>70561.0</v>
      </c>
      <c r="D32" s="77" t="s">
        <v>83</v>
      </c>
      <c r="E32" s="78" t="s">
        <v>71</v>
      </c>
      <c r="F32" s="79">
        <v>10.0</v>
      </c>
      <c r="G32" s="80">
        <v>7.03</v>
      </c>
      <c r="H32" s="80">
        <v>9.98</v>
      </c>
      <c r="I32" s="80">
        <f t="shared" si="27"/>
        <v>17.01</v>
      </c>
      <c r="J32" s="80">
        <f t="shared" si="28"/>
        <v>170.1</v>
      </c>
      <c r="K32" s="81">
        <f t="shared" si="29"/>
        <v>0.2239</v>
      </c>
      <c r="L32" s="82">
        <f t="shared" si="30"/>
        <v>20.818539</v>
      </c>
      <c r="M32" s="81">
        <f>INCC!$C$26</f>
        <v>0.004749025652</v>
      </c>
      <c r="N32" s="80">
        <f t="shared" si="31"/>
        <v>20.91740678</v>
      </c>
      <c r="O32" s="80">
        <f t="shared" si="32"/>
        <v>209.1740678</v>
      </c>
      <c r="P32" s="5"/>
    </row>
    <row r="33">
      <c r="A33" s="91" t="s">
        <v>84</v>
      </c>
      <c r="B33" s="75" t="s">
        <v>47</v>
      </c>
      <c r="C33" s="76">
        <v>71431.0</v>
      </c>
      <c r="D33" s="77" t="s">
        <v>85</v>
      </c>
      <c r="E33" s="78" t="s">
        <v>67</v>
      </c>
      <c r="F33" s="79">
        <v>2.0</v>
      </c>
      <c r="G33" s="80">
        <v>12.02</v>
      </c>
      <c r="H33" s="80">
        <v>14.99</v>
      </c>
      <c r="I33" s="80">
        <f t="shared" si="27"/>
        <v>27.01</v>
      </c>
      <c r="J33" s="80">
        <f t="shared" si="28"/>
        <v>54.02</v>
      </c>
      <c r="K33" s="81">
        <f t="shared" si="29"/>
        <v>0.2239</v>
      </c>
      <c r="L33" s="82">
        <f t="shared" si="30"/>
        <v>33.057539</v>
      </c>
      <c r="M33" s="81">
        <f>INCC!$C$26</f>
        <v>0.004749025652</v>
      </c>
      <c r="N33" s="80">
        <f t="shared" si="31"/>
        <v>33.2145301</v>
      </c>
      <c r="O33" s="80">
        <f t="shared" si="32"/>
        <v>66.4290602</v>
      </c>
      <c r="P33" s="5"/>
    </row>
    <row r="34">
      <c r="A34" s="91" t="s">
        <v>86</v>
      </c>
      <c r="B34" s="75" t="s">
        <v>47</v>
      </c>
      <c r="C34" s="76">
        <v>72475.0</v>
      </c>
      <c r="D34" s="77" t="s">
        <v>87</v>
      </c>
      <c r="E34" s="78" t="s">
        <v>67</v>
      </c>
      <c r="F34" s="79">
        <v>2.0</v>
      </c>
      <c r="G34" s="80">
        <v>5.22</v>
      </c>
      <c r="H34" s="80">
        <v>1.54</v>
      </c>
      <c r="I34" s="80">
        <f t="shared" si="27"/>
        <v>6.76</v>
      </c>
      <c r="J34" s="80">
        <f t="shared" si="28"/>
        <v>13.52</v>
      </c>
      <c r="K34" s="81">
        <f t="shared" si="29"/>
        <v>0.2239</v>
      </c>
      <c r="L34" s="82">
        <f t="shared" si="30"/>
        <v>8.273564</v>
      </c>
      <c r="M34" s="81">
        <f>INCC!$C$26</f>
        <v>0.004749025652</v>
      </c>
      <c r="N34" s="80">
        <f t="shared" si="31"/>
        <v>8.312855368</v>
      </c>
      <c r="O34" s="80">
        <f t="shared" si="32"/>
        <v>16.62571074</v>
      </c>
      <c r="P34" s="5"/>
    </row>
    <row r="35">
      <c r="A35" s="91" t="s">
        <v>88</v>
      </c>
      <c r="B35" s="75" t="s">
        <v>47</v>
      </c>
      <c r="C35" s="76">
        <v>72395.0</v>
      </c>
      <c r="D35" s="77" t="s">
        <v>89</v>
      </c>
      <c r="E35" s="78" t="s">
        <v>67</v>
      </c>
      <c r="F35" s="79">
        <v>3.0</v>
      </c>
      <c r="G35" s="80">
        <v>4.28</v>
      </c>
      <c r="H35" s="80">
        <v>1.54</v>
      </c>
      <c r="I35" s="80">
        <f t="shared" si="27"/>
        <v>5.82</v>
      </c>
      <c r="J35" s="80">
        <f t="shared" si="28"/>
        <v>17.46</v>
      </c>
      <c r="K35" s="81">
        <f t="shared" si="29"/>
        <v>0.2239</v>
      </c>
      <c r="L35" s="82">
        <f t="shared" si="30"/>
        <v>7.123098</v>
      </c>
      <c r="M35" s="81">
        <f>INCC!$C$26</f>
        <v>0.004749025652</v>
      </c>
      <c r="N35" s="80">
        <f t="shared" si="31"/>
        <v>7.156925775</v>
      </c>
      <c r="O35" s="80">
        <f t="shared" si="32"/>
        <v>21.47077733</v>
      </c>
      <c r="P35" s="5"/>
    </row>
    <row r="36">
      <c r="A36" s="91" t="s">
        <v>90</v>
      </c>
      <c r="B36" s="75" t="s">
        <v>47</v>
      </c>
      <c r="C36" s="76">
        <v>72397.0</v>
      </c>
      <c r="D36" s="77" t="s">
        <v>91</v>
      </c>
      <c r="E36" s="78" t="s">
        <v>67</v>
      </c>
      <c r="F36" s="79">
        <v>18.0</v>
      </c>
      <c r="G36" s="80">
        <v>4.55</v>
      </c>
      <c r="H36" s="80">
        <v>1.54</v>
      </c>
      <c r="I36" s="80">
        <f t="shared" si="27"/>
        <v>6.09</v>
      </c>
      <c r="J36" s="80">
        <f t="shared" si="28"/>
        <v>109.62</v>
      </c>
      <c r="K36" s="81">
        <f t="shared" si="29"/>
        <v>0.2239</v>
      </c>
      <c r="L36" s="82">
        <f t="shared" si="30"/>
        <v>7.453551</v>
      </c>
      <c r="M36" s="81">
        <f>INCC!$C$26</f>
        <v>0.004749025652</v>
      </c>
      <c r="N36" s="80">
        <f t="shared" si="31"/>
        <v>7.488948105</v>
      </c>
      <c r="O36" s="80">
        <f t="shared" si="32"/>
        <v>134.8010659</v>
      </c>
      <c r="P36" s="5"/>
    </row>
    <row r="37">
      <c r="A37" s="91" t="s">
        <v>92</v>
      </c>
      <c r="B37" s="75" t="s">
        <v>47</v>
      </c>
      <c r="C37" s="76">
        <v>71171.0</v>
      </c>
      <c r="D37" s="77" t="s">
        <v>93</v>
      </c>
      <c r="E37" s="78" t="s">
        <v>67</v>
      </c>
      <c r="F37" s="79">
        <v>1.0</v>
      </c>
      <c r="G37" s="80">
        <v>11.26</v>
      </c>
      <c r="H37" s="80">
        <v>15.5</v>
      </c>
      <c r="I37" s="80">
        <f t="shared" si="27"/>
        <v>26.76</v>
      </c>
      <c r="J37" s="80">
        <f t="shared" si="28"/>
        <v>26.76</v>
      </c>
      <c r="K37" s="81">
        <f t="shared" si="29"/>
        <v>0.2239</v>
      </c>
      <c r="L37" s="82">
        <f t="shared" si="30"/>
        <v>32.751564</v>
      </c>
      <c r="M37" s="81">
        <f>INCC!$C$26</f>
        <v>0.004749025652</v>
      </c>
      <c r="N37" s="80">
        <f t="shared" si="31"/>
        <v>32.90710202</v>
      </c>
      <c r="O37" s="80">
        <f t="shared" si="32"/>
        <v>32.90710202</v>
      </c>
      <c r="P37" s="5"/>
    </row>
    <row r="38">
      <c r="A38" s="91" t="s">
        <v>94</v>
      </c>
      <c r="B38" s="75" t="s">
        <v>65</v>
      </c>
      <c r="C38" s="76">
        <v>14072.0</v>
      </c>
      <c r="D38" s="77" t="s">
        <v>95</v>
      </c>
      <c r="E38" s="78" t="s">
        <v>71</v>
      </c>
      <c r="F38" s="79">
        <v>30.0</v>
      </c>
      <c r="G38" s="90">
        <v>10.99</v>
      </c>
      <c r="H38" s="90">
        <f>8.28+9.23+0.69</f>
        <v>18.2</v>
      </c>
      <c r="I38" s="80">
        <f t="shared" si="27"/>
        <v>29.19</v>
      </c>
      <c r="J38" s="80">
        <f t="shared" si="28"/>
        <v>875.7</v>
      </c>
      <c r="K38" s="81">
        <f t="shared" si="29"/>
        <v>0.2239</v>
      </c>
      <c r="L38" s="82">
        <f t="shared" si="30"/>
        <v>35.725641</v>
      </c>
      <c r="M38" s="81">
        <f>INCC!$C$29</f>
        <v>0.002062607648</v>
      </c>
      <c r="N38" s="80">
        <f t="shared" si="31"/>
        <v>35.79932898</v>
      </c>
      <c r="O38" s="80">
        <f t="shared" si="32"/>
        <v>1073.979869</v>
      </c>
      <c r="P38" s="5"/>
    </row>
    <row r="39">
      <c r="A39" s="91" t="s">
        <v>96</v>
      </c>
      <c r="B39" s="75" t="s">
        <v>65</v>
      </c>
      <c r="C39" s="75" t="s">
        <v>97</v>
      </c>
      <c r="D39" s="77" t="s">
        <v>98</v>
      </c>
      <c r="E39" s="78" t="s">
        <v>67</v>
      </c>
      <c r="F39" s="79">
        <v>5.0</v>
      </c>
      <c r="G39" s="80">
        <v>127.0</v>
      </c>
      <c r="H39" s="80">
        <f>1.93+2.16+0.13</f>
        <v>4.22</v>
      </c>
      <c r="I39" s="80">
        <f t="shared" si="27"/>
        <v>131.22</v>
      </c>
      <c r="J39" s="80">
        <f t="shared" si="28"/>
        <v>656.1</v>
      </c>
      <c r="K39" s="81">
        <f t="shared" si="29"/>
        <v>0.2239</v>
      </c>
      <c r="L39" s="82">
        <f t="shared" si="30"/>
        <v>160.600158</v>
      </c>
      <c r="M39" s="81">
        <f>INCC!$C$29</f>
        <v>0.002062607648</v>
      </c>
      <c r="N39" s="80">
        <f t="shared" si="31"/>
        <v>160.9314131</v>
      </c>
      <c r="O39" s="80">
        <f t="shared" si="32"/>
        <v>804.6570656</v>
      </c>
      <c r="P39" s="5"/>
    </row>
    <row r="40">
      <c r="A40" s="91" t="s">
        <v>99</v>
      </c>
      <c r="B40" s="75" t="s">
        <v>100</v>
      </c>
      <c r="C40" s="76">
        <v>12.0</v>
      </c>
      <c r="D40" s="77" t="s">
        <v>101</v>
      </c>
      <c r="E40" s="78" t="s">
        <v>67</v>
      </c>
      <c r="F40" s="79">
        <v>3.0</v>
      </c>
      <c r="G40" s="80">
        <f>'COMP. onerado'!M78</f>
        <v>345.2406302</v>
      </c>
      <c r="H40" s="80">
        <f>'COMP. onerado'!N78</f>
        <v>4.157249569</v>
      </c>
      <c r="I40" s="80">
        <f t="shared" si="27"/>
        <v>349.3978798</v>
      </c>
      <c r="J40" s="80">
        <f t="shared" si="28"/>
        <v>1048.193639</v>
      </c>
      <c r="K40" s="81">
        <f t="shared" si="29"/>
        <v>0.2239</v>
      </c>
      <c r="L40" s="82">
        <f t="shared" si="30"/>
        <v>427.6280651</v>
      </c>
      <c r="M40" s="89"/>
      <c r="N40" s="80">
        <f t="shared" si="31"/>
        <v>427.6280651</v>
      </c>
      <c r="O40" s="80">
        <f t="shared" si="32"/>
        <v>1282.884195</v>
      </c>
      <c r="P40" s="5"/>
    </row>
    <row r="41">
      <c r="A41" s="66" t="s">
        <v>102</v>
      </c>
      <c r="B41" s="85"/>
      <c r="C41" s="85"/>
      <c r="D41" s="71" t="s">
        <v>103</v>
      </c>
      <c r="E41" s="85"/>
      <c r="F41" s="85"/>
      <c r="G41" s="73">
        <f t="shared" ref="G41:J41" si="33">SUM(G42:G50)</f>
        <v>1598.728037</v>
      </c>
      <c r="H41" s="73">
        <f t="shared" si="33"/>
        <v>200.119784</v>
      </c>
      <c r="I41" s="73">
        <f t="shared" si="33"/>
        <v>1798.847821</v>
      </c>
      <c r="J41" s="73">
        <f t="shared" si="33"/>
        <v>12082.91028</v>
      </c>
      <c r="K41" s="85"/>
      <c r="L41" s="73">
        <f>SUM(L42:L50)</f>
        <v>2201.609848</v>
      </c>
      <c r="M41" s="85"/>
      <c r="N41" s="73">
        <f t="shared" ref="N41:O41" si="34">SUM(N42:N50)</f>
        <v>2206.114224</v>
      </c>
      <c r="O41" s="73">
        <f t="shared" si="34"/>
        <v>14797.42657</v>
      </c>
      <c r="P41" s="5"/>
    </row>
    <row r="42">
      <c r="A42" s="74">
        <v>46027.0</v>
      </c>
      <c r="B42" s="75" t="s">
        <v>65</v>
      </c>
      <c r="C42" s="76">
        <v>10816.0</v>
      </c>
      <c r="D42" s="77" t="s">
        <v>104</v>
      </c>
      <c r="E42" s="78" t="s">
        <v>60</v>
      </c>
      <c r="F42" s="79">
        <f>'MEM. CÁLC'!D52</f>
        <v>1</v>
      </c>
      <c r="G42" s="80">
        <v>1390.33</v>
      </c>
      <c r="H42" s="80">
        <f>1.03+1.16+0.11</f>
        <v>2.3</v>
      </c>
      <c r="I42" s="80">
        <f t="shared" ref="I42:I50" si="35">G42+H42</f>
        <v>1392.63</v>
      </c>
      <c r="J42" s="80">
        <f t="shared" ref="J42:J50" si="36">I42*F42</f>
        <v>1392.63</v>
      </c>
      <c r="K42" s="81">
        <f t="shared" ref="K42:K50" si="37">$F$5</f>
        <v>0.2239</v>
      </c>
      <c r="L42" s="82">
        <f t="shared" ref="L42:L50" si="38">(1+K42)*I42</f>
        <v>1704.439857</v>
      </c>
      <c r="M42" s="81">
        <f>INCC!$C$29</f>
        <v>0.002062607648</v>
      </c>
      <c r="N42" s="80">
        <f t="shared" ref="N42:N50" si="39">(1+M42)*L42</f>
        <v>1707.955448</v>
      </c>
      <c r="O42" s="80">
        <f t="shared" ref="O42:O50" si="40">N42*F42</f>
        <v>1707.955448</v>
      </c>
      <c r="P42" s="5"/>
    </row>
    <row r="43">
      <c r="A43" s="74">
        <v>46058.0</v>
      </c>
      <c r="B43" s="75" t="s">
        <v>65</v>
      </c>
      <c r="C43" s="76">
        <v>11912.0</v>
      </c>
      <c r="D43" s="77" t="s">
        <v>105</v>
      </c>
      <c r="E43" s="78" t="s">
        <v>71</v>
      </c>
      <c r="F43" s="79">
        <f>'MEM. CÁLC'!D53</f>
        <v>47.75</v>
      </c>
      <c r="G43" s="80">
        <v>1.8</v>
      </c>
      <c r="H43" s="80">
        <f>10+1.01+1.13+0.08</f>
        <v>12.22</v>
      </c>
      <c r="I43" s="80">
        <f t="shared" si="35"/>
        <v>14.02</v>
      </c>
      <c r="J43" s="80">
        <f t="shared" si="36"/>
        <v>669.455</v>
      </c>
      <c r="K43" s="81">
        <f t="shared" si="37"/>
        <v>0.2239</v>
      </c>
      <c r="L43" s="82">
        <f t="shared" si="38"/>
        <v>17.159078</v>
      </c>
      <c r="M43" s="81">
        <f>INCC!$C$29</f>
        <v>0.002062607648</v>
      </c>
      <c r="N43" s="80">
        <f t="shared" si="39"/>
        <v>17.19447045</v>
      </c>
      <c r="O43" s="80">
        <f t="shared" si="40"/>
        <v>821.0359638</v>
      </c>
      <c r="P43" s="5"/>
    </row>
    <row r="44">
      <c r="A44" s="74">
        <v>46086.0</v>
      </c>
      <c r="B44" s="75" t="s">
        <v>47</v>
      </c>
      <c r="C44" s="76">
        <v>82302.0</v>
      </c>
      <c r="D44" s="77" t="s">
        <v>106</v>
      </c>
      <c r="E44" s="78" t="s">
        <v>71</v>
      </c>
      <c r="F44" s="79">
        <f>'MEM. CÁLC'!D54</f>
        <v>7.1</v>
      </c>
      <c r="G44" s="80">
        <v>9.0</v>
      </c>
      <c r="H44" s="80">
        <v>15.59</v>
      </c>
      <c r="I44" s="80">
        <f t="shared" si="35"/>
        <v>24.59</v>
      </c>
      <c r="J44" s="80">
        <f t="shared" si="36"/>
        <v>174.589</v>
      </c>
      <c r="K44" s="81">
        <f t="shared" si="37"/>
        <v>0.2239</v>
      </c>
      <c r="L44" s="82">
        <f t="shared" si="38"/>
        <v>30.095701</v>
      </c>
      <c r="M44" s="81">
        <f>INCC!$C$26</f>
        <v>0.004749025652</v>
      </c>
      <c r="N44" s="80">
        <f t="shared" si="39"/>
        <v>30.23862626</v>
      </c>
      <c r="O44" s="80">
        <f t="shared" si="40"/>
        <v>214.6942464</v>
      </c>
      <c r="P44" s="5"/>
    </row>
    <row r="45">
      <c r="A45" s="74">
        <v>46117.0</v>
      </c>
      <c r="B45" s="75" t="s">
        <v>47</v>
      </c>
      <c r="C45" s="76">
        <v>20109.0</v>
      </c>
      <c r="D45" s="77" t="s">
        <v>107</v>
      </c>
      <c r="E45" s="78" t="s">
        <v>49</v>
      </c>
      <c r="F45" s="79">
        <f>'MEM. CÁLC'!D55</f>
        <v>0.56</v>
      </c>
      <c r="G45" s="80">
        <v>0.0</v>
      </c>
      <c r="H45" s="80">
        <v>21.15</v>
      </c>
      <c r="I45" s="80">
        <f t="shared" si="35"/>
        <v>21.15</v>
      </c>
      <c r="J45" s="80">
        <f t="shared" si="36"/>
        <v>11.844</v>
      </c>
      <c r="K45" s="81">
        <f t="shared" si="37"/>
        <v>0.2239</v>
      </c>
      <c r="L45" s="82">
        <f t="shared" si="38"/>
        <v>25.885485</v>
      </c>
      <c r="M45" s="81">
        <f>INCC!$C$26</f>
        <v>0.004749025652</v>
      </c>
      <c r="N45" s="80">
        <f t="shared" si="39"/>
        <v>26.00841583</v>
      </c>
      <c r="O45" s="80">
        <f t="shared" si="40"/>
        <v>14.56471287</v>
      </c>
      <c r="P45" s="5"/>
    </row>
    <row r="46">
      <c r="A46" s="74">
        <v>46147.0</v>
      </c>
      <c r="B46" s="75" t="s">
        <v>47</v>
      </c>
      <c r="C46" s="76">
        <v>40101.0</v>
      </c>
      <c r="D46" s="77" t="s">
        <v>108</v>
      </c>
      <c r="E46" s="78" t="s">
        <v>58</v>
      </c>
      <c r="F46" s="79">
        <f>'MEM. CÁLC'!D56</f>
        <v>2.55</v>
      </c>
      <c r="G46" s="80">
        <v>0.0</v>
      </c>
      <c r="H46" s="80">
        <v>52.16</v>
      </c>
      <c r="I46" s="80">
        <f t="shared" si="35"/>
        <v>52.16</v>
      </c>
      <c r="J46" s="80">
        <f t="shared" si="36"/>
        <v>133.008</v>
      </c>
      <c r="K46" s="81">
        <f t="shared" si="37"/>
        <v>0.2239</v>
      </c>
      <c r="L46" s="82">
        <f t="shared" si="38"/>
        <v>63.838624</v>
      </c>
      <c r="M46" s="81">
        <f>INCC!$C$26</f>
        <v>0.004749025652</v>
      </c>
      <c r="N46" s="80">
        <f t="shared" si="39"/>
        <v>64.14179526</v>
      </c>
      <c r="O46" s="80">
        <f t="shared" si="40"/>
        <v>163.5615779</v>
      </c>
      <c r="P46" s="5"/>
    </row>
    <row r="47">
      <c r="A47" s="74">
        <v>46178.0</v>
      </c>
      <c r="B47" s="75" t="s">
        <v>47</v>
      </c>
      <c r="C47" s="76">
        <v>40902.0</v>
      </c>
      <c r="D47" s="77" t="s">
        <v>109</v>
      </c>
      <c r="E47" s="78" t="s">
        <v>58</v>
      </c>
      <c r="F47" s="79">
        <f>'MEM. CÁLC'!D57</f>
        <v>2.13</v>
      </c>
      <c r="G47" s="80">
        <v>0.0</v>
      </c>
      <c r="H47" s="80">
        <v>34.56</v>
      </c>
      <c r="I47" s="80">
        <f t="shared" si="35"/>
        <v>34.56</v>
      </c>
      <c r="J47" s="80">
        <f t="shared" si="36"/>
        <v>73.6128</v>
      </c>
      <c r="K47" s="81">
        <f t="shared" si="37"/>
        <v>0.2239</v>
      </c>
      <c r="L47" s="82">
        <f t="shared" si="38"/>
        <v>42.297984</v>
      </c>
      <c r="M47" s="81">
        <f>INCC!$C$26</f>
        <v>0.004749025652</v>
      </c>
      <c r="N47" s="80">
        <f t="shared" si="39"/>
        <v>42.49885821</v>
      </c>
      <c r="O47" s="80">
        <f t="shared" si="40"/>
        <v>90.52256799</v>
      </c>
      <c r="P47" s="5"/>
    </row>
    <row r="48">
      <c r="A48" s="74">
        <v>46208.0</v>
      </c>
      <c r="B48" s="75" t="s">
        <v>47</v>
      </c>
      <c r="C48" s="76">
        <v>20109.0</v>
      </c>
      <c r="D48" s="77" t="s">
        <v>107</v>
      </c>
      <c r="E48" s="78" t="s">
        <v>49</v>
      </c>
      <c r="F48" s="79">
        <f>'MEM. CÁLC'!D58</f>
        <v>5.1</v>
      </c>
      <c r="G48" s="80">
        <v>0.0</v>
      </c>
      <c r="H48" s="80">
        <v>21.15</v>
      </c>
      <c r="I48" s="80">
        <f t="shared" si="35"/>
        <v>21.15</v>
      </c>
      <c r="J48" s="80">
        <f t="shared" si="36"/>
        <v>107.865</v>
      </c>
      <c r="K48" s="81">
        <f t="shared" si="37"/>
        <v>0.2239</v>
      </c>
      <c r="L48" s="82">
        <f t="shared" si="38"/>
        <v>25.885485</v>
      </c>
      <c r="M48" s="81">
        <f>INCC!$C$26</f>
        <v>0.004749025652</v>
      </c>
      <c r="N48" s="80">
        <f t="shared" si="39"/>
        <v>26.00841583</v>
      </c>
      <c r="O48" s="80">
        <f t="shared" si="40"/>
        <v>132.6429207</v>
      </c>
      <c r="P48" s="5"/>
    </row>
    <row r="49">
      <c r="A49" s="74">
        <v>46239.0</v>
      </c>
      <c r="B49" s="75" t="s">
        <v>100</v>
      </c>
      <c r="C49" s="76">
        <f>'COMP. onerado'!A30</f>
        <v>4</v>
      </c>
      <c r="D49" s="77" t="str">
        <f>'MEM. CÁLC'!B59</f>
        <v>Tubo retângular em aço galvanizado 70x30, branco ( Descidas água pluvial)</v>
      </c>
      <c r="E49" s="78" t="s">
        <v>71</v>
      </c>
      <c r="F49" s="79">
        <f>'MEM. CÁLC'!D59</f>
        <v>42.45</v>
      </c>
      <c r="G49" s="80">
        <f>'COMP. onerado'!M30</f>
        <v>177.2380365</v>
      </c>
      <c r="H49" s="80">
        <f>'COMP. onerado'!N30</f>
        <v>37.35978397</v>
      </c>
      <c r="I49" s="80">
        <f t="shared" si="35"/>
        <v>214.5978205</v>
      </c>
      <c r="J49" s="80">
        <f t="shared" si="36"/>
        <v>9109.677481</v>
      </c>
      <c r="K49" s="81">
        <f t="shared" si="37"/>
        <v>0.2239</v>
      </c>
      <c r="L49" s="82">
        <f t="shared" si="38"/>
        <v>262.6462725</v>
      </c>
      <c r="M49" s="81"/>
      <c r="N49" s="80">
        <f t="shared" si="39"/>
        <v>262.6462725</v>
      </c>
      <c r="O49" s="80">
        <f t="shared" si="40"/>
        <v>11149.33427</v>
      </c>
      <c r="P49" s="5"/>
    </row>
    <row r="50">
      <c r="A50" s="74">
        <v>46270.0</v>
      </c>
      <c r="B50" s="75" t="s">
        <v>65</v>
      </c>
      <c r="C50" s="76">
        <v>2489.0</v>
      </c>
      <c r="D50" s="92" t="s">
        <v>110</v>
      </c>
      <c r="E50" s="78" t="s">
        <v>71</v>
      </c>
      <c r="F50" s="79">
        <f>'MEM. CÁLC'!D60</f>
        <v>17.1</v>
      </c>
      <c r="G50" s="80">
        <v>20.36</v>
      </c>
      <c r="H50" s="80">
        <f>1.66+1.84+0.13</f>
        <v>3.63</v>
      </c>
      <c r="I50" s="80">
        <f t="shared" si="35"/>
        <v>23.99</v>
      </c>
      <c r="J50" s="80">
        <f t="shared" si="36"/>
        <v>410.229</v>
      </c>
      <c r="K50" s="81">
        <f t="shared" si="37"/>
        <v>0.2239</v>
      </c>
      <c r="L50" s="82">
        <f t="shared" si="38"/>
        <v>29.361361</v>
      </c>
      <c r="M50" s="81">
        <f>INCC!$C$29</f>
        <v>0.002062607648</v>
      </c>
      <c r="N50" s="80">
        <f t="shared" si="39"/>
        <v>29.42192197</v>
      </c>
      <c r="O50" s="80">
        <f t="shared" si="40"/>
        <v>503.1148656</v>
      </c>
      <c r="P50" s="5"/>
    </row>
    <row r="51">
      <c r="A51" s="66" t="s">
        <v>111</v>
      </c>
      <c r="B51" s="85"/>
      <c r="C51" s="85"/>
      <c r="D51" s="71" t="s">
        <v>112</v>
      </c>
      <c r="E51" s="85"/>
      <c r="F51" s="85"/>
      <c r="G51" s="73">
        <f t="shared" ref="G51:J51" si="41">SUM(G52:G55)</f>
        <v>297.96</v>
      </c>
      <c r="H51" s="73">
        <f t="shared" si="41"/>
        <v>225.3</v>
      </c>
      <c r="I51" s="73">
        <f t="shared" si="41"/>
        <v>523.26</v>
      </c>
      <c r="J51" s="73">
        <f t="shared" si="41"/>
        <v>4316.906769</v>
      </c>
      <c r="K51" s="85"/>
      <c r="L51" s="73">
        <f>SUM(L52:L55)</f>
        <v>640.417914</v>
      </c>
      <c r="M51" s="85"/>
      <c r="N51" s="73">
        <f t="shared" ref="N51:O51" si="42">SUM(N52:N55)</f>
        <v>642.3879764</v>
      </c>
      <c r="O51" s="73">
        <f t="shared" si="42"/>
        <v>5300.257355</v>
      </c>
      <c r="P51" s="5"/>
    </row>
    <row r="52">
      <c r="A52" s="74">
        <v>46028.0</v>
      </c>
      <c r="B52" s="75" t="s">
        <v>65</v>
      </c>
      <c r="C52" s="76">
        <v>13899.0</v>
      </c>
      <c r="D52" s="77" t="s">
        <v>113</v>
      </c>
      <c r="E52" s="78" t="s">
        <v>49</v>
      </c>
      <c r="F52" s="79">
        <f>'MEM. CÁLC'!D64</f>
        <v>7.744</v>
      </c>
      <c r="G52" s="80">
        <v>185.36</v>
      </c>
      <c r="H52" s="80">
        <f>63.88+71.13+5.42+0.04</f>
        <v>140.47</v>
      </c>
      <c r="I52" s="80">
        <f t="shared" ref="I52:I55" si="43">G52+H52</f>
        <v>325.83</v>
      </c>
      <c r="J52" s="80">
        <f t="shared" ref="J52:J55" si="44">I52*F52</f>
        <v>2523.22752</v>
      </c>
      <c r="K52" s="81">
        <f t="shared" ref="K52:K55" si="45">$F$5</f>
        <v>0.2239</v>
      </c>
      <c r="L52" s="82">
        <f t="shared" ref="L52:L55" si="46">(1+K52)*I52</f>
        <v>398.783337</v>
      </c>
      <c r="M52" s="81">
        <f>INCC!$C$29</f>
        <v>0.002062607648</v>
      </c>
      <c r="N52" s="80">
        <f t="shared" ref="N52:N55" si="47">(1+M52)*L52</f>
        <v>399.6058706</v>
      </c>
      <c r="O52" s="80">
        <f t="shared" ref="O52:O55" si="48">N52*F52</f>
        <v>3094.547862</v>
      </c>
      <c r="P52" s="5"/>
    </row>
    <row r="53">
      <c r="A53" s="74">
        <v>46059.0</v>
      </c>
      <c r="B53" s="75" t="s">
        <v>47</v>
      </c>
      <c r="C53" s="76">
        <v>120901.0</v>
      </c>
      <c r="D53" s="77" t="s">
        <v>114</v>
      </c>
      <c r="E53" s="78" t="s">
        <v>49</v>
      </c>
      <c r="F53" s="79">
        <f>'MEM. CÁLC'!D65</f>
        <v>10.0419</v>
      </c>
      <c r="G53" s="80">
        <v>96.8</v>
      </c>
      <c r="H53" s="80">
        <v>46.03</v>
      </c>
      <c r="I53" s="80">
        <f t="shared" si="43"/>
        <v>142.83</v>
      </c>
      <c r="J53" s="80">
        <f t="shared" si="44"/>
        <v>1434.284577</v>
      </c>
      <c r="K53" s="81">
        <f t="shared" si="45"/>
        <v>0.2239</v>
      </c>
      <c r="L53" s="82">
        <f t="shared" si="46"/>
        <v>174.809637</v>
      </c>
      <c r="M53" s="81">
        <f>INCC!$C$26</f>
        <v>0.004749025652</v>
      </c>
      <c r="N53" s="80">
        <f t="shared" si="47"/>
        <v>175.6398125</v>
      </c>
      <c r="O53" s="80">
        <f t="shared" si="48"/>
        <v>1763.757433</v>
      </c>
      <c r="P53" s="5"/>
    </row>
    <row r="54">
      <c r="A54" s="74">
        <v>46087.0</v>
      </c>
      <c r="B54" s="75" t="s">
        <v>47</v>
      </c>
      <c r="C54" s="76">
        <v>200506.0</v>
      </c>
      <c r="D54" s="77" t="s">
        <v>115</v>
      </c>
      <c r="E54" s="78" t="s">
        <v>49</v>
      </c>
      <c r="F54" s="79">
        <f>'MEM. CÁLC'!D66</f>
        <v>6.58232</v>
      </c>
      <c r="G54" s="80">
        <v>6.97</v>
      </c>
      <c r="H54" s="80">
        <v>12.07</v>
      </c>
      <c r="I54" s="80">
        <f t="shared" si="43"/>
        <v>19.04</v>
      </c>
      <c r="J54" s="80">
        <f t="shared" si="44"/>
        <v>125.3273728</v>
      </c>
      <c r="K54" s="81">
        <f t="shared" si="45"/>
        <v>0.2239</v>
      </c>
      <c r="L54" s="82">
        <f t="shared" si="46"/>
        <v>23.303056</v>
      </c>
      <c r="M54" s="81">
        <f>INCC!$C$26</f>
        <v>0.004749025652</v>
      </c>
      <c r="N54" s="80">
        <f t="shared" si="47"/>
        <v>23.41372281</v>
      </c>
      <c r="O54" s="80">
        <f t="shared" si="48"/>
        <v>154.1166159</v>
      </c>
      <c r="P54" s="5"/>
    </row>
    <row r="55">
      <c r="A55" s="74">
        <v>46118.0</v>
      </c>
      <c r="B55" s="75" t="s">
        <v>47</v>
      </c>
      <c r="C55" s="76">
        <v>200499.0</v>
      </c>
      <c r="D55" s="77" t="s">
        <v>116</v>
      </c>
      <c r="E55" s="78" t="s">
        <v>49</v>
      </c>
      <c r="F55" s="79">
        <f>'MEM. CÁLC'!D67</f>
        <v>6.58232</v>
      </c>
      <c r="G55" s="80">
        <v>8.83</v>
      </c>
      <c r="H55" s="80">
        <v>26.73</v>
      </c>
      <c r="I55" s="80">
        <f t="shared" si="43"/>
        <v>35.56</v>
      </c>
      <c r="J55" s="80">
        <f t="shared" si="44"/>
        <v>234.0672992</v>
      </c>
      <c r="K55" s="81">
        <f t="shared" si="45"/>
        <v>0.2239</v>
      </c>
      <c r="L55" s="82">
        <f t="shared" si="46"/>
        <v>43.521884</v>
      </c>
      <c r="M55" s="81">
        <f>INCC!$C$26</f>
        <v>0.004749025652</v>
      </c>
      <c r="N55" s="80">
        <f t="shared" si="47"/>
        <v>43.72857054</v>
      </c>
      <c r="O55" s="80">
        <f t="shared" si="48"/>
        <v>287.8354445</v>
      </c>
      <c r="P55" s="5"/>
    </row>
    <row r="56">
      <c r="A56" s="66" t="s">
        <v>117</v>
      </c>
      <c r="B56" s="85"/>
      <c r="C56" s="85"/>
      <c r="D56" s="71" t="s">
        <v>118</v>
      </c>
      <c r="E56" s="85"/>
      <c r="F56" s="85"/>
      <c r="G56" s="73">
        <f t="shared" ref="G56:J56" si="49">SUM(G57:G58)</f>
        <v>26.57</v>
      </c>
      <c r="H56" s="73">
        <f t="shared" si="49"/>
        <v>5.34</v>
      </c>
      <c r="I56" s="73">
        <f t="shared" si="49"/>
        <v>31.91</v>
      </c>
      <c r="J56" s="73">
        <f t="shared" si="49"/>
        <v>43546.106</v>
      </c>
      <c r="K56" s="85"/>
      <c r="L56" s="73">
        <f>SUM(L57:L58)</f>
        <v>39.054649</v>
      </c>
      <c r="M56" s="85"/>
      <c r="N56" s="73">
        <f t="shared" ref="N56:O56" si="50">SUM(N57:N58)</f>
        <v>39.24012053</v>
      </c>
      <c r="O56" s="73">
        <f t="shared" si="50"/>
        <v>53549.18358</v>
      </c>
      <c r="P56" s="5"/>
    </row>
    <row r="57">
      <c r="A57" s="74">
        <v>46029.0</v>
      </c>
      <c r="B57" s="75" t="s">
        <v>47</v>
      </c>
      <c r="C57" s="76">
        <v>150204.0</v>
      </c>
      <c r="D57" s="77" t="s">
        <v>119</v>
      </c>
      <c r="E57" s="78" t="s">
        <v>120</v>
      </c>
      <c r="F57" s="79">
        <v>2256.6</v>
      </c>
      <c r="G57" s="80">
        <v>17.91</v>
      </c>
      <c r="H57" s="80">
        <v>0.0</v>
      </c>
      <c r="I57" s="80">
        <f t="shared" ref="I57:I58" si="51">G57+H57</f>
        <v>17.91</v>
      </c>
      <c r="J57" s="80">
        <f t="shared" ref="J57:J58" si="52">I57*F57</f>
        <v>40415.706</v>
      </c>
      <c r="K57" s="81">
        <f t="shared" ref="K57:K58" si="53">$F$5</f>
        <v>0.2239</v>
      </c>
      <c r="L57" s="82">
        <f t="shared" ref="L57:L58" si="54">(1+K57)*I57</f>
        <v>21.920049</v>
      </c>
      <c r="M57" s="81">
        <f>INCC!$C$26</f>
        <v>0.004749025652</v>
      </c>
      <c r="N57" s="80">
        <f t="shared" ref="N57:N58" si="55">(1+M57)*L57</f>
        <v>22.02414787</v>
      </c>
      <c r="O57" s="80">
        <f t="shared" ref="O57:O58" si="56">N57*F57</f>
        <v>49699.69209</v>
      </c>
      <c r="P57" s="5"/>
    </row>
    <row r="58">
      <c r="A58" s="74">
        <v>46060.0</v>
      </c>
      <c r="B58" s="75" t="s">
        <v>47</v>
      </c>
      <c r="C58" s="76">
        <v>261609.0</v>
      </c>
      <c r="D58" s="77" t="s">
        <v>121</v>
      </c>
      <c r="E58" s="78" t="s">
        <v>49</v>
      </c>
      <c r="F58" s="79">
        <v>223.6</v>
      </c>
      <c r="G58" s="80">
        <v>8.66</v>
      </c>
      <c r="H58" s="80">
        <v>5.34</v>
      </c>
      <c r="I58" s="80">
        <f t="shared" si="51"/>
        <v>14</v>
      </c>
      <c r="J58" s="80">
        <f t="shared" si="52"/>
        <v>3130.4</v>
      </c>
      <c r="K58" s="81">
        <f t="shared" si="53"/>
        <v>0.2239</v>
      </c>
      <c r="L58" s="82">
        <f t="shared" si="54"/>
        <v>17.1346</v>
      </c>
      <c r="M58" s="81">
        <f>INCC!$C$26</f>
        <v>0.004749025652</v>
      </c>
      <c r="N58" s="80">
        <f t="shared" si="55"/>
        <v>17.21597265</v>
      </c>
      <c r="O58" s="80">
        <f t="shared" si="56"/>
        <v>3849.491486</v>
      </c>
      <c r="P58" s="5"/>
    </row>
    <row r="59">
      <c r="A59" s="66" t="s">
        <v>122</v>
      </c>
      <c r="B59" s="85"/>
      <c r="C59" s="85"/>
      <c r="D59" s="71" t="s">
        <v>123</v>
      </c>
      <c r="E59" s="85"/>
      <c r="F59" s="85"/>
      <c r="G59" s="73">
        <f t="shared" ref="G59:J59" si="57">SUM(G60:G65)</f>
        <v>799.1869343</v>
      </c>
      <c r="H59" s="73">
        <f t="shared" si="57"/>
        <v>208.2348475</v>
      </c>
      <c r="I59" s="73">
        <f t="shared" si="57"/>
        <v>1007.421782</v>
      </c>
      <c r="J59" s="73">
        <f t="shared" si="57"/>
        <v>53462.2053</v>
      </c>
      <c r="K59" s="85"/>
      <c r="L59" s="73">
        <f>SUM(L60:L65)</f>
        <v>1232.983519</v>
      </c>
      <c r="M59" s="85"/>
      <c r="N59" s="73">
        <f t="shared" ref="N59:O59" si="58">SUM(N60:N65)</f>
        <v>1234.87827</v>
      </c>
      <c r="O59" s="73">
        <f t="shared" si="58"/>
        <v>65521.4773</v>
      </c>
      <c r="P59" s="5"/>
    </row>
    <row r="60">
      <c r="A60" s="74">
        <v>46030.0</v>
      </c>
      <c r="B60" s="75" t="s">
        <v>65</v>
      </c>
      <c r="C60" s="76">
        <v>13060.0</v>
      </c>
      <c r="D60" s="77" t="s">
        <v>124</v>
      </c>
      <c r="E60" s="78" t="s">
        <v>49</v>
      </c>
      <c r="F60" s="79">
        <f>'MEM. CÁLC'!D75</f>
        <v>67.4819</v>
      </c>
      <c r="G60" s="80">
        <v>435.6</v>
      </c>
      <c r="H60" s="80">
        <f>0.16+21.54+23.99+1.78</f>
        <v>47.47</v>
      </c>
      <c r="I60" s="80">
        <f t="shared" ref="I60:I65" si="59">G60+H60</f>
        <v>483.07</v>
      </c>
      <c r="J60" s="80">
        <f t="shared" ref="J60:J65" si="60">I60*F60</f>
        <v>32598.48143</v>
      </c>
      <c r="K60" s="81">
        <f t="shared" ref="K60:K65" si="61">$F$5</f>
        <v>0.2239</v>
      </c>
      <c r="L60" s="82">
        <f t="shared" ref="L60:L65" si="62">(1+K60)*I60</f>
        <v>591.229373</v>
      </c>
      <c r="M60" s="81">
        <f>INCC!$C$29</f>
        <v>0.002062607648</v>
      </c>
      <c r="N60" s="80">
        <f t="shared" ref="N60:N65" si="63">(1+M60)*L60</f>
        <v>592.4488472</v>
      </c>
      <c r="O60" s="80">
        <f t="shared" ref="O60:O65" si="64">N60*F60</f>
        <v>39979.57386</v>
      </c>
      <c r="P60" s="5"/>
    </row>
    <row r="61">
      <c r="A61" s="74">
        <v>46061.0</v>
      </c>
      <c r="B61" s="75" t="s">
        <v>125</v>
      </c>
      <c r="C61" s="76">
        <v>94216.0</v>
      </c>
      <c r="D61" s="77" t="s">
        <v>126</v>
      </c>
      <c r="E61" s="78" t="s">
        <v>49</v>
      </c>
      <c r="F61" s="79">
        <f>'MEM. CÁLC'!D76</f>
        <v>30.5334</v>
      </c>
      <c r="G61" s="80">
        <v>188.34</v>
      </c>
      <c r="H61" s="80">
        <v>0.0</v>
      </c>
      <c r="I61" s="80">
        <f t="shared" si="59"/>
        <v>188.34</v>
      </c>
      <c r="J61" s="80">
        <f t="shared" si="60"/>
        <v>5750.660556</v>
      </c>
      <c r="K61" s="81">
        <f t="shared" si="61"/>
        <v>0.2239</v>
      </c>
      <c r="L61" s="82">
        <f t="shared" si="62"/>
        <v>230.509326</v>
      </c>
      <c r="M61" s="81">
        <f>INCC!$C$27</f>
        <v>0</v>
      </c>
      <c r="N61" s="80">
        <f t="shared" si="63"/>
        <v>230.509326</v>
      </c>
      <c r="O61" s="80">
        <f t="shared" si="64"/>
        <v>7038.233454</v>
      </c>
      <c r="P61" s="5"/>
    </row>
    <row r="62">
      <c r="A62" s="74">
        <v>46089.0</v>
      </c>
      <c r="B62" s="75" t="s">
        <v>100</v>
      </c>
      <c r="C62" s="76">
        <v>5.0</v>
      </c>
      <c r="D62" s="77" t="str">
        <f>'COMP. onerado'!D37</f>
        <v>ACABAMENTO FRONTAL CALHA TIPO PLATIBANDA PINTADA NA COR BRANCA 150mm
</v>
      </c>
      <c r="E62" s="78" t="s">
        <v>49</v>
      </c>
      <c r="F62" s="79">
        <f>'MEM. CÁLC'!D77</f>
        <v>66.1892</v>
      </c>
      <c r="G62" s="80">
        <f>'COMP. onerado'!M37</f>
        <v>54.87026766</v>
      </c>
      <c r="H62" s="80">
        <f>'COMP. onerado'!N37</f>
        <v>83.0248475</v>
      </c>
      <c r="I62" s="80">
        <f t="shared" si="59"/>
        <v>137.8951152</v>
      </c>
      <c r="J62" s="80">
        <f t="shared" si="60"/>
        <v>9127.167356</v>
      </c>
      <c r="K62" s="81">
        <f t="shared" si="61"/>
        <v>0.2239</v>
      </c>
      <c r="L62" s="82">
        <f t="shared" si="62"/>
        <v>168.7698314</v>
      </c>
      <c r="M62" s="89"/>
      <c r="N62" s="80">
        <f t="shared" si="63"/>
        <v>168.7698314</v>
      </c>
      <c r="O62" s="80">
        <f t="shared" si="64"/>
        <v>11170.74013</v>
      </c>
      <c r="P62" s="5"/>
    </row>
    <row r="63">
      <c r="A63" s="74">
        <v>46120.0</v>
      </c>
      <c r="B63" s="75" t="s">
        <v>100</v>
      </c>
      <c r="C63" s="76">
        <f>'COMP. onerado'!A50</f>
        <v>7</v>
      </c>
      <c r="D63" s="77" t="str">
        <f>'MEM. CÁLC'!B78</f>
        <v>Acabamento Frontal em Aço para telha Trapezoidal Telha Térmica Sanduíche 30mm</v>
      </c>
      <c r="E63" s="78" t="s">
        <v>71</v>
      </c>
      <c r="F63" s="78">
        <f>'MEM. CÁLC'!D78</f>
        <v>225.15</v>
      </c>
      <c r="G63" s="80">
        <f>'COMP. onerado'!M50</f>
        <v>10.68666667</v>
      </c>
      <c r="H63" s="80">
        <f>'COMP. onerado'!N50</f>
        <v>6.775</v>
      </c>
      <c r="I63" s="80">
        <f t="shared" si="59"/>
        <v>17.46166667</v>
      </c>
      <c r="J63" s="80">
        <f t="shared" si="60"/>
        <v>3931.49425</v>
      </c>
      <c r="K63" s="81">
        <f t="shared" si="61"/>
        <v>0.2239</v>
      </c>
      <c r="L63" s="82">
        <f t="shared" si="62"/>
        <v>21.37133383</v>
      </c>
      <c r="M63" s="89"/>
      <c r="N63" s="80">
        <f t="shared" si="63"/>
        <v>21.37133383</v>
      </c>
      <c r="O63" s="80">
        <f t="shared" si="64"/>
        <v>4811.755813</v>
      </c>
      <c r="P63" s="5"/>
    </row>
    <row r="64">
      <c r="A64" s="74">
        <v>46150.0</v>
      </c>
      <c r="B64" s="75" t="s">
        <v>100</v>
      </c>
      <c r="C64" s="76">
        <f>'COMP. onerado'!A55</f>
        <v>8</v>
      </c>
      <c r="D64" s="77" t="str">
        <f>'COMP. onerado'!D55</f>
        <v>
Acabamento Lateral em Aço para telha Trapezoidal Telha Térmica Sanduíche 30mm</v>
      </c>
      <c r="E64" s="78" t="s">
        <v>71</v>
      </c>
      <c r="F64" s="79">
        <f>'MEM. CÁLC'!D79</f>
        <v>13.74</v>
      </c>
      <c r="G64" s="80">
        <f>'COMP. onerado'!M55</f>
        <v>57.7</v>
      </c>
      <c r="H64" s="80">
        <f>'COMP. onerado'!N55</f>
        <v>6.775</v>
      </c>
      <c r="I64" s="80">
        <f t="shared" si="59"/>
        <v>64.475</v>
      </c>
      <c r="J64" s="80">
        <f t="shared" si="60"/>
        <v>885.8865</v>
      </c>
      <c r="K64" s="81">
        <f t="shared" si="61"/>
        <v>0.2239</v>
      </c>
      <c r="L64" s="82">
        <f t="shared" si="62"/>
        <v>78.9109525</v>
      </c>
      <c r="M64" s="89"/>
      <c r="N64" s="80">
        <f t="shared" si="63"/>
        <v>78.9109525</v>
      </c>
      <c r="O64" s="80">
        <f t="shared" si="64"/>
        <v>1084.236487</v>
      </c>
      <c r="P64" s="5"/>
    </row>
    <row r="65">
      <c r="A65" s="74">
        <v>46181.0</v>
      </c>
      <c r="B65" s="75" t="s">
        <v>47</v>
      </c>
      <c r="C65" s="76">
        <v>160603.0</v>
      </c>
      <c r="D65" s="77" t="s">
        <v>127</v>
      </c>
      <c r="E65" s="78" t="s">
        <v>49</v>
      </c>
      <c r="F65" s="79">
        <f>'MEM. CÁLC'!D80</f>
        <v>10.0578</v>
      </c>
      <c r="G65" s="80">
        <v>51.99</v>
      </c>
      <c r="H65" s="80">
        <v>64.19</v>
      </c>
      <c r="I65" s="80">
        <f t="shared" si="59"/>
        <v>116.18</v>
      </c>
      <c r="J65" s="80">
        <f t="shared" si="60"/>
        <v>1168.515204</v>
      </c>
      <c r="K65" s="81">
        <f t="shared" si="61"/>
        <v>0.2239</v>
      </c>
      <c r="L65" s="82">
        <f t="shared" si="62"/>
        <v>142.192702</v>
      </c>
      <c r="M65" s="81">
        <f>INCC!$C$26</f>
        <v>0.004749025652</v>
      </c>
      <c r="N65" s="80">
        <f t="shared" si="63"/>
        <v>142.8679788</v>
      </c>
      <c r="O65" s="80">
        <f t="shared" si="64"/>
        <v>1436.937557</v>
      </c>
      <c r="P65" s="5"/>
    </row>
    <row r="66">
      <c r="A66" s="66" t="s">
        <v>128</v>
      </c>
      <c r="B66" s="85"/>
      <c r="C66" s="86"/>
      <c r="D66" s="71" t="s">
        <v>129</v>
      </c>
      <c r="E66" s="85"/>
      <c r="F66" s="87"/>
      <c r="G66" s="73">
        <f t="shared" ref="G66:J66" si="65">SUM(G67:G73)</f>
        <v>5038.414393</v>
      </c>
      <c r="H66" s="73">
        <f t="shared" si="65"/>
        <v>250.7917606</v>
      </c>
      <c r="I66" s="73">
        <f t="shared" si="65"/>
        <v>5289.206153</v>
      </c>
      <c r="J66" s="73">
        <f t="shared" si="65"/>
        <v>880660.7816</v>
      </c>
      <c r="K66" s="73"/>
      <c r="L66" s="73">
        <f>SUM(L67:L73)</f>
        <v>6473.459411</v>
      </c>
      <c r="M66" s="73"/>
      <c r="N66" s="73">
        <f t="shared" ref="N66:O66" si="66">SUM(N67:N73)</f>
        <v>6482.793337</v>
      </c>
      <c r="O66" s="73">
        <f t="shared" si="66"/>
        <v>1077866.239</v>
      </c>
      <c r="P66" s="88"/>
    </row>
    <row r="67">
      <c r="A67" s="74">
        <v>46031.0</v>
      </c>
      <c r="B67" s="75" t="s">
        <v>130</v>
      </c>
      <c r="C67" s="76">
        <v>1.0</v>
      </c>
      <c r="D67" s="77" t="s">
        <v>131</v>
      </c>
      <c r="E67" s="78" t="s">
        <v>49</v>
      </c>
      <c r="F67" s="79">
        <f>'MEM. CÁLC'!D84</f>
        <v>611.4144</v>
      </c>
      <c r="G67" s="80">
        <f>'COTAÇÕES'!I10</f>
        <v>1417.464337</v>
      </c>
      <c r="H67" s="80">
        <v>0.0</v>
      </c>
      <c r="I67" s="80">
        <f t="shared" ref="I67:I73" si="67">G67+H67</f>
        <v>1417.464337</v>
      </c>
      <c r="J67" s="80">
        <f t="shared" ref="J67:J73" si="68">I67*F67</f>
        <v>866658.1069</v>
      </c>
      <c r="K67" s="81">
        <f t="shared" ref="K67:K73" si="69">$F$5</f>
        <v>0.2239</v>
      </c>
      <c r="L67" s="82">
        <f t="shared" ref="L67:L73" si="70">(1+K67)*I67</f>
        <v>1734.834602</v>
      </c>
      <c r="M67" s="89"/>
      <c r="N67" s="80">
        <f t="shared" ref="N67:N73" si="71">(1+M67)*L67</f>
        <v>1734.834602</v>
      </c>
      <c r="O67" s="80">
        <f t="shared" ref="O67:O73" si="72">N67*F67</f>
        <v>1060702.857</v>
      </c>
      <c r="P67" s="5"/>
    </row>
    <row r="68">
      <c r="A68" s="74">
        <v>46062.0</v>
      </c>
      <c r="B68" s="75" t="s">
        <v>47</v>
      </c>
      <c r="C68" s="76">
        <v>180501.0</v>
      </c>
      <c r="D68" s="77" t="s">
        <v>132</v>
      </c>
      <c r="E68" s="78" t="s">
        <v>133</v>
      </c>
      <c r="F68" s="79">
        <f>'MEM. CÁLC'!D85</f>
        <v>1</v>
      </c>
      <c r="G68" s="80">
        <v>635.35</v>
      </c>
      <c r="H68" s="80">
        <v>63.25</v>
      </c>
      <c r="I68" s="80">
        <f t="shared" si="67"/>
        <v>698.6</v>
      </c>
      <c r="J68" s="80">
        <f t="shared" si="68"/>
        <v>698.6</v>
      </c>
      <c r="K68" s="81">
        <f t="shared" si="69"/>
        <v>0.2239</v>
      </c>
      <c r="L68" s="82">
        <f t="shared" si="70"/>
        <v>855.01654</v>
      </c>
      <c r="M68" s="81">
        <f>INCC!$C$26</f>
        <v>0.004749025652</v>
      </c>
      <c r="N68" s="80">
        <f t="shared" si="71"/>
        <v>859.0770355</v>
      </c>
      <c r="O68" s="80">
        <f t="shared" si="72"/>
        <v>859.0770355</v>
      </c>
      <c r="P68" s="5"/>
    </row>
    <row r="69">
      <c r="A69" s="74">
        <v>46090.0</v>
      </c>
      <c r="B69" s="75" t="s">
        <v>47</v>
      </c>
      <c r="C69" s="76">
        <v>180504.0</v>
      </c>
      <c r="D69" s="77" t="s">
        <v>134</v>
      </c>
      <c r="E69" s="78" t="s">
        <v>49</v>
      </c>
      <c r="F69" s="79">
        <f>'MEM. CÁLC'!D86</f>
        <v>3.36</v>
      </c>
      <c r="G69" s="80">
        <v>501.9</v>
      </c>
      <c r="H69" s="80">
        <v>63.25</v>
      </c>
      <c r="I69" s="80">
        <f t="shared" si="67"/>
        <v>565.15</v>
      </c>
      <c r="J69" s="80">
        <f t="shared" si="68"/>
        <v>1898.904</v>
      </c>
      <c r="K69" s="81">
        <f t="shared" si="69"/>
        <v>0.2239</v>
      </c>
      <c r="L69" s="82">
        <f t="shared" si="70"/>
        <v>691.687085</v>
      </c>
      <c r="M69" s="81">
        <f>INCC!$C$26</f>
        <v>0.004749025652</v>
      </c>
      <c r="N69" s="80">
        <f t="shared" si="71"/>
        <v>694.9719247</v>
      </c>
      <c r="O69" s="80">
        <f t="shared" si="72"/>
        <v>2335.105667</v>
      </c>
      <c r="P69" s="5"/>
    </row>
    <row r="70">
      <c r="A70" s="74">
        <v>46121.0</v>
      </c>
      <c r="B70" s="75" t="s">
        <v>65</v>
      </c>
      <c r="C70" s="76">
        <v>4461.0</v>
      </c>
      <c r="D70" s="77" t="s">
        <v>135</v>
      </c>
      <c r="E70" s="78" t="s">
        <v>49</v>
      </c>
      <c r="F70" s="79">
        <f>'MEM. CÁLC'!D87</f>
        <v>2.73</v>
      </c>
      <c r="G70" s="80">
        <v>98.91</v>
      </c>
      <c r="H70" s="80">
        <f>8.97+9.99+0.82</f>
        <v>19.78</v>
      </c>
      <c r="I70" s="80">
        <f t="shared" si="67"/>
        <v>118.69</v>
      </c>
      <c r="J70" s="80">
        <f t="shared" si="68"/>
        <v>324.0237</v>
      </c>
      <c r="K70" s="81">
        <f t="shared" si="69"/>
        <v>0.2239</v>
      </c>
      <c r="L70" s="82">
        <f t="shared" si="70"/>
        <v>145.264691</v>
      </c>
      <c r="M70" s="81">
        <f>INCC!$C$29</f>
        <v>0.002062607648</v>
      </c>
      <c r="N70" s="80">
        <f t="shared" si="71"/>
        <v>145.5643151</v>
      </c>
      <c r="O70" s="80">
        <f t="shared" si="72"/>
        <v>397.3905801</v>
      </c>
      <c r="P70" s="5"/>
    </row>
    <row r="71">
      <c r="A71" s="74">
        <v>46151.0</v>
      </c>
      <c r="B71" s="75" t="s">
        <v>65</v>
      </c>
      <c r="C71" s="76">
        <v>3149.0</v>
      </c>
      <c r="D71" s="77" t="s">
        <v>136</v>
      </c>
      <c r="E71" s="78" t="s">
        <v>49</v>
      </c>
      <c r="F71" s="79">
        <f>'MEM. CÁLC'!D88</f>
        <v>28.9346</v>
      </c>
      <c r="G71" s="80">
        <v>64.67</v>
      </c>
      <c r="H71" s="80">
        <v>0.0</v>
      </c>
      <c r="I71" s="80">
        <f t="shared" si="67"/>
        <v>64.67</v>
      </c>
      <c r="J71" s="80">
        <f t="shared" si="68"/>
        <v>1871.200582</v>
      </c>
      <c r="K71" s="81">
        <f t="shared" si="69"/>
        <v>0.2239</v>
      </c>
      <c r="L71" s="82">
        <f t="shared" si="70"/>
        <v>79.149613</v>
      </c>
      <c r="M71" s="81">
        <f>INCC!$C$29</f>
        <v>0.002062607648</v>
      </c>
      <c r="N71" s="80">
        <f t="shared" si="71"/>
        <v>79.3128676</v>
      </c>
      <c r="O71" s="80">
        <f t="shared" si="72"/>
        <v>2294.886099</v>
      </c>
      <c r="P71" s="5"/>
    </row>
    <row r="72">
      <c r="A72" s="74">
        <v>46182.0</v>
      </c>
      <c r="B72" s="75" t="s">
        <v>65</v>
      </c>
      <c r="C72" s="76">
        <v>11573.0</v>
      </c>
      <c r="D72" s="77" t="s">
        <v>137</v>
      </c>
      <c r="E72" s="78" t="s">
        <v>49</v>
      </c>
      <c r="F72" s="79">
        <f>'MEM. CÁLC'!D89</f>
        <v>3.1916</v>
      </c>
      <c r="G72" s="80">
        <v>533.48</v>
      </c>
      <c r="H72" s="80">
        <f>32.31+35.99+2.6</f>
        <v>70.9</v>
      </c>
      <c r="I72" s="80">
        <f t="shared" si="67"/>
        <v>604.38</v>
      </c>
      <c r="J72" s="80">
        <f t="shared" si="68"/>
        <v>1928.939208</v>
      </c>
      <c r="K72" s="81">
        <f t="shared" si="69"/>
        <v>0.2239</v>
      </c>
      <c r="L72" s="82">
        <f t="shared" si="70"/>
        <v>739.700682</v>
      </c>
      <c r="M72" s="81">
        <f>INCC!$C$29</f>
        <v>0.002062607648</v>
      </c>
      <c r="N72" s="80">
        <f t="shared" si="71"/>
        <v>741.2263943</v>
      </c>
      <c r="O72" s="80">
        <f t="shared" si="72"/>
        <v>2365.69816</v>
      </c>
      <c r="P72" s="5"/>
    </row>
    <row r="73">
      <c r="A73" s="74">
        <v>46212.0</v>
      </c>
      <c r="B73" s="75" t="s">
        <v>100</v>
      </c>
      <c r="C73" s="76">
        <v>3.0</v>
      </c>
      <c r="D73" s="92" t="str">
        <f>'COMP. onerado'!D23</f>
        <v>Tampa circular para esgoto e drenagem, em ferro fundido, diâmetro 900 mm</v>
      </c>
      <c r="E73" s="78" t="str">
        <f>'MEM. CÁLC'!C90</f>
        <v>UND</v>
      </c>
      <c r="F73" s="79">
        <f>'MEM. CÁLC'!D90</f>
        <v>4</v>
      </c>
      <c r="G73" s="80">
        <f>'COMP. onerado'!M23</f>
        <v>1786.640056</v>
      </c>
      <c r="H73" s="80">
        <f>'COMP. onerado'!N23</f>
        <v>33.61176064</v>
      </c>
      <c r="I73" s="80">
        <f t="shared" si="67"/>
        <v>1820.251817</v>
      </c>
      <c r="J73" s="80">
        <f t="shared" si="68"/>
        <v>7281.007267</v>
      </c>
      <c r="K73" s="81">
        <f t="shared" si="69"/>
        <v>0.2239</v>
      </c>
      <c r="L73" s="82">
        <f t="shared" si="70"/>
        <v>2227.806198</v>
      </c>
      <c r="M73" s="89"/>
      <c r="N73" s="80">
        <f t="shared" si="71"/>
        <v>2227.806198</v>
      </c>
      <c r="O73" s="80">
        <f t="shared" si="72"/>
        <v>8911.224794</v>
      </c>
      <c r="P73" s="5"/>
    </row>
    <row r="74">
      <c r="A74" s="66" t="s">
        <v>138</v>
      </c>
      <c r="B74" s="85"/>
      <c r="C74" s="85"/>
      <c r="D74" s="71" t="s">
        <v>139</v>
      </c>
      <c r="E74" s="85"/>
      <c r="F74" s="85"/>
      <c r="G74" s="73">
        <f t="shared" ref="G74:J74" si="73">SUM(G75:G76)</f>
        <v>266.71</v>
      </c>
      <c r="H74" s="73">
        <f t="shared" si="73"/>
        <v>7.878654769</v>
      </c>
      <c r="I74" s="73">
        <f t="shared" si="73"/>
        <v>274.5886548</v>
      </c>
      <c r="J74" s="73">
        <f t="shared" si="73"/>
        <v>32278.06764</v>
      </c>
      <c r="K74" s="85"/>
      <c r="L74" s="73">
        <f>SUM(L75:L76)</f>
        <v>336.0690546</v>
      </c>
      <c r="M74" s="85"/>
      <c r="N74" s="73">
        <f t="shared" ref="N74:O74" si="74">SUM(N75:N76)</f>
        <v>336.0690546</v>
      </c>
      <c r="O74" s="73">
        <f t="shared" si="74"/>
        <v>39505.12698</v>
      </c>
      <c r="P74" s="5"/>
    </row>
    <row r="75">
      <c r="A75" s="74">
        <v>46032.0</v>
      </c>
      <c r="B75" s="75" t="s">
        <v>100</v>
      </c>
      <c r="C75" s="76">
        <v>1.0</v>
      </c>
      <c r="D75" s="77" t="s">
        <v>140</v>
      </c>
      <c r="E75" s="78" t="s">
        <v>141</v>
      </c>
      <c r="F75" s="79">
        <f>'MEM. CÁLC'!D96</f>
        <v>137</v>
      </c>
      <c r="G75" s="80">
        <f>'COMP. onerado'!M9</f>
        <v>139.02</v>
      </c>
      <c r="H75" s="80">
        <f>'COMP. onerado'!N9</f>
        <v>7.878654769</v>
      </c>
      <c r="I75" s="80">
        <f t="shared" ref="I75:I76" si="75">G75+H75</f>
        <v>146.8986548</v>
      </c>
      <c r="J75" s="80">
        <f t="shared" ref="J75:J76" si="76">I75*F75</f>
        <v>20125.1157</v>
      </c>
      <c r="K75" s="81">
        <f t="shared" ref="K75:K76" si="77">$F$5</f>
        <v>0.2239</v>
      </c>
      <c r="L75" s="82">
        <f t="shared" ref="L75:L76" si="78">(1+K75)*I75</f>
        <v>179.7892636</v>
      </c>
      <c r="M75" s="93"/>
      <c r="N75" s="80">
        <f t="shared" ref="N75:N76" si="79">(1+M75)*L75</f>
        <v>179.7892636</v>
      </c>
      <c r="O75" s="80">
        <f t="shared" ref="O75:O76" si="80">N75*F75</f>
        <v>24631.12911</v>
      </c>
      <c r="P75" s="5"/>
    </row>
    <row r="76">
      <c r="A76" s="74">
        <v>46063.0</v>
      </c>
      <c r="B76" s="75" t="s">
        <v>130</v>
      </c>
      <c r="C76" s="76">
        <v>2.0</v>
      </c>
      <c r="D76" s="77" t="s">
        <v>142</v>
      </c>
      <c r="E76" s="78" t="s">
        <v>49</v>
      </c>
      <c r="F76" s="79">
        <f>'MEM. CÁLC'!D94</f>
        <v>95.17544</v>
      </c>
      <c r="G76" s="80">
        <f>'COTAÇÕES'!I15</f>
        <v>127.69</v>
      </c>
      <c r="H76" s="80">
        <v>0.0</v>
      </c>
      <c r="I76" s="80">
        <f t="shared" si="75"/>
        <v>127.69</v>
      </c>
      <c r="J76" s="80">
        <f t="shared" si="76"/>
        <v>12152.95193</v>
      </c>
      <c r="K76" s="81">
        <f t="shared" si="77"/>
        <v>0.2239</v>
      </c>
      <c r="L76" s="82">
        <f t="shared" si="78"/>
        <v>156.279791</v>
      </c>
      <c r="M76" s="81">
        <v>0.0</v>
      </c>
      <c r="N76" s="80">
        <f t="shared" si="79"/>
        <v>156.279791</v>
      </c>
      <c r="O76" s="80">
        <f t="shared" si="80"/>
        <v>14873.99787</v>
      </c>
      <c r="P76" s="5"/>
    </row>
    <row r="77">
      <c r="A77" s="66" t="s">
        <v>143</v>
      </c>
      <c r="B77" s="85"/>
      <c r="C77" s="85"/>
      <c r="D77" s="71" t="s">
        <v>144</v>
      </c>
      <c r="E77" s="85"/>
      <c r="F77" s="85"/>
      <c r="G77" s="73">
        <f t="shared" ref="G77:J77" si="81">SUM(G78:G89)</f>
        <v>436.78</v>
      </c>
      <c r="H77" s="73">
        <f t="shared" si="81"/>
        <v>251.35</v>
      </c>
      <c r="I77" s="73">
        <f t="shared" si="81"/>
        <v>688.13</v>
      </c>
      <c r="J77" s="73">
        <f t="shared" si="81"/>
        <v>48282.00489</v>
      </c>
      <c r="K77" s="85"/>
      <c r="L77" s="73">
        <f>SUM(L78:L89)</f>
        <v>842.202307</v>
      </c>
      <c r="M77" s="85"/>
      <c r="N77" s="73">
        <f t="shared" ref="N77:O77" si="82">SUM(N78:N89)</f>
        <v>845.8130977</v>
      </c>
      <c r="O77" s="73">
        <f t="shared" si="82"/>
        <v>59284.98033</v>
      </c>
      <c r="P77" s="5"/>
    </row>
    <row r="78">
      <c r="A78" s="78" t="s">
        <v>145</v>
      </c>
      <c r="B78" s="75" t="s">
        <v>65</v>
      </c>
      <c r="C78" s="76">
        <v>8928.0</v>
      </c>
      <c r="D78" s="77" t="s">
        <v>146</v>
      </c>
      <c r="E78" s="78" t="s">
        <v>49</v>
      </c>
      <c r="F78" s="79">
        <f>'MEM. CÁLC'!D104</f>
        <v>136.3626</v>
      </c>
      <c r="G78" s="80">
        <v>56.47</v>
      </c>
      <c r="H78" s="80">
        <f>8.62+9.59+0.7</f>
        <v>18.91</v>
      </c>
      <c r="I78" s="80">
        <f t="shared" ref="I78:I89" si="83">G78+H78</f>
        <v>75.38</v>
      </c>
      <c r="J78" s="80">
        <f t="shared" ref="J78:J89" si="84">I78*F78</f>
        <v>10279.01279</v>
      </c>
      <c r="K78" s="81">
        <f t="shared" ref="K78:K89" si="85">$F$5</f>
        <v>0.2239</v>
      </c>
      <c r="L78" s="82">
        <f t="shared" ref="L78:L89" si="86">(1+K78)*I78</f>
        <v>92.257582</v>
      </c>
      <c r="M78" s="81">
        <f>INCC!$C$29</f>
        <v>0.002062607648</v>
      </c>
      <c r="N78" s="80">
        <f t="shared" ref="N78:N89" si="87">(1+M78)*L78</f>
        <v>92.44787319</v>
      </c>
      <c r="O78" s="80">
        <f t="shared" ref="O78:O89" si="88">N78*F78</f>
        <v>12606.43235</v>
      </c>
      <c r="P78" s="5"/>
    </row>
    <row r="79">
      <c r="A79" s="78" t="s">
        <v>147</v>
      </c>
      <c r="B79" s="75" t="s">
        <v>47</v>
      </c>
      <c r="C79" s="75" t="s">
        <v>148</v>
      </c>
      <c r="D79" s="77" t="s">
        <v>149</v>
      </c>
      <c r="E79" s="78" t="s">
        <v>49</v>
      </c>
      <c r="F79" s="79">
        <f>F78</f>
        <v>136.3626</v>
      </c>
      <c r="G79" s="80">
        <v>11.83</v>
      </c>
      <c r="H79" s="80">
        <v>14.16</v>
      </c>
      <c r="I79" s="80">
        <f t="shared" si="83"/>
        <v>25.99</v>
      </c>
      <c r="J79" s="80">
        <f t="shared" si="84"/>
        <v>3544.063974</v>
      </c>
      <c r="K79" s="81">
        <f t="shared" si="85"/>
        <v>0.2239</v>
      </c>
      <c r="L79" s="82">
        <f t="shared" si="86"/>
        <v>31.809161</v>
      </c>
      <c r="M79" s="81">
        <f>INCC!$C$26</f>
        <v>0.004749025652</v>
      </c>
      <c r="N79" s="80">
        <f t="shared" si="87"/>
        <v>31.96022352</v>
      </c>
      <c r="O79" s="80">
        <f t="shared" si="88"/>
        <v>4358.179176</v>
      </c>
      <c r="P79" s="5"/>
    </row>
    <row r="80">
      <c r="A80" s="78" t="s">
        <v>150</v>
      </c>
      <c r="B80" s="75" t="s">
        <v>47</v>
      </c>
      <c r="C80" s="76">
        <v>220103.0</v>
      </c>
      <c r="D80" s="77" t="s">
        <v>151</v>
      </c>
      <c r="E80" s="78" t="s">
        <v>49</v>
      </c>
      <c r="F80" s="79">
        <f>'MEM. CÁLC'!D106</f>
        <v>65.2972</v>
      </c>
      <c r="G80" s="80">
        <v>188.29</v>
      </c>
      <c r="H80" s="80">
        <v>107.98</v>
      </c>
      <c r="I80" s="80">
        <f t="shared" si="83"/>
        <v>296.27</v>
      </c>
      <c r="J80" s="80">
        <f t="shared" si="84"/>
        <v>19345.60144</v>
      </c>
      <c r="K80" s="81">
        <f t="shared" si="85"/>
        <v>0.2239</v>
      </c>
      <c r="L80" s="82">
        <f t="shared" si="86"/>
        <v>362.604853</v>
      </c>
      <c r="M80" s="81">
        <f>INCC!$C$26</f>
        <v>0.004749025652</v>
      </c>
      <c r="N80" s="80">
        <f t="shared" si="87"/>
        <v>364.3268727</v>
      </c>
      <c r="O80" s="80">
        <f t="shared" si="88"/>
        <v>23789.52468</v>
      </c>
      <c r="P80" s="5"/>
    </row>
    <row r="81">
      <c r="A81" s="78" t="s">
        <v>152</v>
      </c>
      <c r="B81" s="75" t="s">
        <v>47</v>
      </c>
      <c r="C81" s="76">
        <v>220312.0</v>
      </c>
      <c r="D81" s="77" t="s">
        <v>153</v>
      </c>
      <c r="E81" s="78" t="s">
        <v>71</v>
      </c>
      <c r="F81" s="79">
        <f>'MEM. CÁLC'!D107</f>
        <v>23</v>
      </c>
      <c r="G81" s="80">
        <v>2.47</v>
      </c>
      <c r="H81" s="80">
        <v>9.23</v>
      </c>
      <c r="I81" s="80">
        <f t="shared" si="83"/>
        <v>11.7</v>
      </c>
      <c r="J81" s="80">
        <f t="shared" si="84"/>
        <v>269.1</v>
      </c>
      <c r="K81" s="81">
        <f t="shared" si="85"/>
        <v>0.2239</v>
      </c>
      <c r="L81" s="82">
        <f t="shared" si="86"/>
        <v>14.31963</v>
      </c>
      <c r="M81" s="81">
        <f>INCC!$C$26</f>
        <v>0.004749025652</v>
      </c>
      <c r="N81" s="80">
        <f t="shared" si="87"/>
        <v>14.38763429</v>
      </c>
      <c r="O81" s="80">
        <f t="shared" si="88"/>
        <v>330.9155887</v>
      </c>
      <c r="P81" s="5"/>
    </row>
    <row r="82">
      <c r="A82" s="78" t="s">
        <v>154</v>
      </c>
      <c r="B82" s="75" t="s">
        <v>47</v>
      </c>
      <c r="C82" s="76">
        <v>271715.0</v>
      </c>
      <c r="D82" s="77" t="s">
        <v>155</v>
      </c>
      <c r="E82" s="78" t="s">
        <v>71</v>
      </c>
      <c r="F82" s="79">
        <f>'MEM. CÁLC'!D108</f>
        <v>35.4226</v>
      </c>
      <c r="G82" s="80">
        <v>20.54</v>
      </c>
      <c r="H82" s="80">
        <v>25.1</v>
      </c>
      <c r="I82" s="80">
        <f t="shared" si="83"/>
        <v>45.64</v>
      </c>
      <c r="J82" s="80">
        <f t="shared" si="84"/>
        <v>1616.687464</v>
      </c>
      <c r="K82" s="81">
        <f t="shared" si="85"/>
        <v>0.2239</v>
      </c>
      <c r="L82" s="82">
        <f t="shared" si="86"/>
        <v>55.858796</v>
      </c>
      <c r="M82" s="81">
        <f>INCC!$C$26</f>
        <v>0.004749025652</v>
      </c>
      <c r="N82" s="80">
        <f t="shared" si="87"/>
        <v>56.12407086</v>
      </c>
      <c r="O82" s="80">
        <f t="shared" si="88"/>
        <v>1988.060512</v>
      </c>
      <c r="P82" s="5"/>
    </row>
    <row r="83">
      <c r="A83" s="78" t="s">
        <v>156</v>
      </c>
      <c r="B83" s="75" t="s">
        <v>125</v>
      </c>
      <c r="C83" s="76">
        <v>102491.0</v>
      </c>
      <c r="D83" s="77" t="s">
        <v>157</v>
      </c>
      <c r="E83" s="78" t="s">
        <v>49</v>
      </c>
      <c r="F83" s="79">
        <f>'MEM. CÁLC'!D109</f>
        <v>384.3782</v>
      </c>
      <c r="G83" s="80">
        <v>24.26</v>
      </c>
      <c r="H83" s="80">
        <v>0.0</v>
      </c>
      <c r="I83" s="80">
        <f t="shared" si="83"/>
        <v>24.26</v>
      </c>
      <c r="J83" s="80">
        <f t="shared" si="84"/>
        <v>9325.015132</v>
      </c>
      <c r="K83" s="81">
        <f t="shared" si="85"/>
        <v>0.2239</v>
      </c>
      <c r="L83" s="82">
        <f t="shared" si="86"/>
        <v>29.691814</v>
      </c>
      <c r="M83" s="81">
        <f>INCC!$C$27</f>
        <v>0</v>
      </c>
      <c r="N83" s="80">
        <f t="shared" si="87"/>
        <v>29.691814</v>
      </c>
      <c r="O83" s="80">
        <f t="shared" si="88"/>
        <v>11412.88602</v>
      </c>
      <c r="P83" s="5"/>
    </row>
    <row r="84">
      <c r="A84" s="78" t="s">
        <v>158</v>
      </c>
      <c r="B84" s="75" t="s">
        <v>47</v>
      </c>
      <c r="C84" s="76">
        <v>67022.0</v>
      </c>
      <c r="D84" s="77" t="s">
        <v>159</v>
      </c>
      <c r="E84" s="78" t="s">
        <v>49</v>
      </c>
      <c r="F84" s="79">
        <f>'MEM. CÁLC'!D110</f>
        <v>384.3782</v>
      </c>
      <c r="G84" s="80">
        <v>0.01</v>
      </c>
      <c r="H84" s="80">
        <v>2.44</v>
      </c>
      <c r="I84" s="80">
        <f t="shared" si="83"/>
        <v>2.45</v>
      </c>
      <c r="J84" s="80">
        <f t="shared" si="84"/>
        <v>941.72659</v>
      </c>
      <c r="K84" s="81">
        <f t="shared" si="85"/>
        <v>0.2239</v>
      </c>
      <c r="L84" s="82">
        <f t="shared" si="86"/>
        <v>2.998555</v>
      </c>
      <c r="M84" s="81">
        <f>INCC!$C$26</f>
        <v>0.004749025652</v>
      </c>
      <c r="N84" s="80">
        <f t="shared" si="87"/>
        <v>3.012795215</v>
      </c>
      <c r="O84" s="80">
        <f t="shared" si="88"/>
        <v>1158.052802</v>
      </c>
      <c r="P84" s="5"/>
    </row>
    <row r="85">
      <c r="A85" s="78" t="s">
        <v>160</v>
      </c>
      <c r="B85" s="75" t="s">
        <v>47</v>
      </c>
      <c r="C85" s="76">
        <v>41140.0</v>
      </c>
      <c r="D85" s="77" t="s">
        <v>161</v>
      </c>
      <c r="E85" s="78" t="s">
        <v>49</v>
      </c>
      <c r="F85" s="79">
        <f>'MEM. CÁLC'!D111</f>
        <v>130.5</v>
      </c>
      <c r="G85" s="80">
        <v>0.0</v>
      </c>
      <c r="H85" s="80">
        <v>3.81</v>
      </c>
      <c r="I85" s="80">
        <f t="shared" si="83"/>
        <v>3.81</v>
      </c>
      <c r="J85" s="80">
        <f t="shared" si="84"/>
        <v>497.205</v>
      </c>
      <c r="K85" s="81">
        <f t="shared" si="85"/>
        <v>0.2239</v>
      </c>
      <c r="L85" s="82">
        <f t="shared" si="86"/>
        <v>4.663059</v>
      </c>
      <c r="M85" s="81">
        <f>INCC!$C$26</f>
        <v>0.004749025652</v>
      </c>
      <c r="N85" s="80">
        <f t="shared" si="87"/>
        <v>4.685203987</v>
      </c>
      <c r="O85" s="80">
        <f t="shared" si="88"/>
        <v>611.4191203</v>
      </c>
      <c r="P85" s="5"/>
    </row>
    <row r="86">
      <c r="A86" s="78" t="s">
        <v>162</v>
      </c>
      <c r="B86" s="75" t="s">
        <v>47</v>
      </c>
      <c r="C86" s="76">
        <v>40905.0</v>
      </c>
      <c r="D86" s="77" t="s">
        <v>163</v>
      </c>
      <c r="E86" s="78" t="s">
        <v>49</v>
      </c>
      <c r="F86" s="79">
        <f>'MEM. CÁLC'!D112</f>
        <v>130.5</v>
      </c>
      <c r="G86" s="80">
        <v>0.1</v>
      </c>
      <c r="H86" s="80">
        <v>0.49</v>
      </c>
      <c r="I86" s="80">
        <f t="shared" si="83"/>
        <v>0.59</v>
      </c>
      <c r="J86" s="80">
        <f t="shared" si="84"/>
        <v>76.995</v>
      </c>
      <c r="K86" s="81">
        <f t="shared" si="85"/>
        <v>0.2239</v>
      </c>
      <c r="L86" s="82">
        <f t="shared" si="86"/>
        <v>0.722101</v>
      </c>
      <c r="M86" s="81">
        <f>INCC!$C$26</f>
        <v>0.004749025652</v>
      </c>
      <c r="N86" s="80">
        <f t="shared" si="87"/>
        <v>0.7255302762</v>
      </c>
      <c r="O86" s="80">
        <f t="shared" si="88"/>
        <v>94.68170104</v>
      </c>
      <c r="P86" s="5"/>
    </row>
    <row r="87">
      <c r="A87" s="78" t="s">
        <v>164</v>
      </c>
      <c r="B87" s="75" t="s">
        <v>47</v>
      </c>
      <c r="C87" s="76">
        <v>20110.0</v>
      </c>
      <c r="D87" s="77" t="s">
        <v>165</v>
      </c>
      <c r="E87" s="78" t="s">
        <v>49</v>
      </c>
      <c r="F87" s="79">
        <f>'MEM. CÁLC'!D113</f>
        <v>11.8125</v>
      </c>
      <c r="G87" s="80">
        <v>0.0</v>
      </c>
      <c r="H87" s="80">
        <v>13.01</v>
      </c>
      <c r="I87" s="80">
        <f t="shared" si="83"/>
        <v>13.01</v>
      </c>
      <c r="J87" s="80">
        <f t="shared" si="84"/>
        <v>153.680625</v>
      </c>
      <c r="K87" s="81">
        <f t="shared" si="85"/>
        <v>0.2239</v>
      </c>
      <c r="L87" s="82">
        <f t="shared" si="86"/>
        <v>15.922939</v>
      </c>
      <c r="M87" s="81">
        <f>INCC!$C$26</f>
        <v>0.004749025652</v>
      </c>
      <c r="N87" s="80">
        <f t="shared" si="87"/>
        <v>15.99855745</v>
      </c>
      <c r="O87" s="80">
        <f t="shared" si="88"/>
        <v>188.9829598</v>
      </c>
      <c r="P87" s="5"/>
    </row>
    <row r="88">
      <c r="A88" s="78" t="s">
        <v>166</v>
      </c>
      <c r="B88" s="75" t="s">
        <v>47</v>
      </c>
      <c r="C88" s="76">
        <v>221126.0</v>
      </c>
      <c r="D88" s="77" t="s">
        <v>167</v>
      </c>
      <c r="E88" s="78" t="s">
        <v>168</v>
      </c>
      <c r="F88" s="79">
        <f>'MEM. CÁLC'!D114</f>
        <v>11.8125</v>
      </c>
      <c r="G88" s="80">
        <v>132.81</v>
      </c>
      <c r="H88" s="80">
        <v>35.07</v>
      </c>
      <c r="I88" s="80">
        <f t="shared" si="83"/>
        <v>167.88</v>
      </c>
      <c r="J88" s="80">
        <f t="shared" si="84"/>
        <v>1983.0825</v>
      </c>
      <c r="K88" s="81">
        <f t="shared" si="85"/>
        <v>0.2239</v>
      </c>
      <c r="L88" s="82">
        <f t="shared" si="86"/>
        <v>205.468332</v>
      </c>
      <c r="M88" s="81">
        <f>INCC!$C$26</f>
        <v>0.004749025652</v>
      </c>
      <c r="N88" s="80">
        <f t="shared" si="87"/>
        <v>206.4441064</v>
      </c>
      <c r="O88" s="80">
        <f t="shared" si="88"/>
        <v>2438.621007</v>
      </c>
      <c r="P88" s="5"/>
    </row>
    <row r="89">
      <c r="A89" s="78" t="s">
        <v>169</v>
      </c>
      <c r="B89" s="75" t="s">
        <v>47</v>
      </c>
      <c r="C89" s="76">
        <v>20109.0</v>
      </c>
      <c r="D89" s="77" t="s">
        <v>107</v>
      </c>
      <c r="E89" s="78" t="s">
        <v>49</v>
      </c>
      <c r="F89" s="79">
        <f>'MEM. CÁLC'!D115</f>
        <v>11.8125</v>
      </c>
      <c r="G89" s="80">
        <v>0.0</v>
      </c>
      <c r="H89" s="80">
        <v>21.15</v>
      </c>
      <c r="I89" s="80">
        <f t="shared" si="83"/>
        <v>21.15</v>
      </c>
      <c r="J89" s="80">
        <f t="shared" si="84"/>
        <v>249.834375</v>
      </c>
      <c r="K89" s="81">
        <f t="shared" si="85"/>
        <v>0.2239</v>
      </c>
      <c r="L89" s="82">
        <f t="shared" si="86"/>
        <v>25.885485</v>
      </c>
      <c r="M89" s="81">
        <f>INCC!$C$26</f>
        <v>0.004749025652</v>
      </c>
      <c r="N89" s="80">
        <f t="shared" si="87"/>
        <v>26.00841583</v>
      </c>
      <c r="O89" s="80">
        <f t="shared" si="88"/>
        <v>307.224412</v>
      </c>
      <c r="P89" s="5"/>
    </row>
    <row r="90">
      <c r="A90" s="66" t="s">
        <v>170</v>
      </c>
      <c r="B90" s="85"/>
      <c r="C90" s="85"/>
      <c r="D90" s="71" t="s">
        <v>171</v>
      </c>
      <c r="E90" s="85"/>
      <c r="F90" s="85"/>
      <c r="G90" s="73">
        <f t="shared" ref="G90:J90" si="89">SUM(G91:G96)</f>
        <v>64.13</v>
      </c>
      <c r="H90" s="73">
        <f t="shared" si="89"/>
        <v>73.45</v>
      </c>
      <c r="I90" s="73">
        <f t="shared" si="89"/>
        <v>137.58</v>
      </c>
      <c r="J90" s="73">
        <f t="shared" si="89"/>
        <v>326245.5878</v>
      </c>
      <c r="K90" s="85"/>
      <c r="L90" s="73">
        <f>SUM(L91:L96)</f>
        <v>168.384162</v>
      </c>
      <c r="M90" s="85"/>
      <c r="N90" s="73">
        <f t="shared" ref="N90:O90" si="90">SUM(N91:N96)</f>
        <v>168.986088</v>
      </c>
      <c r="O90" s="73">
        <f t="shared" si="90"/>
        <v>401170.4901</v>
      </c>
      <c r="P90" s="5"/>
    </row>
    <row r="91">
      <c r="A91" s="74">
        <v>46034.0</v>
      </c>
      <c r="B91" s="75" t="s">
        <v>47</v>
      </c>
      <c r="C91" s="76">
        <v>260601.0</v>
      </c>
      <c r="D91" s="77" t="s">
        <v>172</v>
      </c>
      <c r="E91" s="78" t="s">
        <v>49</v>
      </c>
      <c r="F91" s="79">
        <f>'MEM. CÁLC'!D119</f>
        <v>9215.73</v>
      </c>
      <c r="G91" s="80">
        <v>7.37</v>
      </c>
      <c r="H91" s="80">
        <v>9.64</v>
      </c>
      <c r="I91" s="80">
        <f t="shared" ref="I91:I96" si="91">G91+H91</f>
        <v>17.01</v>
      </c>
      <c r="J91" s="80">
        <f t="shared" ref="J91:J96" si="92">I91*F91</f>
        <v>156759.5673</v>
      </c>
      <c r="K91" s="81">
        <f t="shared" ref="K91:K96" si="93">$F$5</f>
        <v>0.2239</v>
      </c>
      <c r="L91" s="82">
        <f t="shared" ref="L91:L96" si="94">(1+K91)*I91</f>
        <v>20.818539</v>
      </c>
      <c r="M91" s="81">
        <f>INCC!$C$26</f>
        <v>0.004749025652</v>
      </c>
      <c r="N91" s="80">
        <f t="shared" ref="N91:N96" si="95">(1+M91)*L91</f>
        <v>20.91740678</v>
      </c>
      <c r="O91" s="80">
        <f t="shared" ref="O91:O96" si="96">N91*F91</f>
        <v>192769.1731</v>
      </c>
      <c r="P91" s="5"/>
    </row>
    <row r="92">
      <c r="A92" s="74">
        <v>46065.0</v>
      </c>
      <c r="B92" s="75" t="s">
        <v>47</v>
      </c>
      <c r="C92" s="76">
        <v>261307.0</v>
      </c>
      <c r="D92" s="77" t="s">
        <v>173</v>
      </c>
      <c r="E92" s="78" t="s">
        <v>49</v>
      </c>
      <c r="F92" s="79">
        <f>'MEM. CÁLC'!D121</f>
        <v>3489.43</v>
      </c>
      <c r="G92" s="80">
        <v>4.07</v>
      </c>
      <c r="H92" s="80">
        <v>7.65</v>
      </c>
      <c r="I92" s="80">
        <f t="shared" si="91"/>
        <v>11.72</v>
      </c>
      <c r="J92" s="80">
        <f t="shared" si="92"/>
        <v>40896.1196</v>
      </c>
      <c r="K92" s="81">
        <f t="shared" si="93"/>
        <v>0.2239</v>
      </c>
      <c r="L92" s="82">
        <f t="shared" si="94"/>
        <v>14.344108</v>
      </c>
      <c r="M92" s="81">
        <f>INCC!$C$26</f>
        <v>0.004749025652</v>
      </c>
      <c r="N92" s="80">
        <f t="shared" si="95"/>
        <v>14.41222854</v>
      </c>
      <c r="O92" s="80">
        <f t="shared" si="96"/>
        <v>50290.46262</v>
      </c>
      <c r="P92" s="5"/>
    </row>
    <row r="93">
      <c r="A93" s="74">
        <v>46093.0</v>
      </c>
      <c r="B93" s="75" t="s">
        <v>47</v>
      </c>
      <c r="C93" s="76">
        <v>261000.0</v>
      </c>
      <c r="D93" s="92" t="s">
        <v>174</v>
      </c>
      <c r="E93" s="78" t="s">
        <v>49</v>
      </c>
      <c r="F93" s="79">
        <f>'MEM. CÁLC'!D122</f>
        <v>4979.486</v>
      </c>
      <c r="G93" s="80">
        <v>5.93</v>
      </c>
      <c r="H93" s="80">
        <v>10.63</v>
      </c>
      <c r="I93" s="80">
        <f t="shared" si="91"/>
        <v>16.56</v>
      </c>
      <c r="J93" s="80">
        <f t="shared" si="92"/>
        <v>82460.28816</v>
      </c>
      <c r="K93" s="81">
        <f t="shared" si="93"/>
        <v>0.2239</v>
      </c>
      <c r="L93" s="82">
        <f t="shared" si="94"/>
        <v>20.267784</v>
      </c>
      <c r="M93" s="81">
        <f>INCC!$C$26</f>
        <v>0.004749025652</v>
      </c>
      <c r="N93" s="80">
        <f t="shared" si="95"/>
        <v>20.36403623</v>
      </c>
      <c r="O93" s="80">
        <f t="shared" si="96"/>
        <v>101402.4333</v>
      </c>
      <c r="P93" s="5"/>
    </row>
    <row r="94">
      <c r="A94" s="74">
        <v>46124.0</v>
      </c>
      <c r="B94" s="75" t="s">
        <v>47</v>
      </c>
      <c r="C94" s="76">
        <v>261300.0</v>
      </c>
      <c r="D94" s="77" t="s">
        <v>175</v>
      </c>
      <c r="E94" s="78" t="s">
        <v>49</v>
      </c>
      <c r="F94" s="79">
        <f>'MEM. CÁLC'!D123</f>
        <v>1046.829</v>
      </c>
      <c r="G94" s="80">
        <v>3.12</v>
      </c>
      <c r="H94" s="80">
        <v>13.19</v>
      </c>
      <c r="I94" s="80">
        <f t="shared" si="91"/>
        <v>16.31</v>
      </c>
      <c r="J94" s="80">
        <f t="shared" si="92"/>
        <v>17073.78099</v>
      </c>
      <c r="K94" s="81">
        <f t="shared" si="93"/>
        <v>0.2239</v>
      </c>
      <c r="L94" s="82">
        <f t="shared" si="94"/>
        <v>19.961809</v>
      </c>
      <c r="M94" s="81">
        <f>INCC!$C$26</f>
        <v>0.004749025652</v>
      </c>
      <c r="N94" s="80">
        <f t="shared" si="95"/>
        <v>20.05660814</v>
      </c>
      <c r="O94" s="80">
        <f t="shared" si="96"/>
        <v>20995.83905</v>
      </c>
      <c r="P94" s="5"/>
    </row>
    <row r="95">
      <c r="A95" s="74">
        <v>46154.0</v>
      </c>
      <c r="B95" s="75" t="s">
        <v>47</v>
      </c>
      <c r="C95" s="76">
        <v>261305.0</v>
      </c>
      <c r="D95" s="77" t="s">
        <v>176</v>
      </c>
      <c r="E95" s="78" t="s">
        <v>49</v>
      </c>
      <c r="F95" s="79">
        <f>'MEM. CÁLC'!D124</f>
        <v>1493.8458</v>
      </c>
      <c r="G95" s="80">
        <v>4.86</v>
      </c>
      <c r="H95" s="80">
        <v>10.98</v>
      </c>
      <c r="I95" s="80">
        <f t="shared" si="91"/>
        <v>15.84</v>
      </c>
      <c r="J95" s="80">
        <f t="shared" si="92"/>
        <v>23662.51747</v>
      </c>
      <c r="K95" s="81">
        <f t="shared" si="93"/>
        <v>0.2239</v>
      </c>
      <c r="L95" s="82">
        <f t="shared" si="94"/>
        <v>19.386576</v>
      </c>
      <c r="M95" s="81">
        <f>INCC!$C$26</f>
        <v>0.004749025652</v>
      </c>
      <c r="N95" s="80">
        <f t="shared" si="95"/>
        <v>19.47864335</v>
      </c>
      <c r="O95" s="80">
        <f t="shared" si="96"/>
        <v>29098.08955</v>
      </c>
      <c r="P95" s="5"/>
    </row>
    <row r="96">
      <c r="A96" s="74">
        <v>46185.0</v>
      </c>
      <c r="B96" s="75" t="s">
        <v>65</v>
      </c>
      <c r="C96" s="76">
        <v>13476.0</v>
      </c>
      <c r="D96" s="77" t="s">
        <v>177</v>
      </c>
      <c r="E96" s="78" t="s">
        <v>49</v>
      </c>
      <c r="F96" s="79">
        <f>'MEM. CÁLC'!D125</f>
        <v>89.67932</v>
      </c>
      <c r="G96" s="80">
        <v>38.78</v>
      </c>
      <c r="H96" s="80">
        <f>9.74+10.84+0.78</f>
        <v>21.36</v>
      </c>
      <c r="I96" s="80">
        <f t="shared" si="91"/>
        <v>60.14</v>
      </c>
      <c r="J96" s="80">
        <f t="shared" si="92"/>
        <v>5393.314305</v>
      </c>
      <c r="K96" s="81">
        <f t="shared" si="93"/>
        <v>0.2239</v>
      </c>
      <c r="L96" s="82">
        <f t="shared" si="94"/>
        <v>73.605346</v>
      </c>
      <c r="M96" s="81">
        <f>INCC!$C$29</f>
        <v>0.002062607648</v>
      </c>
      <c r="N96" s="80">
        <f t="shared" si="95"/>
        <v>73.75716495</v>
      </c>
      <c r="O96" s="80">
        <f t="shared" si="96"/>
        <v>6614.492398</v>
      </c>
      <c r="P96" s="5"/>
    </row>
    <row r="97">
      <c r="A97" s="66" t="s">
        <v>178</v>
      </c>
      <c r="B97" s="85"/>
      <c r="C97" s="86"/>
      <c r="D97" s="71" t="s">
        <v>179</v>
      </c>
      <c r="E97" s="85"/>
      <c r="F97" s="87"/>
      <c r="G97" s="73">
        <f t="shared" ref="G97:J97" si="97">SUM(G98:G100)</f>
        <v>1027.976893</v>
      </c>
      <c r="H97" s="73">
        <f t="shared" si="97"/>
        <v>255.9731772</v>
      </c>
      <c r="I97" s="73">
        <f t="shared" si="97"/>
        <v>1283.95007</v>
      </c>
      <c r="J97" s="73">
        <f t="shared" si="97"/>
        <v>23018.32187</v>
      </c>
      <c r="K97" s="73"/>
      <c r="L97" s="73">
        <f>SUM(L98:L100)</f>
        <v>1571.426491</v>
      </c>
      <c r="M97" s="73"/>
      <c r="N97" s="73">
        <f t="shared" ref="N97:O97" si="98">SUM(N98:N100)</f>
        <v>1572.205655</v>
      </c>
      <c r="O97" s="73">
        <f t="shared" si="98"/>
        <v>28178.35745</v>
      </c>
      <c r="P97" s="88"/>
    </row>
    <row r="98">
      <c r="A98" s="74">
        <v>46035.0</v>
      </c>
      <c r="B98" s="75" t="s">
        <v>100</v>
      </c>
      <c r="C98" s="76">
        <v>2.0</v>
      </c>
      <c r="D98" s="77" t="s">
        <v>180</v>
      </c>
      <c r="E98" s="78" t="s">
        <v>71</v>
      </c>
      <c r="F98" s="79">
        <f>'MEM. CÁLC'!D129</f>
        <v>23</v>
      </c>
      <c r="G98" s="80">
        <f>'COMP. onerado'!M16</f>
        <v>653.7456452</v>
      </c>
      <c r="H98" s="80">
        <f>'COMP. onerado'!N16</f>
        <v>210.8026755</v>
      </c>
      <c r="I98" s="80">
        <f t="shared" ref="I98:I100" si="99">G98+H98</f>
        <v>864.5483207</v>
      </c>
      <c r="J98" s="80">
        <f t="shared" ref="J98:J100" si="100">I98*F98</f>
        <v>19884.61138</v>
      </c>
      <c r="K98" s="81">
        <f t="shared" ref="K98:K100" si="101">$F$5</f>
        <v>0.2239</v>
      </c>
      <c r="L98" s="82">
        <f t="shared" ref="L98:L100" si="102">(1+K98)*I98</f>
        <v>1058.12069</v>
      </c>
      <c r="M98" s="89"/>
      <c r="N98" s="80">
        <f t="shared" ref="N98:N100" si="103">(1+M98)*L98</f>
        <v>1058.12069</v>
      </c>
      <c r="O98" s="80">
        <f t="shared" ref="O98:O100" si="104">N98*F98</f>
        <v>24336.77586</v>
      </c>
      <c r="P98" s="5"/>
    </row>
    <row r="99">
      <c r="A99" s="74">
        <v>46066.0</v>
      </c>
      <c r="B99" s="75" t="s">
        <v>65</v>
      </c>
      <c r="C99" s="76">
        <v>8759.0</v>
      </c>
      <c r="D99" s="77" t="s">
        <v>181</v>
      </c>
      <c r="E99" s="78" t="s">
        <v>71</v>
      </c>
      <c r="F99" s="79">
        <f>'MEM. CÁLC'!D131</f>
        <v>8</v>
      </c>
      <c r="G99" s="80">
        <v>272.26</v>
      </c>
      <c r="H99" s="80">
        <f>16.57+18.45+1.37</f>
        <v>36.39</v>
      </c>
      <c r="I99" s="80">
        <f t="shared" si="99"/>
        <v>308.65</v>
      </c>
      <c r="J99" s="80">
        <f t="shared" si="100"/>
        <v>2469.2</v>
      </c>
      <c r="K99" s="81">
        <f t="shared" si="101"/>
        <v>0.2239</v>
      </c>
      <c r="L99" s="82">
        <f t="shared" si="102"/>
        <v>377.756735</v>
      </c>
      <c r="M99" s="81">
        <f>INCC!$C$29</f>
        <v>0.002062607648</v>
      </c>
      <c r="N99" s="80">
        <f t="shared" si="103"/>
        <v>378.5358989</v>
      </c>
      <c r="O99" s="80">
        <f t="shared" si="104"/>
        <v>3028.287191</v>
      </c>
      <c r="P99" s="5"/>
    </row>
    <row r="100">
      <c r="A100" s="74">
        <v>46094.0</v>
      </c>
      <c r="B100" s="75" t="s">
        <v>100</v>
      </c>
      <c r="C100" s="76">
        <v>9.0</v>
      </c>
      <c r="D100" s="77" t="s">
        <v>182</v>
      </c>
      <c r="E100" s="78" t="s">
        <v>60</v>
      </c>
      <c r="F100" s="79">
        <f>'MEM. CÁLC'!D135</f>
        <v>6</v>
      </c>
      <c r="G100" s="80">
        <f>'COMP. onerado'!M60</f>
        <v>101.9712477</v>
      </c>
      <c r="H100" s="80">
        <f>'COMP. onerado'!N60</f>
        <v>8.780501735</v>
      </c>
      <c r="I100" s="80">
        <f t="shared" si="99"/>
        <v>110.7517494</v>
      </c>
      <c r="J100" s="80">
        <f t="shared" si="100"/>
        <v>664.5104967</v>
      </c>
      <c r="K100" s="81">
        <f t="shared" si="101"/>
        <v>0.2239</v>
      </c>
      <c r="L100" s="82">
        <f t="shared" si="102"/>
        <v>135.5490661</v>
      </c>
      <c r="M100" s="81"/>
      <c r="N100" s="80">
        <f t="shared" si="103"/>
        <v>135.5490661</v>
      </c>
      <c r="O100" s="80">
        <f t="shared" si="104"/>
        <v>813.2943969</v>
      </c>
      <c r="P100" s="5"/>
    </row>
    <row r="101">
      <c r="A101" s="66" t="s">
        <v>183</v>
      </c>
      <c r="B101" s="85"/>
      <c r="C101" s="86"/>
      <c r="D101" s="71" t="s">
        <v>184</v>
      </c>
      <c r="E101" s="85"/>
      <c r="F101" s="87"/>
      <c r="G101" s="73">
        <f t="shared" ref="G101:J101" si="105">SUM(G102:G105)</f>
        <v>0</v>
      </c>
      <c r="H101" s="73">
        <f t="shared" si="105"/>
        <v>44870.89</v>
      </c>
      <c r="I101" s="73">
        <f t="shared" si="105"/>
        <v>44870.89</v>
      </c>
      <c r="J101" s="73">
        <f t="shared" si="105"/>
        <v>134612.67</v>
      </c>
      <c r="K101" s="73"/>
      <c r="L101" s="73">
        <f>SUM(L102:L105)</f>
        <v>54917.48227</v>
      </c>
      <c r="M101" s="73"/>
      <c r="N101" s="73">
        <f t="shared" ref="N101:O101" si="106">SUM(N102:N105)</f>
        <v>55178.2868</v>
      </c>
      <c r="O101" s="73">
        <f t="shared" si="106"/>
        <v>165534.8604</v>
      </c>
      <c r="P101" s="88"/>
    </row>
    <row r="102">
      <c r="A102" s="74">
        <v>46036.0</v>
      </c>
      <c r="B102" s="75" t="s">
        <v>47</v>
      </c>
      <c r="C102" s="76">
        <v>250101.0</v>
      </c>
      <c r="D102" s="77" t="s">
        <v>185</v>
      </c>
      <c r="E102" s="78" t="s">
        <v>51</v>
      </c>
      <c r="F102" s="79">
        <f>'MEM. CÁLC'!D139</f>
        <v>3</v>
      </c>
      <c r="G102" s="80">
        <v>0.0</v>
      </c>
      <c r="H102" s="80">
        <v>24692.85</v>
      </c>
      <c r="I102" s="80">
        <f t="shared" ref="I102:I105" si="107">G102+H102</f>
        <v>24692.85</v>
      </c>
      <c r="J102" s="80">
        <f t="shared" ref="J102:J105" si="108">I102*F102</f>
        <v>74078.55</v>
      </c>
      <c r="K102" s="81">
        <f t="shared" ref="K102:K105" si="109">$F$5</f>
        <v>0.2239</v>
      </c>
      <c r="L102" s="82">
        <f t="shared" ref="L102:L105" si="110">(1+K102)*I102</f>
        <v>30221.57912</v>
      </c>
      <c r="M102" s="81">
        <f>INCC!$C$26</f>
        <v>0.004749025652</v>
      </c>
      <c r="N102" s="80">
        <f t="shared" ref="N102:N105" si="111">(1+M102)*L102</f>
        <v>30365.10217</v>
      </c>
      <c r="O102" s="80">
        <f t="shared" ref="O102:O105" si="112">N102*F102</f>
        <v>91095.30651</v>
      </c>
      <c r="P102" s="5"/>
    </row>
    <row r="103">
      <c r="A103" s="74">
        <v>46067.0</v>
      </c>
      <c r="B103" s="75" t="s">
        <v>47</v>
      </c>
      <c r="C103" s="76">
        <v>250103.0</v>
      </c>
      <c r="D103" s="77" t="s">
        <v>186</v>
      </c>
      <c r="E103" s="78" t="s">
        <v>51</v>
      </c>
      <c r="F103" s="79">
        <f>'MEM. CÁLC'!D140</f>
        <v>3</v>
      </c>
      <c r="G103" s="80">
        <v>0.0</v>
      </c>
      <c r="H103" s="80">
        <v>7074.43</v>
      </c>
      <c r="I103" s="80">
        <f t="shared" si="107"/>
        <v>7074.43</v>
      </c>
      <c r="J103" s="80">
        <f t="shared" si="108"/>
        <v>21223.29</v>
      </c>
      <c r="K103" s="81">
        <f t="shared" si="109"/>
        <v>0.2239</v>
      </c>
      <c r="L103" s="82">
        <f t="shared" si="110"/>
        <v>8658.394877</v>
      </c>
      <c r="M103" s="81">
        <f>INCC!$C$26</f>
        <v>0.004749025652</v>
      </c>
      <c r="N103" s="80">
        <f t="shared" si="111"/>
        <v>8699.513816</v>
      </c>
      <c r="O103" s="80">
        <f t="shared" si="112"/>
        <v>26098.54145</v>
      </c>
      <c r="P103" s="5"/>
    </row>
    <row r="104">
      <c r="A104" s="74">
        <v>46095.0</v>
      </c>
      <c r="B104" s="75" t="s">
        <v>47</v>
      </c>
      <c r="C104" s="76">
        <v>250112.0</v>
      </c>
      <c r="D104" s="77" t="s">
        <v>187</v>
      </c>
      <c r="E104" s="78" t="s">
        <v>51</v>
      </c>
      <c r="F104" s="79">
        <f>'MEM. CÁLC'!D141</f>
        <v>3</v>
      </c>
      <c r="G104" s="80">
        <v>0.0</v>
      </c>
      <c r="H104" s="80">
        <v>6260.21</v>
      </c>
      <c r="I104" s="80">
        <f t="shared" si="107"/>
        <v>6260.21</v>
      </c>
      <c r="J104" s="80">
        <f t="shared" si="108"/>
        <v>18780.63</v>
      </c>
      <c r="K104" s="81">
        <f t="shared" si="109"/>
        <v>0.2239</v>
      </c>
      <c r="L104" s="82">
        <f t="shared" si="110"/>
        <v>7661.871019</v>
      </c>
      <c r="M104" s="81">
        <f>INCC!$C$26</f>
        <v>0.004749025652</v>
      </c>
      <c r="N104" s="80">
        <f t="shared" si="111"/>
        <v>7698.257441</v>
      </c>
      <c r="O104" s="80">
        <f t="shared" si="112"/>
        <v>23094.77232</v>
      </c>
      <c r="P104" s="5"/>
    </row>
    <row r="105">
      <c r="A105" s="74">
        <v>46126.0</v>
      </c>
      <c r="B105" s="75" t="s">
        <v>47</v>
      </c>
      <c r="C105" s="76">
        <v>250113.0</v>
      </c>
      <c r="D105" s="77" t="s">
        <v>188</v>
      </c>
      <c r="E105" s="78" t="s">
        <v>51</v>
      </c>
      <c r="F105" s="79">
        <f>'MEM. CÁLC'!D142</f>
        <v>3</v>
      </c>
      <c r="G105" s="80">
        <v>0.0</v>
      </c>
      <c r="H105" s="80">
        <v>6843.4</v>
      </c>
      <c r="I105" s="80">
        <f t="shared" si="107"/>
        <v>6843.4</v>
      </c>
      <c r="J105" s="80">
        <f t="shared" si="108"/>
        <v>20530.2</v>
      </c>
      <c r="K105" s="81">
        <f t="shared" si="109"/>
        <v>0.2239</v>
      </c>
      <c r="L105" s="82">
        <f t="shared" si="110"/>
        <v>8375.63726</v>
      </c>
      <c r="M105" s="81">
        <f>INCC!$C$26</f>
        <v>0.004749025652</v>
      </c>
      <c r="N105" s="80">
        <f t="shared" si="111"/>
        <v>8415.413376</v>
      </c>
      <c r="O105" s="80">
        <f t="shared" si="112"/>
        <v>25246.24013</v>
      </c>
      <c r="P105" s="5"/>
    </row>
    <row r="106">
      <c r="A106" s="94"/>
      <c r="B106" s="95"/>
      <c r="C106" s="96"/>
      <c r="D106" s="95"/>
      <c r="E106" s="95"/>
      <c r="F106" s="97"/>
      <c r="G106" s="98"/>
      <c r="H106" s="98"/>
      <c r="I106" s="98"/>
      <c r="J106" s="99"/>
      <c r="K106" s="99"/>
      <c r="L106" s="100"/>
      <c r="M106" s="97"/>
      <c r="N106" s="98"/>
      <c r="O106" s="98"/>
      <c r="P106" s="84"/>
    </row>
    <row r="107">
      <c r="A107" s="101" t="s">
        <v>189</v>
      </c>
      <c r="B107" s="9"/>
      <c r="C107" s="9"/>
      <c r="D107" s="9"/>
      <c r="E107" s="9"/>
      <c r="F107" s="9"/>
      <c r="G107" s="9"/>
      <c r="H107" s="65"/>
      <c r="I107" s="102"/>
      <c r="J107" s="102">
        <f>J8+J13+J17+J20+J41+J51+J56+J59+J66+J74+J77+J90+J97+J101</f>
        <v>1656372.466</v>
      </c>
      <c r="K107" s="102"/>
      <c r="L107" s="102"/>
      <c r="M107" s="102"/>
      <c r="N107" s="102"/>
      <c r="O107" s="102">
        <f>O8+O13+O17+O20+O41+O51+O56+O59+O66+O74+O77+O90+O97+O101</f>
        <v>2027854.257</v>
      </c>
      <c r="P107" s="103"/>
    </row>
    <row r="108">
      <c r="A108" s="94"/>
      <c r="B108" s="95"/>
      <c r="C108" s="96"/>
      <c r="D108" s="95"/>
      <c r="E108" s="95"/>
      <c r="F108" s="97"/>
      <c r="G108" s="98"/>
      <c r="H108" s="98"/>
      <c r="I108" s="98"/>
      <c r="J108" s="99"/>
      <c r="K108" s="99"/>
      <c r="L108" s="100"/>
      <c r="M108" s="97"/>
      <c r="N108" s="98"/>
      <c r="O108" s="98"/>
      <c r="P108" s="84"/>
    </row>
  </sheetData>
  <autoFilter ref="$A$7:$O$107"/>
  <mergeCells count="3">
    <mergeCell ref="A6:O6"/>
    <mergeCell ref="A107:H107"/>
    <mergeCell ref="F3:H3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75"/>
  <cols>
    <col customWidth="1" min="1" max="1" width="11.38"/>
    <col customWidth="1" min="2" max="2" width="15.13"/>
    <col customWidth="1" min="3" max="3" width="10.88"/>
    <col customWidth="1" min="4" max="4" width="68.88"/>
    <col customWidth="1" min="5" max="5" width="12.0"/>
    <col customWidth="1" min="6" max="6" width="16.63"/>
    <col customWidth="1" min="7" max="13" width="16.0"/>
    <col customWidth="1" min="14" max="14" width="18.13"/>
    <col customWidth="1" min="15" max="15" width="16.0"/>
  </cols>
  <sheetData>
    <row r="1">
      <c r="A1" s="29" t="str">
        <f>'ORÇA onerado'!A1</f>
        <v>Órgão:</v>
      </c>
      <c r="B1" s="30" t="s">
        <v>1</v>
      </c>
      <c r="C1" s="31"/>
      <c r="D1" s="32"/>
      <c r="E1" s="33" t="s">
        <v>23</v>
      </c>
      <c r="F1" s="34">
        <f>'ORÇA onerado'!F1</f>
        <v>45992</v>
      </c>
      <c r="G1" s="35"/>
      <c r="H1" s="36"/>
      <c r="I1" s="37"/>
      <c r="J1" s="38"/>
      <c r="K1" s="39"/>
      <c r="L1" s="39"/>
      <c r="M1" s="39"/>
      <c r="N1" s="40"/>
      <c r="O1" s="41"/>
      <c r="P1" s="5"/>
    </row>
    <row r="2">
      <c r="A2" s="29" t="s">
        <v>3</v>
      </c>
      <c r="B2" s="30" t="s">
        <v>4</v>
      </c>
      <c r="C2" s="31"/>
      <c r="D2" s="32"/>
      <c r="E2" s="42" t="s">
        <v>24</v>
      </c>
      <c r="F2" s="43" t="s">
        <v>190</v>
      </c>
      <c r="G2" s="44"/>
      <c r="H2" s="45"/>
      <c r="I2" s="46"/>
      <c r="J2" s="47"/>
      <c r="K2" s="48"/>
      <c r="L2" s="48"/>
      <c r="M2" s="48"/>
      <c r="N2" s="49"/>
      <c r="O2" s="50"/>
      <c r="P2" s="5"/>
    </row>
    <row r="3">
      <c r="A3" s="29" t="s">
        <v>7</v>
      </c>
      <c r="B3" s="30" t="s">
        <v>8</v>
      </c>
      <c r="C3" s="31"/>
      <c r="D3" s="32"/>
      <c r="E3" s="51"/>
      <c r="F3" s="52" t="s">
        <v>10</v>
      </c>
      <c r="G3" s="53"/>
      <c r="H3" s="54"/>
      <c r="I3" s="47"/>
      <c r="J3" s="55"/>
      <c r="K3" s="55"/>
      <c r="L3" s="48"/>
      <c r="M3" s="55"/>
      <c r="N3" s="55"/>
      <c r="O3" s="50"/>
      <c r="P3" s="5"/>
    </row>
    <row r="4">
      <c r="A4" s="29" t="s">
        <v>11</v>
      </c>
      <c r="B4" s="30" t="s">
        <v>12</v>
      </c>
      <c r="C4" s="56"/>
      <c r="D4" s="32"/>
      <c r="E4" s="57"/>
      <c r="F4" s="58" t="s">
        <v>191</v>
      </c>
      <c r="G4" s="59"/>
      <c r="H4" s="60">
        <f>F1</f>
        <v>45992</v>
      </c>
      <c r="I4" s="47"/>
      <c r="J4" s="47"/>
      <c r="K4" s="48"/>
      <c r="L4" s="48"/>
      <c r="M4" s="48"/>
      <c r="N4" s="49"/>
      <c r="O4" s="50"/>
      <c r="P4" s="5"/>
    </row>
    <row r="5">
      <c r="A5" s="61" t="s">
        <v>13</v>
      </c>
      <c r="B5" s="30" t="s">
        <v>14</v>
      </c>
      <c r="C5" s="31"/>
      <c r="D5" s="32"/>
      <c r="E5" s="33" t="s">
        <v>27</v>
      </c>
      <c r="F5" s="62">
        <f>BDI!E22</f>
        <v>0.2239</v>
      </c>
      <c r="G5" s="63" t="s">
        <v>28</v>
      </c>
      <c r="H5" s="62">
        <f>BDI!K22</f>
        <v>0.1827</v>
      </c>
      <c r="I5" s="46"/>
      <c r="J5" s="47"/>
      <c r="K5" s="48"/>
      <c r="L5" s="48"/>
      <c r="M5" s="48"/>
      <c r="N5" s="49"/>
      <c r="O5" s="50"/>
      <c r="P5" s="5"/>
    </row>
    <row r="6">
      <c r="A6" s="64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65"/>
      <c r="P6" s="5"/>
    </row>
    <row r="7">
      <c r="A7" s="66" t="s">
        <v>30</v>
      </c>
      <c r="B7" s="66" t="s">
        <v>31</v>
      </c>
      <c r="C7" s="67" t="s">
        <v>32</v>
      </c>
      <c r="D7" s="33" t="s">
        <v>33</v>
      </c>
      <c r="E7" s="66" t="s">
        <v>34</v>
      </c>
      <c r="F7" s="68" t="s">
        <v>35</v>
      </c>
      <c r="G7" s="68" t="s">
        <v>36</v>
      </c>
      <c r="H7" s="68" t="s">
        <v>37</v>
      </c>
      <c r="I7" s="68" t="s">
        <v>38</v>
      </c>
      <c r="J7" s="68" t="s">
        <v>39</v>
      </c>
      <c r="K7" s="68" t="s">
        <v>40</v>
      </c>
      <c r="L7" s="68" t="s">
        <v>41</v>
      </c>
      <c r="M7" s="68" t="s">
        <v>42</v>
      </c>
      <c r="N7" s="68" t="s">
        <v>43</v>
      </c>
      <c r="O7" s="66" t="s">
        <v>44</v>
      </c>
      <c r="P7" s="5"/>
    </row>
    <row r="8">
      <c r="A8" s="66" t="s">
        <v>45</v>
      </c>
      <c r="B8" s="69"/>
      <c r="C8" s="70"/>
      <c r="D8" s="71" t="s">
        <v>46</v>
      </c>
      <c r="E8" s="69"/>
      <c r="F8" s="72"/>
      <c r="G8" s="73">
        <f t="shared" ref="G8:J8" si="1">SUM(G9:G12)</f>
        <v>2876.9</v>
      </c>
      <c r="H8" s="73">
        <f t="shared" si="1"/>
        <v>9.62</v>
      </c>
      <c r="I8" s="73">
        <f t="shared" si="1"/>
        <v>2886.52</v>
      </c>
      <c r="J8" s="73">
        <f t="shared" si="1"/>
        <v>77517.6627</v>
      </c>
      <c r="K8" s="73"/>
      <c r="L8" s="73">
        <f>SUM(L9:L12)</f>
        <v>3430.39934</v>
      </c>
      <c r="M8" s="73"/>
      <c r="N8" s="73">
        <f t="shared" ref="N8:O8" si="2">SUM(N9:N12)</f>
        <v>3446.690394</v>
      </c>
      <c r="O8" s="73">
        <f t="shared" si="2"/>
        <v>92190.1885</v>
      </c>
      <c r="P8" s="5"/>
    </row>
    <row r="9">
      <c r="A9" s="74">
        <f>'ORÇA onerado'!A9</f>
        <v>45658</v>
      </c>
      <c r="B9" s="74" t="str">
        <f>'ORÇA onerado'!B9</f>
        <v>GOINFRA</v>
      </c>
      <c r="C9" s="76">
        <f>'ORÇA onerado'!C9</f>
        <v>21301</v>
      </c>
      <c r="D9" s="104" t="str">
        <f>'ORÇA onerado'!D9</f>
        <v>PLACA DE OBRA PLOTADA EM CHAPA METÁLICA 26 , AFIXADA EM CAVALETES DE MADEIRA DE LEI (VIGOTAS 6X12CM) - PADRÃO GOINFRA</v>
      </c>
      <c r="E9" s="74" t="str">
        <f>'ORÇA onerado'!E9</f>
        <v>m2</v>
      </c>
      <c r="F9" s="79">
        <f>'ORÇA onerado'!F9</f>
        <v>4.5</v>
      </c>
      <c r="G9" s="80">
        <v>396.3</v>
      </c>
      <c r="H9" s="80">
        <v>4.48</v>
      </c>
      <c r="I9" s="80">
        <f t="shared" ref="I9:I12" si="3">G9+H9</f>
        <v>400.78</v>
      </c>
      <c r="J9" s="80">
        <f t="shared" ref="J9:J12" si="4">I9*F9</f>
        <v>1803.51</v>
      </c>
      <c r="K9" s="81">
        <f>$F$5</f>
        <v>0.2239</v>
      </c>
      <c r="L9" s="82">
        <f t="shared" ref="L9:L12" si="5">(1+K9)*I9</f>
        <v>490.514642</v>
      </c>
      <c r="M9" s="81">
        <f>INCC!$C$26</f>
        <v>0.004749025652</v>
      </c>
      <c r="N9" s="80">
        <f t="shared" ref="N9:N12" si="6">(1+M9)*L9</f>
        <v>492.8441086</v>
      </c>
      <c r="O9" s="80">
        <f t="shared" ref="O9:O12" si="7">N9*F9</f>
        <v>2217.798489</v>
      </c>
      <c r="P9" s="83"/>
    </row>
    <row r="10">
      <c r="A10" s="74">
        <f>'ORÇA onerado'!A10</f>
        <v>45689</v>
      </c>
      <c r="B10" s="74" t="str">
        <f>'ORÇA onerado'!B10</f>
        <v>GOINFRA</v>
      </c>
      <c r="C10" s="76">
        <f>'ORÇA onerado'!C10</f>
        <v>20230</v>
      </c>
      <c r="D10" s="104" t="str">
        <f>'ORÇA onerado'!D10</f>
        <v>LOCAÇÃO DE CONTAINER SEM REVESTIMENTO INTERNO PARA ALMOXARIFADO / DEPÓSITO 6,00 X 2,40 M, INCLUSIVE MOBILIÁRIO (EXCLUSO MOBILIZAÇÃO / DESMOBILIZAÇÃO)LOCAÇÃO DE CONTAINER SEM REVESTIMENTO INTERNO PARA ALMOXARIFADO / DEPÓSITO 6,00 X 2,40 M, INCLUSIVE MOBILIÁRIO (EXCLUSO MOBILIZAÇÃO / DESMOBILIZAÇÃO)</v>
      </c>
      <c r="E10" s="74" t="str">
        <f>'ORÇA onerado'!E10</f>
        <v>mês</v>
      </c>
      <c r="F10" s="79">
        <f>'ORÇA onerado'!F10</f>
        <v>3</v>
      </c>
      <c r="G10" s="80">
        <v>1135.26</v>
      </c>
      <c r="H10" s="80">
        <v>0.0</v>
      </c>
      <c r="I10" s="80">
        <f t="shared" si="3"/>
        <v>1135.26</v>
      </c>
      <c r="J10" s="80">
        <f t="shared" si="4"/>
        <v>3405.78</v>
      </c>
      <c r="K10" s="81">
        <f t="shared" ref="K10:K12" si="8">$H$5</f>
        <v>0.1827</v>
      </c>
      <c r="L10" s="82">
        <f t="shared" si="5"/>
        <v>1342.672002</v>
      </c>
      <c r="M10" s="81">
        <f>INCC!$C$26</f>
        <v>0.004749025652</v>
      </c>
      <c r="N10" s="80">
        <f t="shared" si="6"/>
        <v>1349.048386</v>
      </c>
      <c r="O10" s="80">
        <f t="shared" si="7"/>
        <v>4047.145157</v>
      </c>
      <c r="P10" s="83"/>
    </row>
    <row r="11">
      <c r="A11" s="74">
        <f>'ORÇA onerado'!A11</f>
        <v>45717</v>
      </c>
      <c r="B11" s="74" t="str">
        <f>'ORÇA onerado'!B11</f>
        <v>GOINFRA</v>
      </c>
      <c r="C11" s="76">
        <f>'ORÇA onerado'!C11</f>
        <v>20232</v>
      </c>
      <c r="D11" s="104" t="str">
        <f>'ORÇA onerado'!D11</f>
        <v>LOCAÇÃO DE CONTAINER SANITÁRIO MISTO 6,00 X 2,40 M, COM 3 VASOS, 6 CHUVEIROS, LAVATÓRIO E MICTÓRIO (EXCLUSO MOBILIZAÇÃO / DESMOBILIZAÇÃO)</v>
      </c>
      <c r="E11" s="74" t="str">
        <f>'ORÇA onerado'!E11</f>
        <v>mês</v>
      </c>
      <c r="F11" s="79">
        <f>'ORÇA onerado'!F11</f>
        <v>3</v>
      </c>
      <c r="G11" s="80">
        <v>1325.95</v>
      </c>
      <c r="H11" s="80">
        <v>0.0</v>
      </c>
      <c r="I11" s="80">
        <f t="shared" si="3"/>
        <v>1325.95</v>
      </c>
      <c r="J11" s="80">
        <f t="shared" si="4"/>
        <v>3977.85</v>
      </c>
      <c r="K11" s="81">
        <f t="shared" si="8"/>
        <v>0.1827</v>
      </c>
      <c r="L11" s="82">
        <f t="shared" si="5"/>
        <v>1568.201065</v>
      </c>
      <c r="M11" s="81">
        <f>INCC!$C$26</f>
        <v>0.004749025652</v>
      </c>
      <c r="N11" s="80">
        <f t="shared" si="6"/>
        <v>1575.648492</v>
      </c>
      <c r="O11" s="80">
        <f t="shared" si="7"/>
        <v>4726.945476</v>
      </c>
      <c r="P11" s="84"/>
    </row>
    <row r="12">
      <c r="A12" s="74">
        <f>'ORÇA onerado'!A12</f>
        <v>45748</v>
      </c>
      <c r="B12" s="74" t="str">
        <f>'ORÇA onerado'!B12</f>
        <v>GOINFRA</v>
      </c>
      <c r="C12" s="76">
        <f>'ORÇA onerado'!C12</f>
        <v>60105</v>
      </c>
      <c r="D12" s="104" t="str">
        <f>'ORÇA onerado'!D12</f>
        <v>ANDAIME METALICO FACHADEIRO (ALUGUEL/MES)</v>
      </c>
      <c r="E12" s="74" t="str">
        <f>'ORÇA onerado'!E12</f>
        <v>m2xmes</v>
      </c>
      <c r="F12" s="79">
        <f>'ORÇA onerado'!F12</f>
        <v>2785.59</v>
      </c>
      <c r="G12" s="80">
        <v>19.39</v>
      </c>
      <c r="H12" s="80">
        <v>5.14</v>
      </c>
      <c r="I12" s="80">
        <f t="shared" si="3"/>
        <v>24.53</v>
      </c>
      <c r="J12" s="80">
        <f t="shared" si="4"/>
        <v>68330.5227</v>
      </c>
      <c r="K12" s="81">
        <f t="shared" si="8"/>
        <v>0.1827</v>
      </c>
      <c r="L12" s="82">
        <f t="shared" si="5"/>
        <v>29.011631</v>
      </c>
      <c r="M12" s="81">
        <f>INCC!$C$26</f>
        <v>0.004749025652</v>
      </c>
      <c r="N12" s="80">
        <f t="shared" si="6"/>
        <v>29.14940798</v>
      </c>
      <c r="O12" s="80">
        <f t="shared" si="7"/>
        <v>81198.29937</v>
      </c>
      <c r="P12" s="84"/>
    </row>
    <row r="13">
      <c r="A13" s="66" t="str">
        <f>'ORÇA onerado'!A13</f>
        <v>02.</v>
      </c>
      <c r="B13" s="105" t="str">
        <f>'ORÇA onerado'!B13</f>
        <v/>
      </c>
      <c r="C13" s="67" t="str">
        <f>'ORÇA onerado'!C13</f>
        <v/>
      </c>
      <c r="D13" s="106" t="str">
        <f>'ORÇA onerado'!D13</f>
        <v>TRANSPORTES</v>
      </c>
      <c r="E13" s="105" t="str">
        <f>'ORÇA onerado'!E13</f>
        <v/>
      </c>
      <c r="F13" s="107" t="str">
        <f>'ORÇA onerado'!F13</f>
        <v/>
      </c>
      <c r="G13" s="73">
        <f t="shared" ref="G13:J13" si="9">SUM(G14:G16)</f>
        <v>555.56</v>
      </c>
      <c r="H13" s="73">
        <f t="shared" si="9"/>
        <v>474.3</v>
      </c>
      <c r="I13" s="73">
        <f t="shared" si="9"/>
        <v>1029.86</v>
      </c>
      <c r="J13" s="73">
        <f t="shared" si="9"/>
        <v>10486.2548</v>
      </c>
      <c r="K13" s="73"/>
      <c r="L13" s="73">
        <f>SUM(L14:L16)</f>
        <v>1260.445654</v>
      </c>
      <c r="M13" s="73"/>
      <c r="N13" s="73">
        <f t="shared" ref="N13:O13" si="10">SUM(N14:N16)</f>
        <v>1266.431543</v>
      </c>
      <c r="O13" s="73">
        <f t="shared" si="10"/>
        <v>12895.07685</v>
      </c>
      <c r="P13" s="88"/>
    </row>
    <row r="14">
      <c r="A14" s="74">
        <f>'ORÇA onerado'!A14</f>
        <v>45659</v>
      </c>
      <c r="B14" s="74" t="str">
        <f>'ORÇA onerado'!B14</f>
        <v>GOINFRA</v>
      </c>
      <c r="C14" s="76">
        <f>'ORÇA onerado'!C14</f>
        <v>30105</v>
      </c>
      <c r="D14" s="104" t="str">
        <f>'ORÇA onerado'!D14</f>
        <v>TRANSPORTE DE ENTULHO EM CAÇAMBA ESTACIONÁRIA  INCLUSO A CARGA MANUAL</v>
      </c>
      <c r="E14" s="74" t="str">
        <f>'ORÇA onerado'!E14</f>
        <v>m3</v>
      </c>
      <c r="F14" s="79">
        <f>'ORÇA onerado'!F14</f>
        <v>87.74</v>
      </c>
      <c r="G14" s="80">
        <v>96.8</v>
      </c>
      <c r="H14" s="80">
        <v>12.22</v>
      </c>
      <c r="I14" s="80">
        <f t="shared" ref="I14:I16" si="11">G14+H14</f>
        <v>109.02</v>
      </c>
      <c r="J14" s="80">
        <f t="shared" ref="J14:J16" si="12">I14*F14</f>
        <v>9565.4148</v>
      </c>
      <c r="K14" s="81">
        <f t="shared" ref="K14:K16" si="13">$F$5</f>
        <v>0.2239</v>
      </c>
      <c r="L14" s="82">
        <f t="shared" ref="L14:L16" si="14">(1+K14)*I14</f>
        <v>133.429578</v>
      </c>
      <c r="M14" s="81">
        <f>INCC!$C$26</f>
        <v>0.004749025652</v>
      </c>
      <c r="N14" s="80">
        <f t="shared" ref="N14:N16" si="15">(1+M14)*L14</f>
        <v>134.0632385</v>
      </c>
      <c r="O14" s="80">
        <f t="shared" ref="O14:O16" si="16">N14*F14</f>
        <v>11762.70854</v>
      </c>
      <c r="P14" s="5"/>
    </row>
    <row r="15">
      <c r="A15" s="74">
        <f>'ORÇA onerado'!A15</f>
        <v>45690</v>
      </c>
      <c r="B15" s="74" t="str">
        <f>'ORÇA onerado'!B15</f>
        <v>GOINFRA</v>
      </c>
      <c r="C15" s="76">
        <f>'ORÇA onerado'!C15</f>
        <v>30114</v>
      </c>
      <c r="D15" s="104" t="str">
        <f>'ORÇA onerado'!D15</f>
        <v>MOBILIZAÇÃO DO CANTEIRO DE OBRAS - INCLUSIVE CARGA E DESCARGA E A HORA IMPRODUTIVA DO CAMINHÃO - ( EXCLUSO O TRANSPORTE )</v>
      </c>
      <c r="E15" s="74" t="str">
        <f>'ORÇA onerado'!E15</f>
        <v>un</v>
      </c>
      <c r="F15" s="79">
        <f>'ORÇA onerado'!F15</f>
        <v>1</v>
      </c>
      <c r="G15" s="80">
        <v>229.38</v>
      </c>
      <c r="H15" s="80">
        <v>231.04</v>
      </c>
      <c r="I15" s="80">
        <f t="shared" si="11"/>
        <v>460.42</v>
      </c>
      <c r="J15" s="80">
        <f t="shared" si="12"/>
        <v>460.42</v>
      </c>
      <c r="K15" s="81">
        <f t="shared" si="13"/>
        <v>0.2239</v>
      </c>
      <c r="L15" s="82">
        <f t="shared" si="14"/>
        <v>563.508038</v>
      </c>
      <c r="M15" s="81">
        <f>INCC!$C$26</f>
        <v>0.004749025652</v>
      </c>
      <c r="N15" s="80">
        <f t="shared" si="15"/>
        <v>566.1841521</v>
      </c>
      <c r="O15" s="80">
        <f t="shared" si="16"/>
        <v>566.1841521</v>
      </c>
      <c r="P15" s="5"/>
    </row>
    <row r="16">
      <c r="A16" s="74">
        <f>'ORÇA onerado'!A16</f>
        <v>45718</v>
      </c>
      <c r="B16" s="74" t="str">
        <f>'ORÇA onerado'!B16</f>
        <v>GOINFRA</v>
      </c>
      <c r="C16" s="76">
        <f>'ORÇA onerado'!C16</f>
        <v>30116</v>
      </c>
      <c r="D16" s="104" t="str">
        <f>'ORÇA onerado'!D16</f>
        <v>DESMOBILIZAÇÃO DO CANTEIRO DE OBRAS - INCLUSIVE CARGA E DESCARGA E A HORA IMPRODUTIVA DO CAMINHÃO - ( EXCLUSO O TRANSPORTE )</v>
      </c>
      <c r="E16" s="74" t="str">
        <f>'ORÇA onerado'!E16</f>
        <v>un</v>
      </c>
      <c r="F16" s="79">
        <f>'ORÇA onerado'!F16</f>
        <v>1</v>
      </c>
      <c r="G16" s="80">
        <v>229.38</v>
      </c>
      <c r="H16" s="80">
        <v>231.04</v>
      </c>
      <c r="I16" s="80">
        <f t="shared" si="11"/>
        <v>460.42</v>
      </c>
      <c r="J16" s="80">
        <f t="shared" si="12"/>
        <v>460.42</v>
      </c>
      <c r="K16" s="81">
        <f t="shared" si="13"/>
        <v>0.2239</v>
      </c>
      <c r="L16" s="82">
        <f t="shared" si="14"/>
        <v>563.508038</v>
      </c>
      <c r="M16" s="81">
        <f>INCC!$C$26</f>
        <v>0.004749025652</v>
      </c>
      <c r="N16" s="80">
        <f t="shared" si="15"/>
        <v>566.1841521</v>
      </c>
      <c r="O16" s="80">
        <f t="shared" si="16"/>
        <v>566.1841521</v>
      </c>
      <c r="P16" s="5"/>
    </row>
    <row r="17">
      <c r="A17" s="66" t="s">
        <v>62</v>
      </c>
      <c r="B17" s="85"/>
      <c r="C17" s="85"/>
      <c r="D17" s="71" t="s">
        <v>63</v>
      </c>
      <c r="E17" s="85"/>
      <c r="F17" s="85"/>
      <c r="G17" s="73">
        <f t="shared" ref="G17:J17" si="17">SUM(G18:G19)</f>
        <v>38.2</v>
      </c>
      <c r="H17" s="73">
        <f t="shared" si="17"/>
        <v>22.48</v>
      </c>
      <c r="I17" s="73">
        <f t="shared" si="17"/>
        <v>60.68</v>
      </c>
      <c r="J17" s="73">
        <f t="shared" si="17"/>
        <v>1001.723327</v>
      </c>
      <c r="K17" s="85"/>
      <c r="L17" s="73">
        <f>SUM(L18:L19)</f>
        <v>74.266252</v>
      </c>
      <c r="M17" s="85"/>
      <c r="N17" s="73">
        <f t="shared" ref="N17:O17" si="18">SUM(N18:N19)</f>
        <v>74.49219552</v>
      </c>
      <c r="O17" s="73">
        <f t="shared" si="18"/>
        <v>1228.789557</v>
      </c>
      <c r="P17" s="5"/>
    </row>
    <row r="18">
      <c r="A18" s="74">
        <f>'ORÇA onerado'!A18</f>
        <v>46025</v>
      </c>
      <c r="B18" s="74" t="str">
        <f>'ORÇA onerado'!B18</f>
        <v>GOINFRA</v>
      </c>
      <c r="C18" s="76">
        <f>'ORÇA onerado'!C18</f>
        <v>270213</v>
      </c>
      <c r="D18" s="104" t="str">
        <f>'ORÇA onerado'!D18</f>
        <v>PREPARAÇÃO C/ ADUBAÇÃO DO TERRENO EM FORMA DE CANTEIRO E PLANTIO DE FORRAÇÃO AMBOS C/PROFUNDIDADE DE 30 CM - EXCLUSO O CUSTO DE AQUISIÇÃO DA MUDA</v>
      </c>
      <c r="E18" s="74" t="str">
        <f>'ORÇA onerado'!E18</f>
        <v>m2</v>
      </c>
      <c r="F18" s="79">
        <f>'ORÇA onerado'!F18</f>
        <v>3.4579</v>
      </c>
      <c r="G18" s="80">
        <v>2.7</v>
      </c>
      <c r="H18" s="80">
        <v>19.43</v>
      </c>
      <c r="I18" s="80">
        <f t="shared" ref="I18:I19" si="19">G18+H18</f>
        <v>22.13</v>
      </c>
      <c r="J18" s="80">
        <f t="shared" ref="J18:J19" si="20">I18*F18</f>
        <v>76.523327</v>
      </c>
      <c r="K18" s="81">
        <f t="shared" ref="K18:K19" si="21">$F$5</f>
        <v>0.2239</v>
      </c>
      <c r="L18" s="82">
        <f t="shared" ref="L18:L19" si="22">(1+K18)*I18</f>
        <v>27.084907</v>
      </c>
      <c r="M18" s="81">
        <f>INCC!$C$26</f>
        <v>0.004749025652</v>
      </c>
      <c r="N18" s="80">
        <f t="shared" ref="N18:N19" si="23">(1+M18)*L18</f>
        <v>27.21353392</v>
      </c>
      <c r="O18" s="80">
        <f t="shared" ref="O18:O19" si="24">N18*F18</f>
        <v>94.10167894</v>
      </c>
      <c r="P18" s="5"/>
    </row>
    <row r="19">
      <c r="A19" s="74">
        <f>'ORÇA onerado'!A19</f>
        <v>46056</v>
      </c>
      <c r="B19" s="74" t="str">
        <f>'ORÇA onerado'!B19</f>
        <v>ORSE</v>
      </c>
      <c r="C19" s="76">
        <f>'ORÇA onerado'!C19</f>
        <v>2397</v>
      </c>
      <c r="D19" s="104" t="str">
        <f>'ORÇA onerado'!D19</f>
        <v>Fornecimento e plantio de arbustos ornamentais</v>
      </c>
      <c r="E19" s="74" t="str">
        <f>'ORÇA onerado'!E19</f>
        <v>un.</v>
      </c>
      <c r="F19" s="79">
        <f>'ORÇA onerado'!F19</f>
        <v>24</v>
      </c>
      <c r="G19" s="80">
        <f>'ORÇA onerado'!G19</f>
        <v>35.5</v>
      </c>
      <c r="H19" s="80">
        <f>'ORÇA onerado'!H19</f>
        <v>3.05</v>
      </c>
      <c r="I19" s="80">
        <f t="shared" si="19"/>
        <v>38.55</v>
      </c>
      <c r="J19" s="80">
        <f t="shared" si="20"/>
        <v>925.2</v>
      </c>
      <c r="K19" s="81">
        <f t="shared" si="21"/>
        <v>0.2239</v>
      </c>
      <c r="L19" s="82">
        <f t="shared" si="22"/>
        <v>47.181345</v>
      </c>
      <c r="M19" s="81">
        <f>INCC!$C$29</f>
        <v>0.002062607648</v>
      </c>
      <c r="N19" s="80">
        <f t="shared" si="23"/>
        <v>47.2786616</v>
      </c>
      <c r="O19" s="80">
        <f t="shared" si="24"/>
        <v>1134.687878</v>
      </c>
      <c r="P19" s="5"/>
    </row>
    <row r="20">
      <c r="A20" s="66" t="s">
        <v>68</v>
      </c>
      <c r="B20" s="85"/>
      <c r="C20" s="85"/>
      <c r="D20" s="71" t="s">
        <v>69</v>
      </c>
      <c r="E20" s="85"/>
      <c r="F20" s="85"/>
      <c r="G20" s="73">
        <f t="shared" ref="G20:J20" si="25">SUM(G21:G40)</f>
        <v>1098.97259</v>
      </c>
      <c r="H20" s="73">
        <f t="shared" si="25"/>
        <v>171.6513731</v>
      </c>
      <c r="I20" s="73">
        <f t="shared" si="25"/>
        <v>1270.623963</v>
      </c>
      <c r="J20" s="73">
        <f t="shared" si="25"/>
        <v>7312.186129</v>
      </c>
      <c r="K20" s="85"/>
      <c r="L20" s="73">
        <f>SUM(L21:L40)</f>
        <v>1555.116668</v>
      </c>
      <c r="M20" s="85"/>
      <c r="N20" s="73">
        <f t="shared" ref="N20:O20" si="26">SUM(N21:N40)</f>
        <v>1557.760688</v>
      </c>
      <c r="O20" s="73">
        <f t="shared" si="26"/>
        <v>8977.665128</v>
      </c>
      <c r="P20" s="5"/>
    </row>
    <row r="21">
      <c r="A21" s="74">
        <f>'ORÇA onerado'!A21</f>
        <v>46026</v>
      </c>
      <c r="B21" s="74" t="str">
        <f>'ORÇA onerado'!B21</f>
        <v>GOINFRA</v>
      </c>
      <c r="C21" s="76">
        <f>'ORÇA onerado'!C21</f>
        <v>71231</v>
      </c>
      <c r="D21" s="104" t="str">
        <f>'ORÇA onerado'!D21</f>
        <v>ELETRODUTO METALICO FLEXIVEL COM REVESTIMENTO EM PVC PRETO DIAMETRO 3/4"</v>
      </c>
      <c r="E21" s="74" t="str">
        <f>'ORÇA onerado'!E21</f>
        <v>m</v>
      </c>
      <c r="F21" s="79">
        <f>'ORÇA onerado'!F21</f>
        <v>3</v>
      </c>
      <c r="G21" s="80">
        <v>9.52</v>
      </c>
      <c r="H21" s="80">
        <v>8.07</v>
      </c>
      <c r="I21" s="80">
        <f t="shared" ref="I21:I40" si="27">G21+H21</f>
        <v>17.59</v>
      </c>
      <c r="J21" s="80">
        <f t="shared" ref="J21:J40" si="28">I21*F21</f>
        <v>52.77</v>
      </c>
      <c r="K21" s="81">
        <f t="shared" ref="K21:K40" si="29">$F$5</f>
        <v>0.2239</v>
      </c>
      <c r="L21" s="82">
        <f t="shared" ref="L21:L40" si="30">(1+K21)*I21</f>
        <v>21.528401</v>
      </c>
      <c r="M21" s="81">
        <f>INCC!$C$26</f>
        <v>0.004749025652</v>
      </c>
      <c r="N21" s="80">
        <f t="shared" ref="N21:N40" si="31">(1+M21)*L21</f>
        <v>21.63063993</v>
      </c>
      <c r="O21" s="80">
        <f t="shared" ref="O21:O40" si="32">N21*F21</f>
        <v>64.89191979</v>
      </c>
      <c r="P21" s="5"/>
    </row>
    <row r="22">
      <c r="A22" s="74">
        <f>'ORÇA onerado'!A22</f>
        <v>46057</v>
      </c>
      <c r="B22" s="74" t="str">
        <f>'ORÇA onerado'!B22</f>
        <v>GOINFRA</v>
      </c>
      <c r="C22" s="76">
        <f>'ORÇA onerado'!C22</f>
        <v>71193</v>
      </c>
      <c r="D22" s="104" t="str">
        <f>'ORÇA onerado'!D22</f>
        <v>ELETRODUTO PVC FLEXÍVEL - MANGUEIRA CORRUGADA LEVE - DIAM. 20MM</v>
      </c>
      <c r="E22" s="74" t="str">
        <f>'ORÇA onerado'!E22</f>
        <v>m</v>
      </c>
      <c r="F22" s="79">
        <f>'ORÇA onerado'!F22</f>
        <v>12</v>
      </c>
      <c r="G22" s="80">
        <v>2.0</v>
      </c>
      <c r="H22" s="80">
        <v>8.07</v>
      </c>
      <c r="I22" s="80">
        <f t="shared" si="27"/>
        <v>10.07</v>
      </c>
      <c r="J22" s="80">
        <f t="shared" si="28"/>
        <v>120.84</v>
      </c>
      <c r="K22" s="81">
        <f t="shared" si="29"/>
        <v>0.2239</v>
      </c>
      <c r="L22" s="82">
        <f t="shared" si="30"/>
        <v>12.324673</v>
      </c>
      <c r="M22" s="81">
        <f>INCC!$C$26</f>
        <v>0.004749025652</v>
      </c>
      <c r="N22" s="80">
        <f t="shared" si="31"/>
        <v>12.38320319</v>
      </c>
      <c r="O22" s="80">
        <f t="shared" si="32"/>
        <v>148.5984383</v>
      </c>
      <c r="P22" s="5"/>
    </row>
    <row r="23">
      <c r="A23" s="74">
        <f>'ORÇA onerado'!A23</f>
        <v>46085</v>
      </c>
      <c r="B23" s="74" t="str">
        <f>'ORÇA onerado'!B23</f>
        <v>GOINFRA</v>
      </c>
      <c r="C23" s="76">
        <f>'ORÇA onerado'!C23</f>
        <v>70371</v>
      </c>
      <c r="D23" s="104" t="str">
        <f>'ORÇA onerado'!D23</f>
        <v>ABRAÇADEIRA METALICA TIPO "D" DIAM. 3/4"</v>
      </c>
      <c r="E23" s="74" t="str">
        <f>'ORÇA onerado'!E23</f>
        <v>un.</v>
      </c>
      <c r="F23" s="79">
        <f>'ORÇA onerado'!F23</f>
        <v>40</v>
      </c>
      <c r="G23" s="80">
        <v>1.08</v>
      </c>
      <c r="H23" s="80">
        <v>0.47</v>
      </c>
      <c r="I23" s="80">
        <f t="shared" si="27"/>
        <v>1.55</v>
      </c>
      <c r="J23" s="80">
        <f t="shared" si="28"/>
        <v>62</v>
      </c>
      <c r="K23" s="81">
        <f t="shared" si="29"/>
        <v>0.2239</v>
      </c>
      <c r="L23" s="82">
        <f t="shared" si="30"/>
        <v>1.897045</v>
      </c>
      <c r="M23" s="81">
        <f>INCC!$C$26</f>
        <v>0.004749025652</v>
      </c>
      <c r="N23" s="80">
        <f t="shared" si="31"/>
        <v>1.906054115</v>
      </c>
      <c r="O23" s="80">
        <f t="shared" si="32"/>
        <v>76.24216461</v>
      </c>
      <c r="P23" s="5"/>
    </row>
    <row r="24">
      <c r="A24" s="74">
        <f>'ORÇA onerado'!A24</f>
        <v>46116</v>
      </c>
      <c r="B24" s="74" t="str">
        <f>'ORÇA onerado'!B24</f>
        <v>GOINFRA</v>
      </c>
      <c r="C24" s="76">
        <f>'ORÇA onerado'!C24</f>
        <v>71211</v>
      </c>
      <c r="D24" s="104" t="str">
        <f>'ORÇA onerado'!D24</f>
        <v>ELETRODUTO EM AÇO GALVANIZADO A FOGO DIÂMETRO 3/4" - PESADO</v>
      </c>
      <c r="E24" s="74" t="str">
        <f>'ORÇA onerado'!E24</f>
        <v>m</v>
      </c>
      <c r="F24" s="79">
        <f>'ORÇA onerado'!F24</f>
        <v>40</v>
      </c>
      <c r="G24" s="80">
        <v>27.6</v>
      </c>
      <c r="H24" s="80">
        <v>14.25</v>
      </c>
      <c r="I24" s="80">
        <f t="shared" si="27"/>
        <v>41.85</v>
      </c>
      <c r="J24" s="80">
        <f t="shared" si="28"/>
        <v>1674</v>
      </c>
      <c r="K24" s="81">
        <f t="shared" si="29"/>
        <v>0.2239</v>
      </c>
      <c r="L24" s="82">
        <f t="shared" si="30"/>
        <v>51.220215</v>
      </c>
      <c r="M24" s="81">
        <f>INCC!$C$26</f>
        <v>0.004749025652</v>
      </c>
      <c r="N24" s="80">
        <f t="shared" si="31"/>
        <v>51.46346111</v>
      </c>
      <c r="O24" s="80">
        <f t="shared" si="32"/>
        <v>2058.538445</v>
      </c>
      <c r="P24" s="5"/>
    </row>
    <row r="25">
      <c r="A25" s="74">
        <f>'ORÇA onerado'!A25</f>
        <v>46146</v>
      </c>
      <c r="B25" s="74" t="str">
        <f>'ORÇA onerado'!B25</f>
        <v>GOINFRA</v>
      </c>
      <c r="C25" s="76">
        <f>'ORÇA onerado'!C25</f>
        <v>70932</v>
      </c>
      <c r="D25" s="104" t="str">
        <f>'ORÇA onerado'!D25</f>
        <v>CONDULETE METÁLICO - TAMPÃO DE 3/4"</v>
      </c>
      <c r="E25" s="74" t="str">
        <f>'ORÇA onerado'!E25</f>
        <v>un.</v>
      </c>
      <c r="F25" s="79">
        <f>'ORÇA onerado'!F25</f>
        <v>63</v>
      </c>
      <c r="G25" s="80">
        <v>0.25</v>
      </c>
      <c r="H25" s="80">
        <v>1.42</v>
      </c>
      <c r="I25" s="80">
        <f t="shared" si="27"/>
        <v>1.67</v>
      </c>
      <c r="J25" s="80">
        <f t="shared" si="28"/>
        <v>105.21</v>
      </c>
      <c r="K25" s="81">
        <f t="shared" si="29"/>
        <v>0.2239</v>
      </c>
      <c r="L25" s="82">
        <f t="shared" si="30"/>
        <v>2.043913</v>
      </c>
      <c r="M25" s="81">
        <f>INCC!$C$26</f>
        <v>0.004749025652</v>
      </c>
      <c r="N25" s="80">
        <f t="shared" si="31"/>
        <v>2.053619595</v>
      </c>
      <c r="O25" s="80">
        <f t="shared" si="32"/>
        <v>129.3780345</v>
      </c>
      <c r="P25" s="5"/>
    </row>
    <row r="26">
      <c r="A26" s="74">
        <f>'ORÇA onerado'!A26</f>
        <v>46177</v>
      </c>
      <c r="B26" s="74" t="str">
        <f>'ORÇA onerado'!B26</f>
        <v>GOINFRA</v>
      </c>
      <c r="C26" s="76">
        <f>'ORÇA onerado'!C26</f>
        <v>70929</v>
      </c>
      <c r="D26" s="104" t="str">
        <f>'ORÇA onerado'!D26</f>
        <v>CONDULETE METÁLICO - CAIXA COM 5 ENTRADAS</v>
      </c>
      <c r="E26" s="74" t="str">
        <f>'ORÇA onerado'!E26</f>
        <v>un.</v>
      </c>
      <c r="F26" s="79">
        <f>'ORÇA onerado'!F26</f>
        <v>23</v>
      </c>
      <c r="G26" s="80">
        <v>9.33</v>
      </c>
      <c r="H26" s="80">
        <v>16.15</v>
      </c>
      <c r="I26" s="80">
        <f t="shared" si="27"/>
        <v>25.48</v>
      </c>
      <c r="J26" s="80">
        <f t="shared" si="28"/>
        <v>586.04</v>
      </c>
      <c r="K26" s="81">
        <f t="shared" si="29"/>
        <v>0.2239</v>
      </c>
      <c r="L26" s="82">
        <f t="shared" si="30"/>
        <v>31.184972</v>
      </c>
      <c r="M26" s="81">
        <f>INCC!$C$26</f>
        <v>0.004749025652</v>
      </c>
      <c r="N26" s="80">
        <f t="shared" si="31"/>
        <v>31.33307023</v>
      </c>
      <c r="O26" s="80">
        <f t="shared" si="32"/>
        <v>720.6606153</v>
      </c>
      <c r="P26" s="5"/>
    </row>
    <row r="27">
      <c r="A27" s="74">
        <f>'ORÇA onerado'!A27</f>
        <v>46207</v>
      </c>
      <c r="B27" s="74" t="str">
        <f>'ORÇA onerado'!B27</f>
        <v>GOINFRA</v>
      </c>
      <c r="C27" s="76">
        <f>'ORÇA onerado'!C27</f>
        <v>70930</v>
      </c>
      <c r="D27" s="104" t="str">
        <f>'ORÇA onerado'!D27</f>
        <v>CONDULETE METÁLICO - ADAPTADOR DE SAÍDA 3/4"</v>
      </c>
      <c r="E27" s="74" t="str">
        <f>'ORÇA onerado'!E27</f>
        <v>un.</v>
      </c>
      <c r="F27" s="79">
        <f>'ORÇA onerado'!F27</f>
        <v>42</v>
      </c>
      <c r="G27" s="80">
        <v>2.68</v>
      </c>
      <c r="H27" s="80">
        <v>3.8</v>
      </c>
      <c r="I27" s="80">
        <f t="shared" si="27"/>
        <v>6.48</v>
      </c>
      <c r="J27" s="80">
        <f t="shared" si="28"/>
        <v>272.16</v>
      </c>
      <c r="K27" s="81">
        <f t="shared" si="29"/>
        <v>0.2239</v>
      </c>
      <c r="L27" s="82">
        <f t="shared" si="30"/>
        <v>7.930872</v>
      </c>
      <c r="M27" s="81">
        <f>INCC!$C$26</f>
        <v>0.004749025652</v>
      </c>
      <c r="N27" s="80">
        <f t="shared" si="31"/>
        <v>7.968535915</v>
      </c>
      <c r="O27" s="80">
        <f t="shared" si="32"/>
        <v>334.6785084</v>
      </c>
      <c r="P27" s="5"/>
    </row>
    <row r="28">
      <c r="A28" s="74">
        <f>'ORÇA onerado'!A28</f>
        <v>46238</v>
      </c>
      <c r="B28" s="74" t="str">
        <f>'ORÇA onerado'!B28</f>
        <v>COMP.</v>
      </c>
      <c r="C28" s="76">
        <f>'ORÇA onerado'!C28</f>
        <v>11</v>
      </c>
      <c r="D28" s="104" t="str">
        <f>'ORÇA onerado'!D28</f>
        <v>CONECTOR WAGO 221-415</v>
      </c>
      <c r="E28" s="74" t="str">
        <f>'ORÇA onerado'!E28</f>
        <v>un.</v>
      </c>
      <c r="F28" s="79">
        <f>'ORÇA onerado'!F28</f>
        <v>17</v>
      </c>
      <c r="G28" s="80">
        <f>'COMP. desonerado'!M72</f>
        <v>0.9519594773</v>
      </c>
      <c r="H28" s="80">
        <f>'COMP. desonerado'!N72</f>
        <v>3.820457695</v>
      </c>
      <c r="I28" s="80">
        <f t="shared" si="27"/>
        <v>4.772417172</v>
      </c>
      <c r="J28" s="80">
        <f t="shared" si="28"/>
        <v>81.13109193</v>
      </c>
      <c r="K28" s="81">
        <f t="shared" si="29"/>
        <v>0.2239</v>
      </c>
      <c r="L28" s="82">
        <f t="shared" si="30"/>
        <v>5.840961377</v>
      </c>
      <c r="M28" s="89"/>
      <c r="N28" s="80">
        <f t="shared" si="31"/>
        <v>5.840961377</v>
      </c>
      <c r="O28" s="80">
        <f t="shared" si="32"/>
        <v>99.29634341</v>
      </c>
      <c r="P28" s="5"/>
    </row>
    <row r="29">
      <c r="A29" s="74">
        <f>'ORÇA onerado'!A29</f>
        <v>46269</v>
      </c>
      <c r="B29" s="74" t="str">
        <f>'ORÇA onerado'!B29</f>
        <v>COMP.</v>
      </c>
      <c r="C29" s="76">
        <f>'ORÇA onerado'!C29</f>
        <v>10</v>
      </c>
      <c r="D29" s="104" t="str">
        <f>'ORÇA onerado'!D29</f>
        <v>CAIXA DE PASSAGEM PVC, SOBREPOR 300X300X100mm</v>
      </c>
      <c r="E29" s="74" t="str">
        <f>'ORÇA onerado'!E29</f>
        <v>un.</v>
      </c>
      <c r="F29" s="79">
        <f>'ORÇA onerado'!F29</f>
        <v>3</v>
      </c>
      <c r="G29" s="80">
        <f>'COMP. desonerado'!M66</f>
        <v>120.43</v>
      </c>
      <c r="H29" s="80">
        <f>'COMP. desonerado'!N66</f>
        <v>3.820457695</v>
      </c>
      <c r="I29" s="80">
        <f t="shared" si="27"/>
        <v>124.2504577</v>
      </c>
      <c r="J29" s="80">
        <f t="shared" si="28"/>
        <v>372.7513731</v>
      </c>
      <c r="K29" s="81">
        <f t="shared" si="29"/>
        <v>0.2239</v>
      </c>
      <c r="L29" s="82">
        <f t="shared" si="30"/>
        <v>152.0701352</v>
      </c>
      <c r="M29" s="81"/>
      <c r="N29" s="80">
        <f t="shared" si="31"/>
        <v>152.0701352</v>
      </c>
      <c r="O29" s="80">
        <f t="shared" si="32"/>
        <v>456.2104055</v>
      </c>
      <c r="P29" s="5"/>
    </row>
    <row r="30">
      <c r="A30" s="74">
        <f>'ORÇA onerado'!A30</f>
        <v>46299</v>
      </c>
      <c r="B30" s="74" t="str">
        <f>'ORÇA onerado'!B30</f>
        <v>ORSE</v>
      </c>
      <c r="C30" s="76">
        <f>'ORÇA onerado'!C30</f>
        <v>9039</v>
      </c>
      <c r="D30" s="104" t="str">
        <f>'ORÇA onerado'!D30</f>
        <v>Alçapão de alumínio, tipo escama, cor fosca</v>
      </c>
      <c r="E30" s="74" t="str">
        <f>'ORÇA onerado'!E30</f>
        <v>un.</v>
      </c>
      <c r="F30" s="79">
        <f>'ORÇA onerado'!F30</f>
        <v>0.32</v>
      </c>
      <c r="G30" s="80">
        <f>'ORÇA onerado'!G30</f>
        <v>392.26</v>
      </c>
      <c r="H30" s="80">
        <f>'ORÇA onerado'!H30</f>
        <v>44.21</v>
      </c>
      <c r="I30" s="80">
        <f t="shared" si="27"/>
        <v>436.47</v>
      </c>
      <c r="J30" s="80">
        <f t="shared" si="28"/>
        <v>139.6704</v>
      </c>
      <c r="K30" s="81">
        <f t="shared" si="29"/>
        <v>0.2239</v>
      </c>
      <c r="L30" s="82">
        <f t="shared" si="30"/>
        <v>534.195633</v>
      </c>
      <c r="M30" s="81">
        <f>INCC!$C$29</f>
        <v>0.002062607648</v>
      </c>
      <c r="N30" s="80">
        <f t="shared" si="31"/>
        <v>535.297469</v>
      </c>
      <c r="O30" s="80">
        <f t="shared" si="32"/>
        <v>171.2951901</v>
      </c>
      <c r="P30" s="5"/>
    </row>
    <row r="31">
      <c r="A31" s="74">
        <f>'ORÇA onerado'!A31</f>
        <v>46330</v>
      </c>
      <c r="B31" s="74" t="str">
        <f>'ORÇA onerado'!B31</f>
        <v>GOINFRA</v>
      </c>
      <c r="C31" s="76">
        <f>'ORÇA onerado'!C31</f>
        <v>70563</v>
      </c>
      <c r="D31" s="104" t="str">
        <f>'ORÇA onerado'!D31</f>
        <v>CABO FLEXÍVEL, PVC (70° C), 450/750 V, 2,5 MM2</v>
      </c>
      <c r="E31" s="74" t="str">
        <f>'ORÇA onerado'!E31</f>
        <v>m</v>
      </c>
      <c r="F31" s="79">
        <f>'ORÇA onerado'!F31</f>
        <v>180</v>
      </c>
      <c r="G31" s="80">
        <v>2.33</v>
      </c>
      <c r="H31" s="80">
        <v>2.6</v>
      </c>
      <c r="I31" s="80">
        <f t="shared" si="27"/>
        <v>4.93</v>
      </c>
      <c r="J31" s="80">
        <f t="shared" si="28"/>
        <v>887.4</v>
      </c>
      <c r="K31" s="81">
        <f t="shared" si="29"/>
        <v>0.2239</v>
      </c>
      <c r="L31" s="82">
        <f t="shared" si="30"/>
        <v>6.033827</v>
      </c>
      <c r="M31" s="81">
        <f>INCC!$C$26</f>
        <v>0.004749025652</v>
      </c>
      <c r="N31" s="80">
        <f t="shared" si="31"/>
        <v>6.062481799</v>
      </c>
      <c r="O31" s="80">
        <f t="shared" si="32"/>
        <v>1091.246724</v>
      </c>
      <c r="P31" s="5"/>
    </row>
    <row r="32">
      <c r="A32" s="74">
        <f>'ORÇA onerado'!A32</f>
        <v>46360</v>
      </c>
      <c r="B32" s="74" t="str">
        <f>'ORÇA onerado'!B32</f>
        <v>GOINFRA</v>
      </c>
      <c r="C32" s="76">
        <f>'ORÇA onerado'!C32</f>
        <v>70561</v>
      </c>
      <c r="D32" s="104" t="str">
        <f>'ORÇA onerado'!D32</f>
        <v>CABO ISOLADO PP 3 X 2,5 MM2</v>
      </c>
      <c r="E32" s="74" t="str">
        <f>'ORÇA onerado'!E32</f>
        <v>m</v>
      </c>
      <c r="F32" s="79">
        <f>'ORÇA onerado'!F32</f>
        <v>10</v>
      </c>
      <c r="G32" s="80">
        <v>9.98</v>
      </c>
      <c r="H32" s="80">
        <v>6.45</v>
      </c>
      <c r="I32" s="80">
        <f t="shared" si="27"/>
        <v>16.43</v>
      </c>
      <c r="J32" s="80">
        <f t="shared" si="28"/>
        <v>164.3</v>
      </c>
      <c r="K32" s="81">
        <f t="shared" si="29"/>
        <v>0.2239</v>
      </c>
      <c r="L32" s="82">
        <f t="shared" si="30"/>
        <v>20.108677</v>
      </c>
      <c r="M32" s="81">
        <f>INCC!$C$26</f>
        <v>0.004749025652</v>
      </c>
      <c r="N32" s="80">
        <f t="shared" si="31"/>
        <v>20.20417362</v>
      </c>
      <c r="O32" s="80">
        <f t="shared" si="32"/>
        <v>202.0417362</v>
      </c>
      <c r="P32" s="5"/>
    </row>
    <row r="33">
      <c r="A33" s="74" t="str">
        <f>'ORÇA onerado'!A33</f>
        <v>4.13</v>
      </c>
      <c r="B33" s="74" t="str">
        <f>'ORÇA onerado'!B33</f>
        <v>GOINFRA</v>
      </c>
      <c r="C33" s="76">
        <f>'ORÇA onerado'!C33</f>
        <v>71431</v>
      </c>
      <c r="D33" s="104" t="str">
        <f>'ORÇA onerado'!D33</f>
        <v>INTERRUPTOR PARALELO SIMPLES (1 SECAO)</v>
      </c>
      <c r="E33" s="74" t="str">
        <f>'ORÇA onerado'!E33</f>
        <v>un.</v>
      </c>
      <c r="F33" s="79">
        <f>'ORÇA onerado'!F33</f>
        <v>2</v>
      </c>
      <c r="G33" s="80">
        <v>12.02</v>
      </c>
      <c r="H33" s="80">
        <v>13.77</v>
      </c>
      <c r="I33" s="80">
        <f t="shared" si="27"/>
        <v>25.79</v>
      </c>
      <c r="J33" s="80">
        <f t="shared" si="28"/>
        <v>51.58</v>
      </c>
      <c r="K33" s="81">
        <f t="shared" si="29"/>
        <v>0.2239</v>
      </c>
      <c r="L33" s="82">
        <f t="shared" si="30"/>
        <v>31.564381</v>
      </c>
      <c r="M33" s="81">
        <f>INCC!$C$26</f>
        <v>0.004749025652</v>
      </c>
      <c r="N33" s="80">
        <f t="shared" si="31"/>
        <v>31.71428106</v>
      </c>
      <c r="O33" s="80">
        <f t="shared" si="32"/>
        <v>63.42856211</v>
      </c>
      <c r="P33" s="5"/>
    </row>
    <row r="34">
      <c r="A34" s="74" t="str">
        <f>'ORÇA onerado'!A34</f>
        <v>4.14</v>
      </c>
      <c r="B34" s="74" t="str">
        <f>'ORÇA onerado'!B34</f>
        <v>GOINFRA</v>
      </c>
      <c r="C34" s="76">
        <f>'ORÇA onerado'!C34</f>
        <v>72475</v>
      </c>
      <c r="D34" s="104" t="str">
        <f>'ORÇA onerado'!D34</f>
        <v>TAMPA PARA CONDULETE METÁLICO PARA 1 INTERRUPTOR</v>
      </c>
      <c r="E34" s="74" t="str">
        <f>'ORÇA onerado'!E34</f>
        <v>un.</v>
      </c>
      <c r="F34" s="79">
        <f>'ORÇA onerado'!F34</f>
        <v>2</v>
      </c>
      <c r="G34" s="80">
        <v>5.22</v>
      </c>
      <c r="H34" s="80">
        <v>1.42</v>
      </c>
      <c r="I34" s="80">
        <f t="shared" si="27"/>
        <v>6.64</v>
      </c>
      <c r="J34" s="80">
        <f t="shared" si="28"/>
        <v>13.28</v>
      </c>
      <c r="K34" s="81">
        <f t="shared" si="29"/>
        <v>0.2239</v>
      </c>
      <c r="L34" s="82">
        <f t="shared" si="30"/>
        <v>8.126696</v>
      </c>
      <c r="M34" s="81">
        <f>INCC!$C$26</f>
        <v>0.004749025652</v>
      </c>
      <c r="N34" s="80">
        <f t="shared" si="31"/>
        <v>8.165289888</v>
      </c>
      <c r="O34" s="80">
        <f t="shared" si="32"/>
        <v>16.33057978</v>
      </c>
      <c r="P34" s="5"/>
    </row>
    <row r="35">
      <c r="A35" s="74" t="str">
        <f>'ORÇA onerado'!A35</f>
        <v>4.15</v>
      </c>
      <c r="B35" s="74" t="str">
        <f>'ORÇA onerado'!B35</f>
        <v>GOINFRA</v>
      </c>
      <c r="C35" s="76">
        <f>'ORÇA onerado'!C35</f>
        <v>72395</v>
      </c>
      <c r="D35" s="104" t="str">
        <f>'ORÇA onerado'!D35</f>
        <v>TAMPA CEGA PARA CONDULETE METÁLICO</v>
      </c>
      <c r="E35" s="74" t="str">
        <f>'ORÇA onerado'!E35</f>
        <v>un.</v>
      </c>
      <c r="F35" s="79">
        <f>'ORÇA onerado'!F35</f>
        <v>3</v>
      </c>
      <c r="G35" s="80">
        <v>4.28</v>
      </c>
      <c r="H35" s="80">
        <v>1.42</v>
      </c>
      <c r="I35" s="80">
        <f t="shared" si="27"/>
        <v>5.7</v>
      </c>
      <c r="J35" s="80">
        <f t="shared" si="28"/>
        <v>17.1</v>
      </c>
      <c r="K35" s="81">
        <f t="shared" si="29"/>
        <v>0.2239</v>
      </c>
      <c r="L35" s="82">
        <f t="shared" si="30"/>
        <v>6.97623</v>
      </c>
      <c r="M35" s="81">
        <f>INCC!$C$26</f>
        <v>0.004749025652</v>
      </c>
      <c r="N35" s="80">
        <f t="shared" si="31"/>
        <v>7.009360295</v>
      </c>
      <c r="O35" s="80">
        <f t="shared" si="32"/>
        <v>21.02808089</v>
      </c>
      <c r="P35" s="5"/>
    </row>
    <row r="36">
      <c r="A36" s="74" t="str">
        <f>'ORÇA onerado'!A36</f>
        <v>4.16</v>
      </c>
      <c r="B36" s="74" t="str">
        <f>'ORÇA onerado'!B36</f>
        <v>GOINFRA</v>
      </c>
      <c r="C36" s="76">
        <f>'ORÇA onerado'!C36</f>
        <v>72397</v>
      </c>
      <c r="D36" s="104" t="str">
        <f>'ORÇA onerado'!D36</f>
        <v>TAMPA CEGA PLÁSTICA 4"X2" COM FURO CENTRAL</v>
      </c>
      <c r="E36" s="74" t="str">
        <f>'ORÇA onerado'!E36</f>
        <v>un.</v>
      </c>
      <c r="F36" s="79">
        <f>'ORÇA onerado'!F36</f>
        <v>18</v>
      </c>
      <c r="G36" s="80">
        <v>4.55</v>
      </c>
      <c r="H36" s="80">
        <v>1.42</v>
      </c>
      <c r="I36" s="80">
        <f t="shared" si="27"/>
        <v>5.97</v>
      </c>
      <c r="J36" s="80">
        <f t="shared" si="28"/>
        <v>107.46</v>
      </c>
      <c r="K36" s="81">
        <f t="shared" si="29"/>
        <v>0.2239</v>
      </c>
      <c r="L36" s="82">
        <f t="shared" si="30"/>
        <v>7.306683</v>
      </c>
      <c r="M36" s="81">
        <f>INCC!$C$26</f>
        <v>0.004749025652</v>
      </c>
      <c r="N36" s="80">
        <f t="shared" si="31"/>
        <v>7.341382625</v>
      </c>
      <c r="O36" s="80">
        <f t="shared" si="32"/>
        <v>132.1448872</v>
      </c>
      <c r="P36" s="5"/>
    </row>
    <row r="37">
      <c r="A37" s="74" t="str">
        <f>'ORÇA onerado'!A37</f>
        <v>4.17</v>
      </c>
      <c r="B37" s="74" t="str">
        <f>'ORÇA onerado'!B37</f>
        <v>GOINFRA</v>
      </c>
      <c r="C37" s="76">
        <f>'ORÇA onerado'!C37</f>
        <v>71171</v>
      </c>
      <c r="D37" s="104" t="str">
        <f>'ORÇA onerado'!D37</f>
        <v>DISJUNTOR MONOPOLAR DE 10 A 32-A</v>
      </c>
      <c r="E37" s="74" t="str">
        <f>'ORÇA onerado'!E37</f>
        <v>un.</v>
      </c>
      <c r="F37" s="79">
        <f>'ORÇA onerado'!F37</f>
        <v>1</v>
      </c>
      <c r="G37" s="80">
        <v>11.26</v>
      </c>
      <c r="H37" s="80">
        <v>14.25</v>
      </c>
      <c r="I37" s="80">
        <f t="shared" si="27"/>
        <v>25.51</v>
      </c>
      <c r="J37" s="80">
        <f t="shared" si="28"/>
        <v>25.51</v>
      </c>
      <c r="K37" s="81">
        <f t="shared" si="29"/>
        <v>0.2239</v>
      </c>
      <c r="L37" s="82">
        <f t="shared" si="30"/>
        <v>31.221689</v>
      </c>
      <c r="M37" s="81">
        <f>INCC!$C$26</f>
        <v>0.004749025652</v>
      </c>
      <c r="N37" s="80">
        <f t="shared" si="31"/>
        <v>31.3699616</v>
      </c>
      <c r="O37" s="80">
        <f t="shared" si="32"/>
        <v>31.3699616</v>
      </c>
      <c r="P37" s="5"/>
    </row>
    <row r="38">
      <c r="A38" s="74" t="str">
        <f>'ORÇA onerado'!A38</f>
        <v>4.18</v>
      </c>
      <c r="B38" s="74" t="str">
        <f>'ORÇA onerado'!B38</f>
        <v>ORSE</v>
      </c>
      <c r="C38" s="76">
        <f>'ORÇA onerado'!C38</f>
        <v>14072</v>
      </c>
      <c r="D38" s="104" t="str">
        <f>'ORÇA onerado'!D38</f>
        <v>Perfil em alumínio tipo slim de embutir para fita de LED, cores P/B/C, e=23mm</v>
      </c>
      <c r="E38" s="74" t="str">
        <f>'ORÇA onerado'!E38</f>
        <v>m</v>
      </c>
      <c r="F38" s="79">
        <f>'ORÇA onerado'!F38</f>
        <v>30</v>
      </c>
      <c r="G38" s="80">
        <f>'ORÇA onerado'!G38</f>
        <v>10.99</v>
      </c>
      <c r="H38" s="80">
        <f>'ORÇA onerado'!H38</f>
        <v>18.2</v>
      </c>
      <c r="I38" s="80">
        <f t="shared" si="27"/>
        <v>29.19</v>
      </c>
      <c r="J38" s="80">
        <f t="shared" si="28"/>
        <v>875.7</v>
      </c>
      <c r="K38" s="81">
        <f t="shared" si="29"/>
        <v>0.2239</v>
      </c>
      <c r="L38" s="82">
        <f t="shared" si="30"/>
        <v>35.725641</v>
      </c>
      <c r="M38" s="81">
        <f>INCC!$C$29</f>
        <v>0.002062607648</v>
      </c>
      <c r="N38" s="80">
        <f t="shared" si="31"/>
        <v>35.79932898</v>
      </c>
      <c r="O38" s="80">
        <f t="shared" si="32"/>
        <v>1073.979869</v>
      </c>
      <c r="P38" s="5"/>
    </row>
    <row r="39">
      <c r="A39" s="74" t="str">
        <f>'ORÇA onerado'!A39</f>
        <v>4.19</v>
      </c>
      <c r="B39" s="74" t="str">
        <f>'ORÇA onerado'!B39</f>
        <v>ORSE</v>
      </c>
      <c r="C39" s="76" t="str">
        <f>'ORÇA onerado'!C39</f>
        <v>13594</v>
      </c>
      <c r="D39" s="104" t="str">
        <f>'ORÇA onerado'!D39</f>
        <v>Fita de LED com fonte bivolt, 5m, e = 8mm, 2.700K (luz amarela), tipo cob, g-light ou similar</v>
      </c>
      <c r="E39" s="74" t="str">
        <f>'ORÇA onerado'!E39</f>
        <v>un.</v>
      </c>
      <c r="F39" s="79">
        <f>'ORÇA onerado'!F39</f>
        <v>5</v>
      </c>
      <c r="G39" s="80">
        <f>'ORÇA onerado'!G39</f>
        <v>127</v>
      </c>
      <c r="H39" s="80">
        <f>'ORÇA onerado'!H39</f>
        <v>4.22</v>
      </c>
      <c r="I39" s="80">
        <f t="shared" si="27"/>
        <v>131.22</v>
      </c>
      <c r="J39" s="80">
        <f t="shared" si="28"/>
        <v>656.1</v>
      </c>
      <c r="K39" s="81">
        <f t="shared" si="29"/>
        <v>0.2239</v>
      </c>
      <c r="L39" s="82">
        <f t="shared" si="30"/>
        <v>160.600158</v>
      </c>
      <c r="M39" s="81">
        <f>INCC!$C$29</f>
        <v>0.002062607648</v>
      </c>
      <c r="N39" s="80">
        <f t="shared" si="31"/>
        <v>160.9314131</v>
      </c>
      <c r="O39" s="80">
        <f t="shared" si="32"/>
        <v>804.6570656</v>
      </c>
      <c r="P39" s="5"/>
    </row>
    <row r="40">
      <c r="A40" s="74" t="str">
        <f>'ORÇA onerado'!A40</f>
        <v>4.20</v>
      </c>
      <c r="B40" s="74" t="str">
        <f>'ORÇA onerado'!B40</f>
        <v>COMPOSIÇÃO</v>
      </c>
      <c r="C40" s="76">
        <f>'ORÇA onerado'!C40</f>
        <v>12</v>
      </c>
      <c r="D40" s="104" t="str">
        <f>'ORÇA onerado'!D40</f>
        <v>Fonte Colmeia, 200W, 12V/16.5A, Bivolt, Ref. Blumenau</v>
      </c>
      <c r="E40" s="74" t="str">
        <f>'ORÇA onerado'!E40</f>
        <v>un.</v>
      </c>
      <c r="F40" s="79">
        <f>'ORÇA onerado'!F40</f>
        <v>3</v>
      </c>
      <c r="G40" s="80">
        <f>'COMP. desonerado'!M78</f>
        <v>345.2406302</v>
      </c>
      <c r="H40" s="80">
        <f>'COMP. desonerado'!N78</f>
        <v>3.820457695</v>
      </c>
      <c r="I40" s="80">
        <f t="shared" si="27"/>
        <v>349.0610879</v>
      </c>
      <c r="J40" s="80">
        <f t="shared" si="28"/>
        <v>1047.183264</v>
      </c>
      <c r="K40" s="81">
        <f t="shared" si="29"/>
        <v>0.2239</v>
      </c>
      <c r="L40" s="82">
        <f t="shared" si="30"/>
        <v>427.2158655</v>
      </c>
      <c r="M40" s="81"/>
      <c r="N40" s="80">
        <f t="shared" si="31"/>
        <v>427.2158655</v>
      </c>
      <c r="O40" s="80">
        <f t="shared" si="32"/>
        <v>1281.647596</v>
      </c>
      <c r="P40" s="5"/>
    </row>
    <row r="41">
      <c r="A41" s="66" t="s">
        <v>102</v>
      </c>
      <c r="B41" s="85"/>
      <c r="C41" s="85"/>
      <c r="D41" s="71" t="s">
        <v>103</v>
      </c>
      <c r="E41" s="85"/>
      <c r="F41" s="85"/>
      <c r="G41" s="73">
        <f t="shared" ref="G41:J41" si="33">SUM(G42:G50)</f>
        <v>1598.34</v>
      </c>
      <c r="H41" s="73">
        <f t="shared" si="33"/>
        <v>185.9416</v>
      </c>
      <c r="I41" s="73">
        <f t="shared" si="33"/>
        <v>1784.2816</v>
      </c>
      <c r="J41" s="73">
        <f t="shared" si="33"/>
        <v>11896.81582</v>
      </c>
      <c r="K41" s="85"/>
      <c r="L41" s="73">
        <f>SUM(L42:L50)</f>
        <v>2183.78225</v>
      </c>
      <c r="M41" s="85"/>
      <c r="N41" s="73">
        <f t="shared" ref="N41:O41" si="34">SUM(N42:N50)</f>
        <v>2188.222865</v>
      </c>
      <c r="O41" s="73">
        <f t="shared" si="34"/>
        <v>14569.47123</v>
      </c>
      <c r="P41" s="5"/>
    </row>
    <row r="42">
      <c r="A42" s="74">
        <f>'ORÇA onerado'!A42</f>
        <v>46027</v>
      </c>
      <c r="B42" s="74" t="str">
        <f>'ORÇA onerado'!B42</f>
        <v>ORSE</v>
      </c>
      <c r="C42" s="76">
        <f>'ORÇA onerado'!C42</f>
        <v>10816</v>
      </c>
      <c r="D42" s="104" t="str">
        <f>'ORÇA onerado'!D42</f>
        <v>Grelha em aço inox para calha, dim 140 x 25 x 2.5 cm - inclusive quadro de cantoneira 1/8" x 1"</v>
      </c>
      <c r="E42" s="74" t="str">
        <f>'ORÇA onerado'!E42</f>
        <v>un</v>
      </c>
      <c r="F42" s="79">
        <f>'ORÇA onerado'!F42</f>
        <v>1</v>
      </c>
      <c r="G42" s="80">
        <f>'ORÇA onerado'!G42</f>
        <v>1390.33</v>
      </c>
      <c r="H42" s="80">
        <f>'ORÇA onerado'!H42</f>
        <v>2.3</v>
      </c>
      <c r="I42" s="80">
        <f t="shared" ref="I42:I50" si="35">G42+H42</f>
        <v>1392.63</v>
      </c>
      <c r="J42" s="80">
        <f t="shared" ref="J42:J50" si="36">I42*F42</f>
        <v>1392.63</v>
      </c>
      <c r="K42" s="81">
        <f t="shared" ref="K42:K50" si="37">$F$5</f>
        <v>0.2239</v>
      </c>
      <c r="L42" s="82">
        <f t="shared" ref="L42:L50" si="38">(1+K42)*I42</f>
        <v>1704.439857</v>
      </c>
      <c r="M42" s="81">
        <f>INCC!$C$29</f>
        <v>0.002062607648</v>
      </c>
      <c r="N42" s="80">
        <f t="shared" ref="N42:N50" si="39">(1+M42)*L42</f>
        <v>1707.955448</v>
      </c>
      <c r="O42" s="80">
        <f t="shared" ref="O42:O50" si="40">N42*F42</f>
        <v>1707.955448</v>
      </c>
      <c r="P42" s="5"/>
    </row>
    <row r="43">
      <c r="A43" s="74">
        <f>'ORÇA onerado'!A43</f>
        <v>46058</v>
      </c>
      <c r="B43" s="74" t="str">
        <f>'ORÇA onerado'!B43</f>
        <v>ORSE</v>
      </c>
      <c r="C43" s="76">
        <f>'ORÇA onerado'!C43</f>
        <v>11912</v>
      </c>
      <c r="D43" s="104" t="str">
        <f>'ORÇA onerado'!D43</f>
        <v>Corte em pavimento de asfalto/concreto, com máquina e disco diamantado - Rev 01</v>
      </c>
      <c r="E43" s="74" t="str">
        <f>'ORÇA onerado'!E43</f>
        <v>m</v>
      </c>
      <c r="F43" s="79">
        <f>'ORÇA onerado'!F43</f>
        <v>47.75</v>
      </c>
      <c r="G43" s="80">
        <f>'ORÇA onerado'!G43</f>
        <v>1.8</v>
      </c>
      <c r="H43" s="80">
        <f>'ORÇA onerado'!H43</f>
        <v>12.22</v>
      </c>
      <c r="I43" s="80">
        <f t="shared" si="35"/>
        <v>14.02</v>
      </c>
      <c r="J43" s="80">
        <f t="shared" si="36"/>
        <v>669.455</v>
      </c>
      <c r="K43" s="81">
        <f t="shared" si="37"/>
        <v>0.2239</v>
      </c>
      <c r="L43" s="82">
        <f t="shared" si="38"/>
        <v>17.159078</v>
      </c>
      <c r="M43" s="81">
        <f>INCC!$C$29</f>
        <v>0.002062607648</v>
      </c>
      <c r="N43" s="80">
        <f t="shared" si="39"/>
        <v>17.19447045</v>
      </c>
      <c r="O43" s="80">
        <f t="shared" si="40"/>
        <v>821.0359638</v>
      </c>
      <c r="P43" s="5"/>
    </row>
    <row r="44">
      <c r="A44" s="74">
        <f>'ORÇA onerado'!A44</f>
        <v>46086</v>
      </c>
      <c r="B44" s="74" t="str">
        <f>'ORÇA onerado'!B44</f>
        <v>GOINFRA</v>
      </c>
      <c r="C44" s="76">
        <f>'ORÇA onerado'!C44</f>
        <v>82302</v>
      </c>
      <c r="D44" s="104" t="str">
        <f>'ORÇA onerado'!D44</f>
        <v>TUBO SOLDAVEL PARA ESGOTO DIAMETRO 50 MM</v>
      </c>
      <c r="E44" s="74" t="str">
        <f>'ORÇA onerado'!E44</f>
        <v>m</v>
      </c>
      <c r="F44" s="79">
        <f>'ORÇA onerado'!F44</f>
        <v>7.1</v>
      </c>
      <c r="G44" s="80">
        <v>9.0</v>
      </c>
      <c r="H44" s="80">
        <v>14.35</v>
      </c>
      <c r="I44" s="80">
        <f t="shared" si="35"/>
        <v>23.35</v>
      </c>
      <c r="J44" s="80">
        <f t="shared" si="36"/>
        <v>165.785</v>
      </c>
      <c r="K44" s="81">
        <f t="shared" si="37"/>
        <v>0.2239</v>
      </c>
      <c r="L44" s="82">
        <f t="shared" si="38"/>
        <v>28.578065</v>
      </c>
      <c r="M44" s="81">
        <f>INCC!$C$26</f>
        <v>0.004749025652</v>
      </c>
      <c r="N44" s="80">
        <f t="shared" si="39"/>
        <v>28.71378296</v>
      </c>
      <c r="O44" s="80">
        <f t="shared" si="40"/>
        <v>203.867859</v>
      </c>
      <c r="P44" s="5"/>
    </row>
    <row r="45">
      <c r="A45" s="74">
        <f>'ORÇA onerado'!A45</f>
        <v>46117</v>
      </c>
      <c r="B45" s="74" t="str">
        <f>'ORÇA onerado'!B45</f>
        <v>GOINFRA</v>
      </c>
      <c r="C45" s="76">
        <f>'ORÇA onerado'!C45</f>
        <v>20109</v>
      </c>
      <c r="D45" s="104" t="str">
        <f>'ORÇA onerado'!D45</f>
        <v>DEMOLIÇÃO MANUAL DE PISO CIMENTICIO SOBRE LASTRO DE CONCRETO COM TRANSPORTE ATE CAÇAMBA E CARGA</v>
      </c>
      <c r="E45" s="74" t="str">
        <f>'ORÇA onerado'!E45</f>
        <v>m2</v>
      </c>
      <c r="F45" s="79">
        <f>'ORÇA onerado'!F45</f>
        <v>0.56</v>
      </c>
      <c r="G45" s="80">
        <v>0.0</v>
      </c>
      <c r="H45" s="80">
        <v>19.53</v>
      </c>
      <c r="I45" s="80">
        <f t="shared" si="35"/>
        <v>19.53</v>
      </c>
      <c r="J45" s="80">
        <f t="shared" si="36"/>
        <v>10.9368</v>
      </c>
      <c r="K45" s="81">
        <f t="shared" si="37"/>
        <v>0.2239</v>
      </c>
      <c r="L45" s="82">
        <f t="shared" si="38"/>
        <v>23.902767</v>
      </c>
      <c r="M45" s="81">
        <f>INCC!$C$26</f>
        <v>0.004749025652</v>
      </c>
      <c r="N45" s="80">
        <f t="shared" si="39"/>
        <v>24.01628185</v>
      </c>
      <c r="O45" s="80">
        <f t="shared" si="40"/>
        <v>13.44911784</v>
      </c>
      <c r="P45" s="5"/>
    </row>
    <row r="46">
      <c r="A46" s="74">
        <f>'ORÇA onerado'!A46</f>
        <v>46147</v>
      </c>
      <c r="B46" s="74" t="str">
        <f>'ORÇA onerado'!B46</f>
        <v>GOINFRA</v>
      </c>
      <c r="C46" s="76">
        <f>'ORÇA onerado'!C46</f>
        <v>40101</v>
      </c>
      <c r="D46" s="104" t="str">
        <f>'ORÇA onerado'!D46</f>
        <v>ESCAVACAO MANUAL DE VALAS &lt; 1 MTS. (OBRAS CIVIS) </v>
      </c>
      <c r="E46" s="74" t="str">
        <f>'ORÇA onerado'!E46</f>
        <v>m3</v>
      </c>
      <c r="F46" s="79">
        <f>'ORÇA onerado'!F46</f>
        <v>2.55</v>
      </c>
      <c r="G46" s="80">
        <v>0.0</v>
      </c>
      <c r="H46" s="80">
        <v>48.26</v>
      </c>
      <c r="I46" s="80">
        <f t="shared" si="35"/>
        <v>48.26</v>
      </c>
      <c r="J46" s="80">
        <f t="shared" si="36"/>
        <v>123.063</v>
      </c>
      <c r="K46" s="81">
        <f t="shared" si="37"/>
        <v>0.2239</v>
      </c>
      <c r="L46" s="82">
        <f t="shared" si="38"/>
        <v>59.065414</v>
      </c>
      <c r="M46" s="81">
        <f>INCC!$C$26</f>
        <v>0.004749025652</v>
      </c>
      <c r="N46" s="80">
        <f t="shared" si="39"/>
        <v>59.34591717</v>
      </c>
      <c r="O46" s="80">
        <f t="shared" si="40"/>
        <v>151.3320888</v>
      </c>
      <c r="P46" s="5"/>
    </row>
    <row r="47">
      <c r="A47" s="74">
        <f>'ORÇA onerado'!A47</f>
        <v>46178</v>
      </c>
      <c r="B47" s="74" t="str">
        <f>'ORÇA onerado'!B47</f>
        <v>GOINFRA</v>
      </c>
      <c r="C47" s="76">
        <f>'ORÇA onerado'!C47</f>
        <v>40902</v>
      </c>
      <c r="D47" s="104" t="str">
        <f>'ORÇA onerado'!D47</f>
        <v>REATERRO COM APILOAMENTO</v>
      </c>
      <c r="E47" s="74" t="str">
        <f>'ORÇA onerado'!E47</f>
        <v>m3</v>
      </c>
      <c r="F47" s="79">
        <f>'ORÇA onerado'!F47</f>
        <v>2.13</v>
      </c>
      <c r="G47" s="80">
        <v>0.0</v>
      </c>
      <c r="H47" s="80">
        <v>31.97</v>
      </c>
      <c r="I47" s="80">
        <f t="shared" si="35"/>
        <v>31.97</v>
      </c>
      <c r="J47" s="80">
        <f t="shared" si="36"/>
        <v>68.0961</v>
      </c>
      <c r="K47" s="81">
        <f t="shared" si="37"/>
        <v>0.2239</v>
      </c>
      <c r="L47" s="82">
        <f t="shared" si="38"/>
        <v>39.128083</v>
      </c>
      <c r="M47" s="81">
        <f>INCC!$C$26</f>
        <v>0.004749025652</v>
      </c>
      <c r="N47" s="80">
        <f t="shared" si="39"/>
        <v>39.31390327</v>
      </c>
      <c r="O47" s="80">
        <f t="shared" si="40"/>
        <v>83.73861396</v>
      </c>
      <c r="P47" s="5"/>
    </row>
    <row r="48">
      <c r="A48" s="74">
        <f>'ORÇA onerado'!A48</f>
        <v>46208</v>
      </c>
      <c r="B48" s="74" t="str">
        <f>'ORÇA onerado'!B48</f>
        <v>GOINFRA</v>
      </c>
      <c r="C48" s="76">
        <f>'ORÇA onerado'!C48</f>
        <v>20109</v>
      </c>
      <c r="D48" s="104" t="str">
        <f>'ORÇA onerado'!D48</f>
        <v>DEMOLIÇÃO MANUAL DE PISO CIMENTICIO SOBRE LASTRO DE CONCRETO COM TRANSPORTE ATE CAÇAMBA E CARGA</v>
      </c>
      <c r="E48" s="74" t="str">
        <f>'ORÇA onerado'!E48</f>
        <v>m2</v>
      </c>
      <c r="F48" s="79">
        <f>'ORÇA onerado'!F48</f>
        <v>5.1</v>
      </c>
      <c r="G48" s="80">
        <v>0.0</v>
      </c>
      <c r="H48" s="80">
        <v>19.53</v>
      </c>
      <c r="I48" s="80">
        <f t="shared" si="35"/>
        <v>19.53</v>
      </c>
      <c r="J48" s="80">
        <f t="shared" si="36"/>
        <v>99.603</v>
      </c>
      <c r="K48" s="81">
        <f t="shared" si="37"/>
        <v>0.2239</v>
      </c>
      <c r="L48" s="82">
        <f t="shared" si="38"/>
        <v>23.902767</v>
      </c>
      <c r="M48" s="81">
        <f>INCC!$C$26</f>
        <v>0.004749025652</v>
      </c>
      <c r="N48" s="80">
        <f t="shared" si="39"/>
        <v>24.01628185</v>
      </c>
      <c r="O48" s="80">
        <f t="shared" si="40"/>
        <v>122.4830375</v>
      </c>
      <c r="P48" s="5"/>
    </row>
    <row r="49">
      <c r="A49" s="74">
        <f>'ORÇA onerado'!A49</f>
        <v>46239</v>
      </c>
      <c r="B49" s="74" t="str">
        <f>'ORÇA onerado'!B49</f>
        <v>COMPOSIÇÃO</v>
      </c>
      <c r="C49" s="76">
        <f>'ORÇA onerado'!C49</f>
        <v>4</v>
      </c>
      <c r="D49" s="104" t="str">
        <f>'ORÇA onerado'!D49</f>
        <v>Tubo retângular em aço galvanizado 70x30, branco ( Descidas água pluvial)</v>
      </c>
      <c r="E49" s="74" t="str">
        <f>'ORÇA onerado'!E49</f>
        <v>m</v>
      </c>
      <c r="F49" s="79">
        <f>'ORÇA onerado'!F49</f>
        <v>42.45</v>
      </c>
      <c r="G49" s="80">
        <f>'COMP. desonerado'!I30</f>
        <v>176.85</v>
      </c>
      <c r="H49" s="80">
        <f>'COMP. desonerado'!J30</f>
        <v>34.1516</v>
      </c>
      <c r="I49" s="80">
        <f t="shared" si="35"/>
        <v>211.0016</v>
      </c>
      <c r="J49" s="80">
        <f t="shared" si="36"/>
        <v>8957.01792</v>
      </c>
      <c r="K49" s="81">
        <f t="shared" si="37"/>
        <v>0.2239</v>
      </c>
      <c r="L49" s="82">
        <f t="shared" si="38"/>
        <v>258.2448582</v>
      </c>
      <c r="M49" s="81"/>
      <c r="N49" s="80">
        <f t="shared" si="39"/>
        <v>258.2448582</v>
      </c>
      <c r="O49" s="80">
        <f t="shared" si="40"/>
        <v>10962.49423</v>
      </c>
      <c r="P49" s="5"/>
    </row>
    <row r="50">
      <c r="A50" s="74">
        <f>'ORÇA onerado'!A50</f>
        <v>46270</v>
      </c>
      <c r="B50" s="74" t="str">
        <f>'ORÇA onerado'!B50</f>
        <v>ORSE</v>
      </c>
      <c r="C50" s="76">
        <f>'ORÇA onerado'!C50</f>
        <v>2489</v>
      </c>
      <c r="D50" s="104" t="str">
        <f>'ORÇA onerado'!D50</f>
        <v>Corrente de aço galvanizado 3/16" - Rev.02</v>
      </c>
      <c r="E50" s="74" t="str">
        <f>'ORÇA onerado'!E50</f>
        <v>m</v>
      </c>
      <c r="F50" s="79">
        <f>'ORÇA onerado'!F50</f>
        <v>17.1</v>
      </c>
      <c r="G50" s="80">
        <f>'ORÇA onerado'!G50</f>
        <v>20.36</v>
      </c>
      <c r="H50" s="80">
        <f>'ORÇA onerado'!H50</f>
        <v>3.63</v>
      </c>
      <c r="I50" s="80">
        <f t="shared" si="35"/>
        <v>23.99</v>
      </c>
      <c r="J50" s="80">
        <f t="shared" si="36"/>
        <v>410.229</v>
      </c>
      <c r="K50" s="81">
        <f t="shared" si="37"/>
        <v>0.2239</v>
      </c>
      <c r="L50" s="82">
        <f t="shared" si="38"/>
        <v>29.361361</v>
      </c>
      <c r="M50" s="81">
        <f>INCC!$C$29</f>
        <v>0.002062607648</v>
      </c>
      <c r="N50" s="80">
        <f t="shared" si="39"/>
        <v>29.42192197</v>
      </c>
      <c r="O50" s="80">
        <f t="shared" si="40"/>
        <v>503.1148656</v>
      </c>
      <c r="P50" s="5"/>
    </row>
    <row r="51">
      <c r="A51" s="66" t="s">
        <v>111</v>
      </c>
      <c r="B51" s="85"/>
      <c r="C51" s="85"/>
      <c r="D51" s="71" t="s">
        <v>112</v>
      </c>
      <c r="E51" s="85"/>
      <c r="F51" s="85"/>
      <c r="G51" s="73">
        <f t="shared" ref="G51:J51" si="41">SUM(G52:G55)</f>
        <v>297.96</v>
      </c>
      <c r="H51" s="73">
        <f t="shared" si="41"/>
        <v>218.41</v>
      </c>
      <c r="I51" s="73">
        <f t="shared" si="41"/>
        <v>516.37</v>
      </c>
      <c r="J51" s="73">
        <f t="shared" si="41"/>
        <v>4258.477372</v>
      </c>
      <c r="K51" s="85"/>
      <c r="L51" s="73">
        <f>SUM(L52:L55)</f>
        <v>631.985243</v>
      </c>
      <c r="M51" s="85"/>
      <c r="N51" s="73">
        <f t="shared" ref="N51:O51" si="42">SUM(N52:N55)</f>
        <v>633.9152584</v>
      </c>
      <c r="O51" s="73">
        <f t="shared" si="42"/>
        <v>5228.406004</v>
      </c>
      <c r="P51" s="5"/>
    </row>
    <row r="52">
      <c r="A52" s="74">
        <f>'ORÇA onerado'!A52</f>
        <v>46028</v>
      </c>
      <c r="B52" s="74" t="str">
        <f>'ORÇA onerado'!B52</f>
        <v>ORSE</v>
      </c>
      <c r="C52" s="76">
        <f>'ORÇA onerado'!C52</f>
        <v>13899</v>
      </c>
      <c r="D52" s="104" t="str">
        <f>'ORÇA onerado'!D52</f>
        <v>MURETA EM ALVENARIA, CHAPISCADA E REBOCADA, INCLUSIVE FUNDAÇÃO</v>
      </c>
      <c r="E52" s="74" t="str">
        <f>'ORÇA onerado'!E52</f>
        <v>m2</v>
      </c>
      <c r="F52" s="79">
        <f>'ORÇA onerado'!F52</f>
        <v>7.744</v>
      </c>
      <c r="G52" s="80">
        <f>'ORÇA onerado'!G52</f>
        <v>185.36</v>
      </c>
      <c r="H52" s="80">
        <f>'ORÇA onerado'!H52</f>
        <v>140.47</v>
      </c>
      <c r="I52" s="80">
        <f t="shared" ref="I52:I55" si="43">G52+H52</f>
        <v>325.83</v>
      </c>
      <c r="J52" s="80">
        <f t="shared" ref="J52:J55" si="44">I52*F52</f>
        <v>2523.22752</v>
      </c>
      <c r="K52" s="81">
        <f t="shared" ref="K52:K55" si="45">$F$5</f>
        <v>0.2239</v>
      </c>
      <c r="L52" s="82">
        <f t="shared" ref="L52:L55" si="46">(1+K52)*I52</f>
        <v>398.783337</v>
      </c>
      <c r="M52" s="81">
        <f>INCC!$C$29</f>
        <v>0.002062607648</v>
      </c>
      <c r="N52" s="80">
        <f t="shared" ref="N52:N55" si="47">(1+M52)*L52</f>
        <v>399.6058706</v>
      </c>
      <c r="O52" s="80">
        <f t="shared" ref="O52:O55" si="48">N52*F52</f>
        <v>3094.547862</v>
      </c>
      <c r="P52" s="5"/>
    </row>
    <row r="53">
      <c r="A53" s="74">
        <f>'ORÇA onerado'!A53</f>
        <v>46059</v>
      </c>
      <c r="B53" s="74" t="str">
        <f>'ORÇA onerado'!B53</f>
        <v>GOINFRA</v>
      </c>
      <c r="C53" s="76">
        <f>'ORÇA onerado'!C53</f>
        <v>120901</v>
      </c>
      <c r="D53" s="104" t="str">
        <f>'ORÇA onerado'!D53</f>
        <v>IMPERMEABILIZACAO-JARDINEIRA C/MANTA ANTI-RAIZ (COMPLETA)</v>
      </c>
      <c r="E53" s="74" t="str">
        <f>'ORÇA onerado'!E53</f>
        <v>m2</v>
      </c>
      <c r="F53" s="79">
        <f>'ORÇA onerado'!F53</f>
        <v>10.0419</v>
      </c>
      <c r="G53" s="80">
        <v>96.8</v>
      </c>
      <c r="H53" s="80">
        <v>42.25</v>
      </c>
      <c r="I53" s="80">
        <f t="shared" si="43"/>
        <v>139.05</v>
      </c>
      <c r="J53" s="80">
        <f t="shared" si="44"/>
        <v>1396.326195</v>
      </c>
      <c r="K53" s="81">
        <f t="shared" si="45"/>
        <v>0.2239</v>
      </c>
      <c r="L53" s="82">
        <f t="shared" si="46"/>
        <v>170.183295</v>
      </c>
      <c r="M53" s="81">
        <f>INCC!$C$26</f>
        <v>0.004749025652</v>
      </c>
      <c r="N53" s="80">
        <f t="shared" si="47"/>
        <v>170.9914998</v>
      </c>
      <c r="O53" s="80">
        <f t="shared" si="48"/>
        <v>1717.079542</v>
      </c>
      <c r="P53" s="5"/>
    </row>
    <row r="54">
      <c r="A54" s="74">
        <f>'ORÇA onerado'!A54</f>
        <v>46087</v>
      </c>
      <c r="B54" s="74" t="str">
        <f>'ORÇA onerado'!B54</f>
        <v>GOINFRA</v>
      </c>
      <c r="C54" s="76">
        <f>'ORÇA onerado'!C54</f>
        <v>200506</v>
      </c>
      <c r="D54" s="104" t="str">
        <f>'ORÇA onerado'!D54</f>
        <v>CHAPISCO GROSSO</v>
      </c>
      <c r="E54" s="74" t="str">
        <f>'ORÇA onerado'!E54</f>
        <v>m2</v>
      </c>
      <c r="F54" s="79">
        <f>'ORÇA onerado'!F54</f>
        <v>6.58232</v>
      </c>
      <c r="G54" s="80">
        <v>6.97</v>
      </c>
      <c r="H54" s="80">
        <v>11.1</v>
      </c>
      <c r="I54" s="80">
        <f t="shared" si="43"/>
        <v>18.07</v>
      </c>
      <c r="J54" s="80">
        <f t="shared" si="44"/>
        <v>118.9425224</v>
      </c>
      <c r="K54" s="81">
        <f t="shared" si="45"/>
        <v>0.2239</v>
      </c>
      <c r="L54" s="82">
        <f t="shared" si="46"/>
        <v>22.115873</v>
      </c>
      <c r="M54" s="81">
        <f>INCC!$C$26</f>
        <v>0.004749025652</v>
      </c>
      <c r="N54" s="80">
        <f t="shared" si="47"/>
        <v>22.22090185</v>
      </c>
      <c r="O54" s="80">
        <f t="shared" si="48"/>
        <v>146.2650867</v>
      </c>
      <c r="P54" s="5"/>
    </row>
    <row r="55">
      <c r="A55" s="74">
        <f>'ORÇA onerado'!A55</f>
        <v>46118</v>
      </c>
      <c r="B55" s="74" t="str">
        <f>'ORÇA onerado'!B55</f>
        <v>GOINFRA</v>
      </c>
      <c r="C55" s="76">
        <f>'ORÇA onerado'!C55</f>
        <v>200499</v>
      </c>
      <c r="D55" s="104" t="str">
        <f>'ORÇA onerado'!D55</f>
        <v>REBOCO PAULISTA A-14 (1CALH:4ARMLC+100kgCI/M3)</v>
      </c>
      <c r="E55" s="74" t="str">
        <f>'ORÇA onerado'!E55</f>
        <v>m2</v>
      </c>
      <c r="F55" s="79">
        <f>'ORÇA onerado'!F55</f>
        <v>6.58232</v>
      </c>
      <c r="G55" s="80">
        <v>8.83</v>
      </c>
      <c r="H55" s="80">
        <v>24.59</v>
      </c>
      <c r="I55" s="80">
        <f t="shared" si="43"/>
        <v>33.42</v>
      </c>
      <c r="J55" s="80">
        <f t="shared" si="44"/>
        <v>219.9811344</v>
      </c>
      <c r="K55" s="81">
        <f t="shared" si="45"/>
        <v>0.2239</v>
      </c>
      <c r="L55" s="82">
        <f t="shared" si="46"/>
        <v>40.902738</v>
      </c>
      <c r="M55" s="81">
        <f>INCC!$C$26</f>
        <v>0.004749025652</v>
      </c>
      <c r="N55" s="80">
        <f t="shared" si="47"/>
        <v>41.09698615</v>
      </c>
      <c r="O55" s="80">
        <f t="shared" si="48"/>
        <v>270.5135139</v>
      </c>
      <c r="P55" s="5"/>
    </row>
    <row r="56">
      <c r="A56" s="66" t="s">
        <v>117</v>
      </c>
      <c r="B56" s="85"/>
      <c r="C56" s="85"/>
      <c r="D56" s="71" t="s">
        <v>118</v>
      </c>
      <c r="E56" s="85"/>
      <c r="F56" s="85"/>
      <c r="G56" s="73">
        <f t="shared" ref="G56:J56" si="49">SUM(G57:G58)</f>
        <v>26.57</v>
      </c>
      <c r="H56" s="73">
        <f t="shared" si="49"/>
        <v>4.9</v>
      </c>
      <c r="I56" s="73">
        <f t="shared" si="49"/>
        <v>31.47</v>
      </c>
      <c r="J56" s="73">
        <f t="shared" si="49"/>
        <v>43447.722</v>
      </c>
      <c r="K56" s="85"/>
      <c r="L56" s="73">
        <f>SUM(L57:L58)</f>
        <v>38.516133</v>
      </c>
      <c r="M56" s="85"/>
      <c r="N56" s="73">
        <f t="shared" ref="N56:O56" si="50">SUM(N57:N58)</f>
        <v>38.6990471</v>
      </c>
      <c r="O56" s="73">
        <f t="shared" si="50"/>
        <v>53428.19956</v>
      </c>
      <c r="P56" s="5"/>
    </row>
    <row r="57">
      <c r="A57" s="74">
        <f>'ORÇA onerado'!A57</f>
        <v>46029</v>
      </c>
      <c r="B57" s="74" t="str">
        <f>'ORÇA onerado'!B57</f>
        <v>GOINFRA</v>
      </c>
      <c r="C57" s="76">
        <f>'ORÇA onerado'!C57</f>
        <v>150204</v>
      </c>
      <c r="D57" s="104" t="str">
        <f>'ORÇA onerado'!D57</f>
        <v>ESTRUTURA METÁLICA CONVENCIONAL EM AÇO DO TIPO MR-250 / ASTM A36 COM FUNDO ANTICORROSIVO</v>
      </c>
      <c r="E57" s="74" t="str">
        <f>'ORÇA onerado'!E57</f>
        <v>Kg    </v>
      </c>
      <c r="F57" s="79">
        <f>'ORÇA onerado'!F57</f>
        <v>2256.6</v>
      </c>
      <c r="G57" s="80">
        <v>17.91</v>
      </c>
      <c r="H57" s="80">
        <v>0.0</v>
      </c>
      <c r="I57" s="80">
        <f t="shared" ref="I57:I58" si="51">G57+H57</f>
        <v>17.91</v>
      </c>
      <c r="J57" s="80">
        <f t="shared" ref="J57:J58" si="52">I57*F57</f>
        <v>40415.706</v>
      </c>
      <c r="K57" s="81">
        <f t="shared" ref="K57:K58" si="53">$F$5</f>
        <v>0.2239</v>
      </c>
      <c r="L57" s="82">
        <f t="shared" ref="L57:L58" si="54">(1+K57)*I57</f>
        <v>21.920049</v>
      </c>
      <c r="M57" s="81">
        <f>INCC!$C$26</f>
        <v>0.004749025652</v>
      </c>
      <c r="N57" s="80">
        <f t="shared" ref="N57:N58" si="55">(1+M57)*L57</f>
        <v>22.02414787</v>
      </c>
      <c r="O57" s="80">
        <f t="shared" ref="O57:O58" si="56">N57*F57</f>
        <v>49699.69209</v>
      </c>
      <c r="P57" s="5"/>
    </row>
    <row r="58">
      <c r="A58" s="74">
        <f>'ORÇA onerado'!A58</f>
        <v>46060</v>
      </c>
      <c r="B58" s="74" t="str">
        <f>'ORÇA onerado'!B58</f>
        <v>GOINFRA</v>
      </c>
      <c r="C58" s="76">
        <f>'ORÇA onerado'!C58</f>
        <v>261609</v>
      </c>
      <c r="D58" s="104" t="str">
        <f>'ORÇA onerado'!D58</f>
        <v>PINTURA ESMALTE ALQUIDICO ESTRUTURA METALICA 2 DEMAOS</v>
      </c>
      <c r="E58" s="74" t="str">
        <f>'ORÇA onerado'!E58</f>
        <v>m2</v>
      </c>
      <c r="F58" s="79">
        <f>'ORÇA onerado'!F58</f>
        <v>223.6</v>
      </c>
      <c r="G58" s="80">
        <v>8.66</v>
      </c>
      <c r="H58" s="80">
        <v>4.9</v>
      </c>
      <c r="I58" s="80">
        <f t="shared" si="51"/>
        <v>13.56</v>
      </c>
      <c r="J58" s="80">
        <f t="shared" si="52"/>
        <v>3032.016</v>
      </c>
      <c r="K58" s="81">
        <f t="shared" si="53"/>
        <v>0.2239</v>
      </c>
      <c r="L58" s="82">
        <f t="shared" si="54"/>
        <v>16.596084</v>
      </c>
      <c r="M58" s="81">
        <f>INCC!$C$26</f>
        <v>0.004749025652</v>
      </c>
      <c r="N58" s="80">
        <f t="shared" si="55"/>
        <v>16.67489923</v>
      </c>
      <c r="O58" s="80">
        <f t="shared" si="56"/>
        <v>3728.507468</v>
      </c>
      <c r="P58" s="5"/>
    </row>
    <row r="59">
      <c r="A59" s="66" t="str">
        <f>'ORÇA onerado'!A59</f>
        <v>08.</v>
      </c>
      <c r="B59" s="85"/>
      <c r="C59" s="85"/>
      <c r="D59" s="71" t="s">
        <v>123</v>
      </c>
      <c r="E59" s="85"/>
      <c r="F59" s="85"/>
      <c r="G59" s="73">
        <f t="shared" ref="G59:J59" si="57">SUM(G60:G65)</f>
        <v>798.9569343</v>
      </c>
      <c r="H59" s="73">
        <f t="shared" si="57"/>
        <v>197.2918311</v>
      </c>
      <c r="I59" s="73">
        <f t="shared" si="57"/>
        <v>996.2487654</v>
      </c>
      <c r="J59" s="73">
        <f t="shared" si="57"/>
        <v>53074.23451</v>
      </c>
      <c r="K59" s="85"/>
      <c r="L59" s="73">
        <f>SUM(L60:L65)</f>
        <v>1219.308864</v>
      </c>
      <c r="M59" s="85"/>
      <c r="N59" s="73">
        <f t="shared" ref="N59:O59" si="58">SUM(N60:N65)</f>
        <v>1221.173217</v>
      </c>
      <c r="O59" s="73">
        <f t="shared" si="58"/>
        <v>65046.33411</v>
      </c>
      <c r="P59" s="5"/>
    </row>
    <row r="60">
      <c r="A60" s="74">
        <f>'ORÇA onerado'!A60</f>
        <v>46030</v>
      </c>
      <c r="B60" s="74" t="str">
        <f>'ORÇA onerado'!B60</f>
        <v>ORSE</v>
      </c>
      <c r="C60" s="76">
        <f>'ORÇA onerado'!C60</f>
        <v>13060</v>
      </c>
      <c r="D60" s="104" t="str">
        <f>'ORÇA onerado'!D60</f>
        <v>Fornecimento e instalação de chapas de policarbonato, e=8mm em toldo/cobertura/fechamento/etc - Rev 01</v>
      </c>
      <c r="E60" s="74" t="str">
        <f>'ORÇA onerado'!E60</f>
        <v>m2</v>
      </c>
      <c r="F60" s="79">
        <f>'ORÇA onerado'!F60</f>
        <v>67.4819</v>
      </c>
      <c r="G60" s="80">
        <f>'ORÇA onerado'!G60</f>
        <v>435.6</v>
      </c>
      <c r="H60" s="80">
        <f>'ORÇA onerado'!H60</f>
        <v>47.47</v>
      </c>
      <c r="I60" s="80">
        <f t="shared" ref="I60:I65" si="59">G60+H60</f>
        <v>483.07</v>
      </c>
      <c r="J60" s="80">
        <f t="shared" ref="J60:J65" si="60">I60*F60</f>
        <v>32598.48143</v>
      </c>
      <c r="K60" s="81">
        <f t="shared" ref="K60:K65" si="61">$F$5</f>
        <v>0.2239</v>
      </c>
      <c r="L60" s="82">
        <f t="shared" ref="L60:L65" si="62">(1+K60)*I60</f>
        <v>591.229373</v>
      </c>
      <c r="M60" s="81">
        <f>INCC!$C$29</f>
        <v>0.002062607648</v>
      </c>
      <c r="N60" s="80">
        <f t="shared" ref="N60:N65" si="63">(1+M60)*L60</f>
        <v>592.4488472</v>
      </c>
      <c r="O60" s="80">
        <f t="shared" ref="O60:O65" si="64">N60*F60</f>
        <v>39979.57386</v>
      </c>
      <c r="P60" s="5"/>
    </row>
    <row r="61">
      <c r="A61" s="74">
        <f>'ORÇA onerado'!A61</f>
        <v>46061</v>
      </c>
      <c r="B61" s="74" t="str">
        <f>'ORÇA onerado'!B61</f>
        <v>SINAPI</v>
      </c>
      <c r="C61" s="76">
        <f>'ORÇA onerado'!C61</f>
        <v>94216</v>
      </c>
      <c r="D61" s="104" t="str">
        <f>'ORÇA onerado'!D61</f>
        <v>TELHAMENTO COM TELHA METÁLICA TERMOACÚSTICA E = 30 MM, COM ATÉ 2 ÁGUAS, INCLUSO IÇAMENTO. AF_07/2019</v>
      </c>
      <c r="E61" s="74" t="str">
        <f>'ORÇA onerado'!E61</f>
        <v>m2</v>
      </c>
      <c r="F61" s="79">
        <f>'ORÇA onerado'!F61</f>
        <v>30.5334</v>
      </c>
      <c r="G61" s="80">
        <v>188.11</v>
      </c>
      <c r="H61" s="80">
        <v>0.0</v>
      </c>
      <c r="I61" s="80">
        <f t="shared" si="59"/>
        <v>188.11</v>
      </c>
      <c r="J61" s="80">
        <f t="shared" si="60"/>
        <v>5743.637874</v>
      </c>
      <c r="K61" s="81">
        <f t="shared" si="61"/>
        <v>0.2239</v>
      </c>
      <c r="L61" s="82">
        <f t="shared" si="62"/>
        <v>230.227829</v>
      </c>
      <c r="M61" s="81">
        <f>INCC!$C$27</f>
        <v>0</v>
      </c>
      <c r="N61" s="80">
        <f t="shared" si="63"/>
        <v>230.227829</v>
      </c>
      <c r="O61" s="80">
        <f t="shared" si="64"/>
        <v>7029.638394</v>
      </c>
      <c r="P61" s="5"/>
    </row>
    <row r="62">
      <c r="A62" s="74">
        <f>'ORÇA onerado'!A62</f>
        <v>46089</v>
      </c>
      <c r="B62" s="74" t="str">
        <f>'ORÇA onerado'!B62</f>
        <v>COMPOSIÇÃO</v>
      </c>
      <c r="C62" s="76">
        <f>'ORÇA onerado'!C62</f>
        <v>5</v>
      </c>
      <c r="D62" s="104" t="str">
        <f>'ORÇA onerado'!D62</f>
        <v>ACABAMENTO FRONTAL CALHA TIPO PLATIBANDA PINTADA NA COR BRANCA 150mm
</v>
      </c>
      <c r="E62" s="74" t="str">
        <f>'ORÇA onerado'!E62</f>
        <v>m2</v>
      </c>
      <c r="F62" s="79">
        <f>'ORÇA onerado'!F62</f>
        <v>66.1892</v>
      </c>
      <c r="G62" s="80">
        <f>'COMP. desonerado'!M37</f>
        <v>54.87026766</v>
      </c>
      <c r="H62" s="80">
        <f>'COMP. desonerado'!N37</f>
        <v>76.37683113</v>
      </c>
      <c r="I62" s="80">
        <f t="shared" si="59"/>
        <v>131.2470988</v>
      </c>
      <c r="J62" s="80">
        <f t="shared" si="60"/>
        <v>8687.140471</v>
      </c>
      <c r="K62" s="81">
        <f t="shared" si="61"/>
        <v>0.2239</v>
      </c>
      <c r="L62" s="82">
        <f t="shared" si="62"/>
        <v>160.6333242</v>
      </c>
      <c r="M62" s="81"/>
      <c r="N62" s="80">
        <f t="shared" si="63"/>
        <v>160.6333242</v>
      </c>
      <c r="O62" s="80">
        <f t="shared" si="64"/>
        <v>10632.19122</v>
      </c>
      <c r="P62" s="5"/>
    </row>
    <row r="63">
      <c r="A63" s="74">
        <f>'ORÇA onerado'!A63</f>
        <v>46120</v>
      </c>
      <c r="B63" s="74" t="str">
        <f>'ORÇA onerado'!B63</f>
        <v>COMPOSIÇÃO</v>
      </c>
      <c r="C63" s="76">
        <f>'ORÇA onerado'!C63</f>
        <v>7</v>
      </c>
      <c r="D63" s="104" t="str">
        <f>'ORÇA onerado'!D63</f>
        <v>Acabamento Frontal em Aço para telha Trapezoidal Telha Térmica Sanduíche 30mm</v>
      </c>
      <c r="E63" s="74" t="str">
        <f>'ORÇA onerado'!E63</f>
        <v>m</v>
      </c>
      <c r="F63" s="79">
        <f>'ORÇA onerado'!F63</f>
        <v>225.15</v>
      </c>
      <c r="G63" s="80">
        <f>'COMP. desonerado'!M50</f>
        <v>10.68666667</v>
      </c>
      <c r="H63" s="80">
        <f>'COMP. desonerado'!N50</f>
        <v>7.2425</v>
      </c>
      <c r="I63" s="80">
        <f t="shared" si="59"/>
        <v>17.92916667</v>
      </c>
      <c r="J63" s="80">
        <f t="shared" si="60"/>
        <v>4036.751875</v>
      </c>
      <c r="K63" s="81">
        <f t="shared" si="61"/>
        <v>0.2239</v>
      </c>
      <c r="L63" s="82">
        <f t="shared" si="62"/>
        <v>21.94350708</v>
      </c>
      <c r="M63" s="89"/>
      <c r="N63" s="80">
        <f t="shared" si="63"/>
        <v>21.94350708</v>
      </c>
      <c r="O63" s="80">
        <f t="shared" si="64"/>
        <v>4940.58062</v>
      </c>
      <c r="P63" s="5"/>
    </row>
    <row r="64">
      <c r="A64" s="74">
        <f>'ORÇA onerado'!A64</f>
        <v>46150</v>
      </c>
      <c r="B64" s="74" t="str">
        <f>'ORÇA onerado'!B64</f>
        <v>COMPOSIÇÃO</v>
      </c>
      <c r="C64" s="76">
        <f>'ORÇA onerado'!C64</f>
        <v>8</v>
      </c>
      <c r="D64" s="104" t="str">
        <f>'ORÇA onerado'!D64</f>
        <v>
Acabamento Lateral em Aço para telha Trapezoidal Telha Térmica Sanduíche 30mm</v>
      </c>
      <c r="E64" s="74" t="str">
        <f>'ORÇA onerado'!E64</f>
        <v>m</v>
      </c>
      <c r="F64" s="79">
        <f>'ORÇA onerado'!F64</f>
        <v>13.74</v>
      </c>
      <c r="G64" s="80">
        <f>'COMP. desonerado'!M55</f>
        <v>57.7</v>
      </c>
      <c r="H64" s="80">
        <f>'COMP. desonerado'!N55</f>
        <v>7.2425</v>
      </c>
      <c r="I64" s="80">
        <f t="shared" si="59"/>
        <v>64.9425</v>
      </c>
      <c r="J64" s="80">
        <f t="shared" si="60"/>
        <v>892.30995</v>
      </c>
      <c r="K64" s="81">
        <f t="shared" si="61"/>
        <v>0.2239</v>
      </c>
      <c r="L64" s="82">
        <f t="shared" si="62"/>
        <v>79.48312575</v>
      </c>
      <c r="M64" s="89"/>
      <c r="N64" s="80">
        <f t="shared" si="63"/>
        <v>79.48312575</v>
      </c>
      <c r="O64" s="80">
        <f t="shared" si="64"/>
        <v>1092.098148</v>
      </c>
      <c r="P64" s="5"/>
    </row>
    <row r="65">
      <c r="A65" s="74">
        <f>'ORÇA onerado'!A65</f>
        <v>46181</v>
      </c>
      <c r="B65" s="74" t="str">
        <f>'ORÇA onerado'!B65</f>
        <v>GOINFRA</v>
      </c>
      <c r="C65" s="76">
        <f>'ORÇA onerado'!C65</f>
        <v>160603</v>
      </c>
      <c r="D65" s="104" t="str">
        <f>'ORÇA onerado'!D65</f>
        <v>RUFO DE CHAPA GALVANIZADA Nº 26</v>
      </c>
      <c r="E65" s="74" t="str">
        <f>'ORÇA onerado'!E65</f>
        <v>m2</v>
      </c>
      <c r="F65" s="79">
        <f>'ORÇA onerado'!F65</f>
        <v>10.0578</v>
      </c>
      <c r="G65" s="80">
        <v>51.99</v>
      </c>
      <c r="H65" s="80">
        <v>58.96</v>
      </c>
      <c r="I65" s="80">
        <f t="shared" si="59"/>
        <v>110.95</v>
      </c>
      <c r="J65" s="80">
        <f t="shared" si="60"/>
        <v>1115.91291</v>
      </c>
      <c r="K65" s="81">
        <f t="shared" si="61"/>
        <v>0.2239</v>
      </c>
      <c r="L65" s="82">
        <f t="shared" si="62"/>
        <v>135.791705</v>
      </c>
      <c r="M65" s="81">
        <f>INCC!$C$26</f>
        <v>0.004749025652</v>
      </c>
      <c r="N65" s="80">
        <f t="shared" si="63"/>
        <v>136.4365833</v>
      </c>
      <c r="O65" s="80">
        <f t="shared" si="64"/>
        <v>1372.251867</v>
      </c>
      <c r="P65" s="5"/>
    </row>
    <row r="66">
      <c r="A66" s="66" t="s">
        <v>128</v>
      </c>
      <c r="B66" s="85"/>
      <c r="C66" s="86"/>
      <c r="D66" s="71" t="s">
        <v>129</v>
      </c>
      <c r="E66" s="85"/>
      <c r="F66" s="87"/>
      <c r="G66" s="73">
        <f t="shared" ref="G66:J66" si="65">SUM(G67:G73)</f>
        <v>5038.277827</v>
      </c>
      <c r="H66" s="73">
        <f t="shared" si="65"/>
        <v>237.7532803</v>
      </c>
      <c r="I66" s="73">
        <f t="shared" si="65"/>
        <v>5276.031107</v>
      </c>
      <c r="J66" s="73">
        <f t="shared" si="65"/>
        <v>880626.6454</v>
      </c>
      <c r="K66" s="73"/>
      <c r="L66" s="73">
        <f>SUM(L67:L73)</f>
        <v>6457.334472</v>
      </c>
      <c r="M66" s="73"/>
      <c r="N66" s="73">
        <f t="shared" ref="N66:O66" si="66">SUM(N67:N73)</f>
        <v>6466.609112</v>
      </c>
      <c r="O66" s="73">
        <f t="shared" si="66"/>
        <v>1077824.331</v>
      </c>
      <c r="P66" s="88"/>
    </row>
    <row r="67">
      <c r="A67" s="74">
        <f>'ORÇA onerado'!A67</f>
        <v>46031</v>
      </c>
      <c r="B67" s="74" t="str">
        <f>'ORÇA onerado'!B67</f>
        <v>COTAÇÃO</v>
      </c>
      <c r="C67" s="76">
        <f>'ORÇA onerado'!C67</f>
        <v>1</v>
      </c>
      <c r="D67" s="104" t="str">
        <f>'ORÇA onerado'!D67</f>
        <v>BRISE SOLEIL - CHAPA DE AÇO CARBONO GALVANIZADA, PERFURADA (GRADE FUROS REDONDOS ALTERNADOS HORIZONTAL) COM DIÂMETRO MÁXIMO DE FURO ≤ 4cm, ESPESSURA CHPA 2mm E PINTADA COM TINTA AUTOMOTIVA E ACABAMENTO EM VERNIZ BICOMPONENTE AUTOMOTIVO NA COR: Verde Mar ou similar (a cor deverá ser preveamente aprovada).FORNECIMENTO E INSTALAÇÃO.</v>
      </c>
      <c r="E67" s="74" t="str">
        <f>'ORÇA onerado'!E67</f>
        <v>m2</v>
      </c>
      <c r="F67" s="79">
        <f>'ORÇA onerado'!F67</f>
        <v>611.4144</v>
      </c>
      <c r="G67" s="80">
        <f>'COTAÇÕES'!I10</f>
        <v>1417.464337</v>
      </c>
      <c r="H67" s="80">
        <v>0.0</v>
      </c>
      <c r="I67" s="80">
        <f t="shared" ref="I67:I73" si="67">G67+H67</f>
        <v>1417.464337</v>
      </c>
      <c r="J67" s="80">
        <f t="shared" ref="J67:J73" si="68">I67*F67</f>
        <v>866658.1069</v>
      </c>
      <c r="K67" s="81">
        <f t="shared" ref="K67:K73" si="69">$F$5</f>
        <v>0.2239</v>
      </c>
      <c r="L67" s="82">
        <f t="shared" ref="L67:L73" si="70">(1+K67)*I67</f>
        <v>1734.834602</v>
      </c>
      <c r="M67" s="89"/>
      <c r="N67" s="80">
        <f t="shared" ref="N67:N73" si="71">(1+M67)*L67</f>
        <v>1734.834602</v>
      </c>
      <c r="O67" s="80">
        <f t="shared" ref="O67:O73" si="72">N67*F67</f>
        <v>1060702.857</v>
      </c>
      <c r="P67" s="5"/>
    </row>
    <row r="68">
      <c r="A68" s="74">
        <f>'ORÇA onerado'!A68</f>
        <v>46062</v>
      </c>
      <c r="B68" s="74" t="str">
        <f>'ORÇA onerado'!B68</f>
        <v>GOINFRA</v>
      </c>
      <c r="C68" s="76">
        <f>'ORÇA onerado'!C68</f>
        <v>180501</v>
      </c>
      <c r="D68" s="104" t="str">
        <f>'ORÇA onerado'!D68</f>
        <v>PORTA DE ABRIR DE 01 FOLHA EM CHAPA METÁLICA PF-1 C/FERRAGENS</v>
      </c>
      <c r="E68" s="74" t="str">
        <f>'ORÇA onerado'!E68</f>
        <v>UN</v>
      </c>
      <c r="F68" s="79">
        <f>'ORÇA onerado'!F68</f>
        <v>1</v>
      </c>
      <c r="G68" s="80">
        <v>635.35</v>
      </c>
      <c r="H68" s="80">
        <v>58.15</v>
      </c>
      <c r="I68" s="80">
        <f t="shared" si="67"/>
        <v>693.5</v>
      </c>
      <c r="J68" s="80">
        <f t="shared" si="68"/>
        <v>693.5</v>
      </c>
      <c r="K68" s="81">
        <f t="shared" si="69"/>
        <v>0.2239</v>
      </c>
      <c r="L68" s="82">
        <f t="shared" si="70"/>
        <v>848.77465</v>
      </c>
      <c r="M68" s="81">
        <f>INCC!$C$26</f>
        <v>0.004749025652</v>
      </c>
      <c r="N68" s="80">
        <f t="shared" si="71"/>
        <v>852.8055026</v>
      </c>
      <c r="O68" s="80">
        <f t="shared" si="72"/>
        <v>852.8055026</v>
      </c>
      <c r="P68" s="5"/>
    </row>
    <row r="69">
      <c r="A69" s="74">
        <f>'ORÇA onerado'!A69</f>
        <v>46090</v>
      </c>
      <c r="B69" s="74" t="str">
        <f>'ORÇA onerado'!B69</f>
        <v>GOINFRA</v>
      </c>
      <c r="C69" s="76">
        <f>'ORÇA onerado'!C69</f>
        <v>180504</v>
      </c>
      <c r="D69" s="104" t="str">
        <f>'ORÇA onerado'!D69</f>
        <v>PORTA DE ABRIR DE 01 FOLHA EM VENEZIANA PF-4 C/FERRAGENS</v>
      </c>
      <c r="E69" s="74" t="str">
        <f>'ORÇA onerado'!E69</f>
        <v>m2</v>
      </c>
      <c r="F69" s="79">
        <f>'ORÇA onerado'!F69</f>
        <v>3.36</v>
      </c>
      <c r="G69" s="80">
        <v>501.9</v>
      </c>
      <c r="H69" s="80">
        <v>58.15</v>
      </c>
      <c r="I69" s="80">
        <f t="shared" si="67"/>
        <v>560.05</v>
      </c>
      <c r="J69" s="80">
        <f t="shared" si="68"/>
        <v>1881.768</v>
      </c>
      <c r="K69" s="81">
        <f t="shared" si="69"/>
        <v>0.2239</v>
      </c>
      <c r="L69" s="82">
        <f t="shared" si="70"/>
        <v>685.445195</v>
      </c>
      <c r="M69" s="81">
        <f>INCC!$C$26</f>
        <v>0.004749025652</v>
      </c>
      <c r="N69" s="80">
        <f t="shared" si="71"/>
        <v>688.7003918</v>
      </c>
      <c r="O69" s="80">
        <f t="shared" si="72"/>
        <v>2314.033316</v>
      </c>
      <c r="P69" s="5"/>
    </row>
    <row r="70">
      <c r="A70" s="74">
        <f>'ORÇA onerado'!A70</f>
        <v>46121</v>
      </c>
      <c r="B70" s="74" t="str">
        <f>'ORÇA onerado'!B70</f>
        <v>ORSE</v>
      </c>
      <c r="C70" s="76">
        <f>'ORÇA onerado'!C70</f>
        <v>4461</v>
      </c>
      <c r="D70" s="104" t="str">
        <f>'ORÇA onerado'!D70</f>
        <v>Tela de aço galvanizado fio 12 bwg, malha 2", ondulada, quadrada, fixada em moldura constituída de barra chata de 1 1/2 x 1/4"</v>
      </c>
      <c r="E70" s="74" t="str">
        <f>'ORÇA onerado'!E70</f>
        <v>m2</v>
      </c>
      <c r="F70" s="79">
        <f>'ORÇA onerado'!F70</f>
        <v>2.73</v>
      </c>
      <c r="G70" s="80">
        <f>'ORÇA onerado'!G70</f>
        <v>98.91</v>
      </c>
      <c r="H70" s="80">
        <f>'ORÇA onerado'!H70</f>
        <v>19.78</v>
      </c>
      <c r="I70" s="80">
        <f t="shared" si="67"/>
        <v>118.69</v>
      </c>
      <c r="J70" s="80">
        <f t="shared" si="68"/>
        <v>324.0237</v>
      </c>
      <c r="K70" s="81">
        <f t="shared" si="69"/>
        <v>0.2239</v>
      </c>
      <c r="L70" s="82">
        <f t="shared" si="70"/>
        <v>145.264691</v>
      </c>
      <c r="M70" s="81">
        <f>INCC!$C$29</f>
        <v>0.002062607648</v>
      </c>
      <c r="N70" s="80">
        <f t="shared" si="71"/>
        <v>145.5643151</v>
      </c>
      <c r="O70" s="80">
        <f t="shared" si="72"/>
        <v>397.3905801</v>
      </c>
      <c r="P70" s="5"/>
    </row>
    <row r="71">
      <c r="A71" s="74">
        <f>'ORÇA onerado'!A71</f>
        <v>46151</v>
      </c>
      <c r="B71" s="74" t="str">
        <f>'ORÇA onerado'!B71</f>
        <v>ORSE</v>
      </c>
      <c r="C71" s="76">
        <f>'ORÇA onerado'!C71</f>
        <v>3149</v>
      </c>
      <c r="D71" s="104" t="str">
        <f>'ORÇA onerado'!D71</f>
        <v>Película insulfilm aplicada ou Similar</v>
      </c>
      <c r="E71" s="74" t="str">
        <f>'ORÇA onerado'!E71</f>
        <v>m2</v>
      </c>
      <c r="F71" s="79">
        <f>'ORÇA onerado'!F71</f>
        <v>28.9346</v>
      </c>
      <c r="G71" s="80">
        <f>'ORÇA onerado'!G71</f>
        <v>64.67</v>
      </c>
      <c r="H71" s="80">
        <f>'ORÇA onerado'!H71</f>
        <v>0</v>
      </c>
      <c r="I71" s="80">
        <f t="shared" si="67"/>
        <v>64.67</v>
      </c>
      <c r="J71" s="80">
        <f t="shared" si="68"/>
        <v>1871.200582</v>
      </c>
      <c r="K71" s="81">
        <f t="shared" si="69"/>
        <v>0.2239</v>
      </c>
      <c r="L71" s="82">
        <f t="shared" si="70"/>
        <v>79.149613</v>
      </c>
      <c r="M71" s="81">
        <f>INCC!$C$29</f>
        <v>0.002062607648</v>
      </c>
      <c r="N71" s="80">
        <f t="shared" si="71"/>
        <v>79.3128676</v>
      </c>
      <c r="O71" s="80">
        <f t="shared" si="72"/>
        <v>2294.886099</v>
      </c>
      <c r="P71" s="5"/>
    </row>
    <row r="72">
      <c r="A72" s="74">
        <f>'ORÇA onerado'!A72</f>
        <v>46182</v>
      </c>
      <c r="B72" s="74" t="str">
        <f>'ORÇA onerado'!B72</f>
        <v>ORSE</v>
      </c>
      <c r="C72" s="76">
        <f>'ORÇA onerado'!C72</f>
        <v>11573</v>
      </c>
      <c r="D72" s="104" t="str">
        <f>'ORÇA onerado'!D72</f>
        <v>Tampa de inspeção em chapa metálica de 1/4", inclusive tratamento e pintura em esmalte</v>
      </c>
      <c r="E72" s="74" t="str">
        <f>'ORÇA onerado'!E72</f>
        <v>m2</v>
      </c>
      <c r="F72" s="79">
        <f>'ORÇA onerado'!F72</f>
        <v>3.1916</v>
      </c>
      <c r="G72" s="80">
        <f>'ORÇA onerado'!G72</f>
        <v>533.48</v>
      </c>
      <c r="H72" s="80">
        <f>'ORÇA onerado'!H72</f>
        <v>70.9</v>
      </c>
      <c r="I72" s="80">
        <f t="shared" si="67"/>
        <v>604.38</v>
      </c>
      <c r="J72" s="80">
        <f t="shared" si="68"/>
        <v>1928.939208</v>
      </c>
      <c r="K72" s="81">
        <f t="shared" si="69"/>
        <v>0.2239</v>
      </c>
      <c r="L72" s="82">
        <f t="shared" si="70"/>
        <v>739.700682</v>
      </c>
      <c r="M72" s="81">
        <f>INCC!$C$29</f>
        <v>0.002062607648</v>
      </c>
      <c r="N72" s="80">
        <f t="shared" si="71"/>
        <v>741.2263943</v>
      </c>
      <c r="O72" s="80">
        <f t="shared" si="72"/>
        <v>2365.69816</v>
      </c>
      <c r="P72" s="5"/>
    </row>
    <row r="73">
      <c r="A73" s="74">
        <f>'ORÇA onerado'!A73</f>
        <v>46212</v>
      </c>
      <c r="B73" s="74" t="str">
        <f>'ORÇA onerado'!B73</f>
        <v>COMPOSIÇÃO</v>
      </c>
      <c r="C73" s="76">
        <f>'ORÇA onerado'!C73</f>
        <v>3</v>
      </c>
      <c r="D73" s="104" t="str">
        <f>'ORÇA onerado'!D73</f>
        <v>Tampa circular para esgoto e drenagem, em ferro fundido, diâmetro 900 mm</v>
      </c>
      <c r="E73" s="74" t="str">
        <f>'ORÇA onerado'!E73</f>
        <v>UND</v>
      </c>
      <c r="F73" s="79">
        <f>'ORÇA onerado'!F73</f>
        <v>4</v>
      </c>
      <c r="G73" s="80">
        <f>'COMP. desonerado'!M23</f>
        <v>1786.50349</v>
      </c>
      <c r="H73" s="80">
        <f>'COMP. desonerado'!N23</f>
        <v>30.77328034</v>
      </c>
      <c r="I73" s="80">
        <f t="shared" si="67"/>
        <v>1817.27677</v>
      </c>
      <c r="J73" s="80">
        <f t="shared" si="68"/>
        <v>7269.107081</v>
      </c>
      <c r="K73" s="81">
        <f t="shared" si="69"/>
        <v>0.2239</v>
      </c>
      <c r="L73" s="82">
        <f t="shared" si="70"/>
        <v>2224.165039</v>
      </c>
      <c r="M73" s="89"/>
      <c r="N73" s="80">
        <f t="shared" si="71"/>
        <v>2224.165039</v>
      </c>
      <c r="O73" s="80">
        <f t="shared" si="72"/>
        <v>8896.660157</v>
      </c>
      <c r="P73" s="5"/>
    </row>
    <row r="74">
      <c r="A74" s="66" t="s">
        <v>138</v>
      </c>
      <c r="B74" s="85"/>
      <c r="C74" s="85"/>
      <c r="D74" s="71" t="s">
        <v>139</v>
      </c>
      <c r="E74" s="85"/>
      <c r="F74" s="85"/>
      <c r="G74" s="73">
        <f t="shared" ref="G74:J74" si="73">SUM(G75:G76)</f>
        <v>266.71</v>
      </c>
      <c r="H74" s="73">
        <f t="shared" si="73"/>
        <v>7.241932917</v>
      </c>
      <c r="I74" s="73">
        <f t="shared" si="73"/>
        <v>273.9519329</v>
      </c>
      <c r="J74" s="73">
        <f t="shared" si="73"/>
        <v>32190.83674</v>
      </c>
      <c r="K74" s="85"/>
      <c r="L74" s="73">
        <f>SUM(L75:L76)</f>
        <v>335.2897707</v>
      </c>
      <c r="M74" s="85"/>
      <c r="N74" s="73">
        <f t="shared" ref="N74:O74" si="74">SUM(N75:N76)</f>
        <v>335.2897707</v>
      </c>
      <c r="O74" s="73">
        <f t="shared" si="74"/>
        <v>39398.36509</v>
      </c>
      <c r="P74" s="5"/>
    </row>
    <row r="75">
      <c r="A75" s="74">
        <f>'ORÇA onerado'!A75</f>
        <v>46032</v>
      </c>
      <c r="B75" s="74" t="str">
        <f>'ORÇA onerado'!B75</f>
        <v>COMPOSIÇÃO</v>
      </c>
      <c r="C75" s="76">
        <f>'ORÇA onerado'!C75</f>
        <v>1</v>
      </c>
      <c r="D75" s="104" t="str">
        <f>'ORÇA onerado'!D75</f>
        <v>PAINEL RIPADO INTERNO WPC 290x16cm ( incluso instalação)</v>
      </c>
      <c r="E75" s="74" t="str">
        <f>'ORÇA onerado'!E75</f>
        <v>und</v>
      </c>
      <c r="F75" s="79">
        <f>'ORÇA onerado'!F75</f>
        <v>137</v>
      </c>
      <c r="G75" s="80">
        <f>'COMP. desonerado'!M9</f>
        <v>139.02</v>
      </c>
      <c r="H75" s="80">
        <f>'COMP. desonerado'!N9</f>
        <v>7.241932917</v>
      </c>
      <c r="I75" s="80">
        <f t="shared" ref="I75:I76" si="75">G75+H75</f>
        <v>146.2619329</v>
      </c>
      <c r="J75" s="80">
        <f t="shared" ref="J75:J76" si="76">I75*F75</f>
        <v>20037.88481</v>
      </c>
      <c r="K75" s="81">
        <f t="shared" ref="K75:K76" si="77">$F$5</f>
        <v>0.2239</v>
      </c>
      <c r="L75" s="82">
        <f t="shared" ref="L75:L76" si="78">(1+K75)*I75</f>
        <v>179.0099797</v>
      </c>
      <c r="M75" s="89"/>
      <c r="N75" s="80">
        <f t="shared" ref="N75:N76" si="79">(1+M75)*L75</f>
        <v>179.0099797</v>
      </c>
      <c r="O75" s="80">
        <f t="shared" ref="O75:O76" si="80">N75*F75</f>
        <v>24524.36722</v>
      </c>
      <c r="P75" s="5"/>
    </row>
    <row r="76">
      <c r="A76" s="74">
        <f>'ORÇA onerado'!A76</f>
        <v>46063</v>
      </c>
      <c r="B76" s="74" t="str">
        <f>'ORÇA onerado'!B76</f>
        <v>COTAÇÃO</v>
      </c>
      <c r="C76" s="76">
        <f>'ORÇA onerado'!C76</f>
        <v>2</v>
      </c>
      <c r="D76" s="104" t="str">
        <f>'ORÇA onerado'!D76</f>
        <v>PAINEL RIPADO EXTERNO EM ALUMÍNIO, COM PINTURA SUBLIMADA MADEIRADA COR E DIMENSÕES CONFORME O PROJETO. FORNECIMENTO E INSTALAÇÃO</v>
      </c>
      <c r="E76" s="74" t="str">
        <f>'ORÇA onerado'!E76</f>
        <v>m2</v>
      </c>
      <c r="F76" s="79">
        <f>'ORÇA onerado'!F76</f>
        <v>95.17544</v>
      </c>
      <c r="G76" s="80">
        <f>'COTAÇÕES'!I15</f>
        <v>127.69</v>
      </c>
      <c r="H76" s="80">
        <v>0.0</v>
      </c>
      <c r="I76" s="80">
        <f t="shared" si="75"/>
        <v>127.69</v>
      </c>
      <c r="J76" s="80">
        <f t="shared" si="76"/>
        <v>12152.95193</v>
      </c>
      <c r="K76" s="81">
        <f t="shared" si="77"/>
        <v>0.2239</v>
      </c>
      <c r="L76" s="82">
        <f t="shared" si="78"/>
        <v>156.279791</v>
      </c>
      <c r="M76" s="89"/>
      <c r="N76" s="80">
        <f t="shared" si="79"/>
        <v>156.279791</v>
      </c>
      <c r="O76" s="80">
        <f t="shared" si="80"/>
        <v>14873.99787</v>
      </c>
      <c r="P76" s="5"/>
    </row>
    <row r="77">
      <c r="A77" s="66" t="s">
        <v>143</v>
      </c>
      <c r="B77" s="85"/>
      <c r="C77" s="85"/>
      <c r="D77" s="71" t="s">
        <v>144</v>
      </c>
      <c r="E77" s="85"/>
      <c r="F77" s="85"/>
      <c r="G77" s="73">
        <f t="shared" ref="G77:J77" si="81">SUM(G78:G89)</f>
        <v>323.51</v>
      </c>
      <c r="H77" s="73">
        <f t="shared" si="81"/>
        <v>223.93</v>
      </c>
      <c r="I77" s="73">
        <f t="shared" si="81"/>
        <v>547.44</v>
      </c>
      <c r="J77" s="73">
        <f t="shared" si="81"/>
        <v>61171.03816</v>
      </c>
      <c r="K77" s="85"/>
      <c r="L77" s="73">
        <f>SUM(L78:L89)</f>
        <v>670.011816</v>
      </c>
      <c r="M77" s="85"/>
      <c r="N77" s="73">
        <f t="shared" ref="N77:O77" si="82">SUM(N78:N89)</f>
        <v>672.809752</v>
      </c>
      <c r="O77" s="73">
        <f t="shared" si="82"/>
        <v>75136.66016</v>
      </c>
      <c r="P77" s="5"/>
    </row>
    <row r="78">
      <c r="A78" s="74" t="str">
        <f>'ORÇA onerado'!A78</f>
        <v>11.01</v>
      </c>
      <c r="B78" s="74" t="str">
        <f>'ORÇA onerado'!B78</f>
        <v>ORSE</v>
      </c>
      <c r="C78" s="76">
        <f>'ORÇA onerado'!C78</f>
        <v>8928</v>
      </c>
      <c r="D78" s="104" t="str">
        <f>'ORÇA onerado'!D78</f>
        <v>Revestimento cerâmico para piso ou parede, 50 x 50 cm, antiderrapante (porcelanato), Elizabeth ou similar, aplicado com argamassa industrializada ac-iii, rejuntado, exclusive regularização de base ou emboço</v>
      </c>
      <c r="E78" s="74" t="str">
        <f>'ORÇA onerado'!E78</f>
        <v>m2</v>
      </c>
      <c r="F78" s="79">
        <f>'ORÇA onerado'!F78</f>
        <v>136.3626</v>
      </c>
      <c r="G78" s="80">
        <f>'ORÇA onerado'!G78</f>
        <v>56.47</v>
      </c>
      <c r="H78" s="80">
        <f>'ORÇA onerado'!H78</f>
        <v>18.91</v>
      </c>
      <c r="I78" s="80">
        <f t="shared" ref="I78:I89" si="83">G78+H78</f>
        <v>75.38</v>
      </c>
      <c r="J78" s="80">
        <f t="shared" ref="J78:J89" si="84">I78*F78</f>
        <v>10279.01279</v>
      </c>
      <c r="K78" s="81">
        <f t="shared" ref="K78:K89" si="85">$F$5</f>
        <v>0.2239</v>
      </c>
      <c r="L78" s="82">
        <f t="shared" ref="L78:L89" si="86">(1+K78)*I78</f>
        <v>92.257582</v>
      </c>
      <c r="M78" s="81">
        <f>INCC!$C$29</f>
        <v>0.002062607648</v>
      </c>
      <c r="N78" s="80">
        <f t="shared" ref="N78:N89" si="87">(1+M78)*L78</f>
        <v>92.44787319</v>
      </c>
      <c r="O78" s="80">
        <f t="shared" ref="O78:O89" si="88">N78*F78</f>
        <v>12606.43235</v>
      </c>
      <c r="P78" s="5"/>
    </row>
    <row r="79">
      <c r="A79" s="74" t="str">
        <f>'ORÇA onerado'!A79</f>
        <v>11.02</v>
      </c>
      <c r="B79" s="74" t="str">
        <f>'ORÇA onerado'!B79</f>
        <v>GOINFRA</v>
      </c>
      <c r="C79" s="76" t="str">
        <f>'ORÇA onerado'!C79</f>
        <v>120101</v>
      </c>
      <c r="D79" s="104" t="str">
        <f>'ORÇA onerado'!D79</f>
        <v>REGULARIZAÇÃO (1:3) E=2 CM</v>
      </c>
      <c r="E79" s="74" t="str">
        <f>'ORÇA onerado'!E79</f>
        <v>m2</v>
      </c>
      <c r="F79" s="79">
        <f>'ORÇA onerado'!F79</f>
        <v>136.3626</v>
      </c>
      <c r="G79" s="80">
        <v>11.83</v>
      </c>
      <c r="H79" s="80">
        <v>13.04</v>
      </c>
      <c r="I79" s="80">
        <f t="shared" si="83"/>
        <v>24.87</v>
      </c>
      <c r="J79" s="80">
        <f t="shared" si="84"/>
        <v>3391.337862</v>
      </c>
      <c r="K79" s="81">
        <f t="shared" si="85"/>
        <v>0.2239</v>
      </c>
      <c r="L79" s="82">
        <f t="shared" si="86"/>
        <v>30.438393</v>
      </c>
      <c r="M79" s="81">
        <f>INCC!$C$26</f>
        <v>0.004749025652</v>
      </c>
      <c r="N79" s="80">
        <f t="shared" si="87"/>
        <v>30.58294571</v>
      </c>
      <c r="O79" s="80">
        <f t="shared" si="88"/>
        <v>4170.369993</v>
      </c>
      <c r="P79" s="5"/>
    </row>
    <row r="80">
      <c r="A80" s="74" t="str">
        <f>'ORÇA onerado'!A80</f>
        <v>11.03</v>
      </c>
      <c r="B80" s="74" t="str">
        <f>'ORÇA onerado'!B80</f>
        <v>GOINFRA</v>
      </c>
      <c r="C80" s="76">
        <f>'ORÇA onerado'!C80</f>
        <v>220103</v>
      </c>
      <c r="D80" s="104" t="str">
        <f>'ORÇA onerado'!D80</f>
        <v>PISO EM CONCRETO ARMADO E=20CM BAIA TERM.RODOVIARIO 30MPA(3X3 M)COMP./S.LEITO</v>
      </c>
      <c r="E80" s="74" t="str">
        <f>'ORÇA onerado'!E80</f>
        <v>m2</v>
      </c>
      <c r="F80" s="79">
        <f>'ORÇA onerado'!F80</f>
        <v>65.2972</v>
      </c>
      <c r="G80" s="80">
        <v>188.13</v>
      </c>
      <c r="H80" s="80">
        <v>99.46</v>
      </c>
      <c r="I80" s="80">
        <f t="shared" si="83"/>
        <v>287.59</v>
      </c>
      <c r="J80" s="80">
        <f t="shared" si="84"/>
        <v>18778.82175</v>
      </c>
      <c r="K80" s="81">
        <f t="shared" si="85"/>
        <v>0.2239</v>
      </c>
      <c r="L80" s="82">
        <f t="shared" si="86"/>
        <v>351.981401</v>
      </c>
      <c r="M80" s="81">
        <f>INCC!$C$26</f>
        <v>0.004749025652</v>
      </c>
      <c r="N80" s="80">
        <f t="shared" si="87"/>
        <v>353.6529697</v>
      </c>
      <c r="O80" s="80">
        <f t="shared" si="88"/>
        <v>23092.54869</v>
      </c>
      <c r="P80" s="5"/>
    </row>
    <row r="81">
      <c r="A81" s="74" t="str">
        <f>'ORÇA onerado'!A81</f>
        <v>11.04</v>
      </c>
      <c r="B81" s="74" t="str">
        <f>'ORÇA onerado'!B81</f>
        <v>GOINFRA</v>
      </c>
      <c r="C81" s="76">
        <f>'ORÇA onerado'!C81</f>
        <v>220312</v>
      </c>
      <c r="D81" s="104" t="str">
        <f>'ORÇA onerado'!D81</f>
        <v>RODAPÉ DE CERÂMICA ANTIDERRAPANTE COM ARGAMASSA COLANTE</v>
      </c>
      <c r="E81" s="74" t="str">
        <f>'ORÇA onerado'!E81</f>
        <v>m</v>
      </c>
      <c r="F81" s="79">
        <f>'ORÇA onerado'!F81</f>
        <v>23</v>
      </c>
      <c r="G81" s="80">
        <v>2.47</v>
      </c>
      <c r="H81" s="80">
        <v>8.48</v>
      </c>
      <c r="I81" s="80">
        <f t="shared" si="83"/>
        <v>10.95</v>
      </c>
      <c r="J81" s="80">
        <f t="shared" si="84"/>
        <v>251.85</v>
      </c>
      <c r="K81" s="81">
        <f t="shared" si="85"/>
        <v>0.2239</v>
      </c>
      <c r="L81" s="82">
        <f t="shared" si="86"/>
        <v>13.401705</v>
      </c>
      <c r="M81" s="81">
        <f>INCC!$C$26</f>
        <v>0.004749025652</v>
      </c>
      <c r="N81" s="80">
        <f t="shared" si="87"/>
        <v>13.46535004</v>
      </c>
      <c r="O81" s="80">
        <f t="shared" si="88"/>
        <v>309.7030509</v>
      </c>
      <c r="P81" s="5"/>
    </row>
    <row r="82">
      <c r="A82" s="74" t="str">
        <f>'ORÇA onerado'!A82</f>
        <v>11.05</v>
      </c>
      <c r="B82" s="74" t="str">
        <f>'ORÇA onerado'!B82</f>
        <v>GOINFRA</v>
      </c>
      <c r="C82" s="76">
        <f>'ORÇA onerado'!C82</f>
        <v>271715</v>
      </c>
      <c r="D82" s="104" t="str">
        <f>'ORÇA onerado'!D82</f>
        <v>MEIO FIO PD. GOINFRA EM CONC. PRÉ MOLD. RETO/CURVO (9v12X30X100CM), FC28=20MPA COM ARGAM.(1CI:3ARMLC) P/ARREMATE DO REJUNT. - INCLUSO ESCAV./APILOAM./REATERRO E CONC.FC28= 10MPA P/ ASSENTAM. E CHUMBAMENTO</v>
      </c>
      <c r="E82" s="74" t="str">
        <f>'ORÇA onerado'!E82</f>
        <v>m</v>
      </c>
      <c r="F82" s="79">
        <f>'ORÇA onerado'!F82</f>
        <v>35.4226</v>
      </c>
      <c r="G82" s="80">
        <v>20.54</v>
      </c>
      <c r="H82" s="80">
        <v>23.14</v>
      </c>
      <c r="I82" s="80">
        <f t="shared" si="83"/>
        <v>43.68</v>
      </c>
      <c r="J82" s="80">
        <f t="shared" si="84"/>
        <v>1547.259168</v>
      </c>
      <c r="K82" s="81">
        <f t="shared" si="85"/>
        <v>0.2239</v>
      </c>
      <c r="L82" s="82">
        <f t="shared" si="86"/>
        <v>53.459952</v>
      </c>
      <c r="M82" s="81">
        <f>INCC!$C$26</f>
        <v>0.004749025652</v>
      </c>
      <c r="N82" s="80">
        <f t="shared" si="87"/>
        <v>53.71383468</v>
      </c>
      <c r="O82" s="80">
        <f t="shared" si="88"/>
        <v>1902.68368</v>
      </c>
      <c r="P82" s="5"/>
    </row>
    <row r="83">
      <c r="A83" s="74" t="str">
        <f>'ORÇA onerado'!A83</f>
        <v>11.06</v>
      </c>
      <c r="B83" s="74" t="str">
        <f>'ORÇA onerado'!B83</f>
        <v>SINAPI</v>
      </c>
      <c r="C83" s="76">
        <f>'ORÇA onerado'!C83</f>
        <v>102491</v>
      </c>
      <c r="D83" s="104" t="str">
        <f>'ORÇA onerado'!D83</f>
        <v>Pintura de piso com tinta acrílica, aplicação manual, 2 demãos, incluso fundo preparador. af_05/2021</v>
      </c>
      <c r="E83" s="74" t="str">
        <f>'ORÇA onerado'!E83</f>
        <v>m2</v>
      </c>
      <c r="F83" s="79">
        <f>'ORÇA onerado'!F83</f>
        <v>384.3782</v>
      </c>
      <c r="G83" s="80">
        <v>20.54</v>
      </c>
      <c r="H83" s="80">
        <v>23.14</v>
      </c>
      <c r="I83" s="80">
        <f t="shared" si="83"/>
        <v>43.68</v>
      </c>
      <c r="J83" s="80">
        <f t="shared" si="84"/>
        <v>16789.63978</v>
      </c>
      <c r="K83" s="81">
        <f t="shared" si="85"/>
        <v>0.2239</v>
      </c>
      <c r="L83" s="82">
        <f t="shared" si="86"/>
        <v>53.459952</v>
      </c>
      <c r="M83" s="81">
        <f>INCC!$C$26</f>
        <v>0.004749025652</v>
      </c>
      <c r="N83" s="80">
        <f t="shared" si="87"/>
        <v>53.71383468</v>
      </c>
      <c r="O83" s="80">
        <f t="shared" si="88"/>
        <v>20646.42709</v>
      </c>
      <c r="P83" s="5"/>
    </row>
    <row r="84">
      <c r="A84" s="74" t="str">
        <f>'ORÇA onerado'!A84</f>
        <v>11.07</v>
      </c>
      <c r="B84" s="74" t="str">
        <f>'ORÇA onerado'!B84</f>
        <v>GOINFRA</v>
      </c>
      <c r="C84" s="76">
        <f>'ORÇA onerado'!C84</f>
        <v>67022</v>
      </c>
      <c r="D84" s="104" t="str">
        <f>'ORÇA onerado'!D84</f>
        <v>LIMPEZA DO SUBSTRATO COM APLICAÇÃO DE JATO DE ÁGUA FRIA</v>
      </c>
      <c r="E84" s="74" t="str">
        <f>'ORÇA onerado'!E84</f>
        <v>m2</v>
      </c>
      <c r="F84" s="79">
        <f>'ORÇA onerado'!F84</f>
        <v>384.3782</v>
      </c>
      <c r="G84" s="80">
        <v>23.42</v>
      </c>
      <c r="H84" s="80">
        <v>0.0</v>
      </c>
      <c r="I84" s="80">
        <f t="shared" si="83"/>
        <v>23.42</v>
      </c>
      <c r="J84" s="80">
        <f t="shared" si="84"/>
        <v>9002.137444</v>
      </c>
      <c r="K84" s="81">
        <f t="shared" si="85"/>
        <v>0.2239</v>
      </c>
      <c r="L84" s="82">
        <f t="shared" si="86"/>
        <v>28.663738</v>
      </c>
      <c r="M84" s="81">
        <f>INCC!$C$27</f>
        <v>0</v>
      </c>
      <c r="N84" s="80">
        <f t="shared" si="87"/>
        <v>28.663738</v>
      </c>
      <c r="O84" s="80">
        <f t="shared" si="88"/>
        <v>11017.71602</v>
      </c>
      <c r="P84" s="5"/>
    </row>
    <row r="85">
      <c r="A85" s="74" t="str">
        <f>'ORÇA onerado'!A85</f>
        <v>11.08</v>
      </c>
      <c r="B85" s="74" t="str">
        <f>'ORÇA onerado'!B85</f>
        <v>GOINFRA</v>
      </c>
      <c r="C85" s="76">
        <f>'ORÇA onerado'!C85</f>
        <v>41140</v>
      </c>
      <c r="D85" s="104" t="str">
        <f>'ORÇA onerado'!D85</f>
        <v>REGULARIZAÇÃO DO TERRENO SEM APILOAMENTO COM TRANSPORTE MANUAL DA TERRA ESCAVADA</v>
      </c>
      <c r="E85" s="74" t="str">
        <f>'ORÇA onerado'!E85</f>
        <v>m2</v>
      </c>
      <c r="F85" s="79">
        <f>'ORÇA onerado'!F85</f>
        <v>130.5</v>
      </c>
      <c r="G85" s="80">
        <v>0.01</v>
      </c>
      <c r="H85" s="80">
        <v>2.25</v>
      </c>
      <c r="I85" s="80">
        <f t="shared" si="83"/>
        <v>2.26</v>
      </c>
      <c r="J85" s="80">
        <f t="shared" si="84"/>
        <v>294.93</v>
      </c>
      <c r="K85" s="81">
        <f t="shared" si="85"/>
        <v>0.2239</v>
      </c>
      <c r="L85" s="82">
        <f t="shared" si="86"/>
        <v>2.766014</v>
      </c>
      <c r="M85" s="81">
        <f>INCC!$C$26</f>
        <v>0.004749025652</v>
      </c>
      <c r="N85" s="80">
        <f t="shared" si="87"/>
        <v>2.779149871</v>
      </c>
      <c r="O85" s="80">
        <f t="shared" si="88"/>
        <v>362.6790582</v>
      </c>
      <c r="P85" s="5"/>
    </row>
    <row r="86">
      <c r="A86" s="74" t="str">
        <f>'ORÇA onerado'!A86</f>
        <v>11.09</v>
      </c>
      <c r="B86" s="74" t="str">
        <f>'ORÇA onerado'!B86</f>
        <v>GOINFRA</v>
      </c>
      <c r="C86" s="76">
        <f>'ORÇA onerado'!C86</f>
        <v>40905</v>
      </c>
      <c r="D86" s="104" t="str">
        <f>'ORÇA onerado'!D86</f>
        <v>APILOAMENTO MECÂNICO</v>
      </c>
      <c r="E86" s="74" t="str">
        <f>'ORÇA onerado'!E86</f>
        <v>m2</v>
      </c>
      <c r="F86" s="79">
        <f>'ORÇA onerado'!F86</f>
        <v>130.5</v>
      </c>
      <c r="G86" s="80">
        <v>0.0</v>
      </c>
      <c r="H86" s="80">
        <v>3.5</v>
      </c>
      <c r="I86" s="80">
        <f t="shared" si="83"/>
        <v>3.5</v>
      </c>
      <c r="J86" s="80">
        <f t="shared" si="84"/>
        <v>456.75</v>
      </c>
      <c r="K86" s="81">
        <f t="shared" si="85"/>
        <v>0.2239</v>
      </c>
      <c r="L86" s="82">
        <f t="shared" si="86"/>
        <v>4.28365</v>
      </c>
      <c r="M86" s="81">
        <f>INCC!$C$26</f>
        <v>0.004749025652</v>
      </c>
      <c r="N86" s="80">
        <f t="shared" si="87"/>
        <v>4.303993164</v>
      </c>
      <c r="O86" s="80">
        <f t="shared" si="88"/>
        <v>561.6711079</v>
      </c>
      <c r="P86" s="5"/>
    </row>
    <row r="87">
      <c r="A87" s="74" t="str">
        <f>'ORÇA onerado'!A87</f>
        <v>11.10</v>
      </c>
      <c r="B87" s="74" t="str">
        <f>'ORÇA onerado'!B87</f>
        <v>GOINFRA</v>
      </c>
      <c r="C87" s="76">
        <f>'ORÇA onerado'!C87</f>
        <v>20110</v>
      </c>
      <c r="D87" s="104" t="str">
        <f>'ORÇA onerado'!D87</f>
        <v>DEMOLIÇÃO MANUAL DE PISO EM LADRILHO HIDRAULICO COM TRANSPORTE ATE CAÇAMBA E CARGA</v>
      </c>
      <c r="E87" s="74" t="str">
        <f>'ORÇA onerado'!E87</f>
        <v>m2</v>
      </c>
      <c r="F87" s="79">
        <f>'ORÇA onerado'!F87</f>
        <v>11.8125</v>
      </c>
      <c r="G87" s="80">
        <v>0.1</v>
      </c>
      <c r="H87" s="80">
        <v>0.46</v>
      </c>
      <c r="I87" s="80">
        <f t="shared" si="83"/>
        <v>0.56</v>
      </c>
      <c r="J87" s="80">
        <f t="shared" si="84"/>
        <v>6.615</v>
      </c>
      <c r="K87" s="81">
        <f t="shared" si="85"/>
        <v>0.2239</v>
      </c>
      <c r="L87" s="82">
        <f t="shared" si="86"/>
        <v>0.685384</v>
      </c>
      <c r="M87" s="81">
        <f>INCC!$C$26</f>
        <v>0.004749025652</v>
      </c>
      <c r="N87" s="80">
        <f t="shared" si="87"/>
        <v>0.6886389062</v>
      </c>
      <c r="O87" s="80">
        <f t="shared" si="88"/>
        <v>8.134547079</v>
      </c>
      <c r="P87" s="5"/>
    </row>
    <row r="88">
      <c r="A88" s="74" t="str">
        <f>'ORÇA onerado'!A88</f>
        <v>11.11</v>
      </c>
      <c r="B88" s="74" t="str">
        <f>'ORÇA onerado'!B88</f>
        <v>GOINFRA</v>
      </c>
      <c r="C88" s="76">
        <f>'ORÇA onerado'!C88</f>
        <v>221126</v>
      </c>
      <c r="D88" s="104" t="str">
        <f>'ORÇA onerado'!D88</f>
        <v>PISO DE LADRILHO HIDRÁULICO COLORIDO MODELO TÁTIL ( ALERTA OU DIRECIONAL) SEM LASTRO</v>
      </c>
      <c r="E88" s="74" t="str">
        <f>'ORÇA onerado'!E88</f>
        <v>m²</v>
      </c>
      <c r="F88" s="79">
        <f>'ORÇA onerado'!F88</f>
        <v>11.8125</v>
      </c>
      <c r="G88" s="80">
        <v>0.0</v>
      </c>
      <c r="H88" s="80">
        <v>12.02</v>
      </c>
      <c r="I88" s="80">
        <f t="shared" si="83"/>
        <v>12.02</v>
      </c>
      <c r="J88" s="80">
        <f t="shared" si="84"/>
        <v>141.98625</v>
      </c>
      <c r="K88" s="81">
        <f t="shared" si="85"/>
        <v>0.2239</v>
      </c>
      <c r="L88" s="82">
        <f t="shared" si="86"/>
        <v>14.711278</v>
      </c>
      <c r="M88" s="81">
        <f>INCC!$C$26</f>
        <v>0.004749025652</v>
      </c>
      <c r="N88" s="80">
        <f t="shared" si="87"/>
        <v>14.78114224</v>
      </c>
      <c r="O88" s="80">
        <f t="shared" si="88"/>
        <v>174.6022427</v>
      </c>
      <c r="P88" s="5"/>
    </row>
    <row r="89">
      <c r="A89" s="74" t="str">
        <f>'ORÇA onerado'!A89</f>
        <v>11.12</v>
      </c>
      <c r="B89" s="74" t="str">
        <f>'ORÇA onerado'!B89</f>
        <v>GOINFRA</v>
      </c>
      <c r="C89" s="76">
        <f>'ORÇA onerado'!C89</f>
        <v>20109</v>
      </c>
      <c r="D89" s="104" t="str">
        <f>'ORÇA onerado'!D89</f>
        <v>DEMOLIÇÃO MANUAL DE PISO CIMENTICIO SOBRE LASTRO DE CONCRETO COM TRANSPORTE ATE CAÇAMBA E CARGA</v>
      </c>
      <c r="E89" s="74" t="str">
        <f>'ORÇA onerado'!E89</f>
        <v>m2</v>
      </c>
      <c r="F89" s="79">
        <f>'ORÇA onerado'!F89</f>
        <v>11.8125</v>
      </c>
      <c r="G89" s="80">
        <v>0.0</v>
      </c>
      <c r="H89" s="80">
        <v>19.53</v>
      </c>
      <c r="I89" s="80">
        <f t="shared" si="83"/>
        <v>19.53</v>
      </c>
      <c r="J89" s="80">
        <f t="shared" si="84"/>
        <v>230.698125</v>
      </c>
      <c r="K89" s="81">
        <f t="shared" si="85"/>
        <v>0.2239</v>
      </c>
      <c r="L89" s="82">
        <f t="shared" si="86"/>
        <v>23.902767</v>
      </c>
      <c r="M89" s="81">
        <f>INCC!$C$26</f>
        <v>0.004749025652</v>
      </c>
      <c r="N89" s="80">
        <f t="shared" si="87"/>
        <v>24.01628185</v>
      </c>
      <c r="O89" s="80">
        <f t="shared" si="88"/>
        <v>283.6923294</v>
      </c>
      <c r="P89" s="5"/>
    </row>
    <row r="90">
      <c r="A90" s="66" t="s">
        <v>170</v>
      </c>
      <c r="B90" s="85"/>
      <c r="C90" s="85"/>
      <c r="D90" s="71" t="s">
        <v>171</v>
      </c>
      <c r="E90" s="85"/>
      <c r="F90" s="85"/>
      <c r="G90" s="73">
        <f t="shared" ref="G90:J90" si="89">SUM(G91:G96)</f>
        <v>99.79</v>
      </c>
      <c r="H90" s="73">
        <f t="shared" si="89"/>
        <v>78.4</v>
      </c>
      <c r="I90" s="73">
        <f t="shared" si="89"/>
        <v>178.19</v>
      </c>
      <c r="J90" s="73">
        <f t="shared" si="89"/>
        <v>376986.1745</v>
      </c>
      <c r="K90" s="85"/>
      <c r="L90" s="73">
        <f>SUM(L91:L96)</f>
        <v>218.086741</v>
      </c>
      <c r="M90" s="85"/>
      <c r="N90" s="73">
        <f t="shared" ref="N90:O90" si="90">SUM(N91:N96)</f>
        <v>218.9247058</v>
      </c>
      <c r="O90" s="73">
        <f t="shared" si="90"/>
        <v>463566.8151</v>
      </c>
      <c r="P90" s="5"/>
    </row>
    <row r="91">
      <c r="A91" s="74">
        <f>'ORÇA onerado'!A91</f>
        <v>46034</v>
      </c>
      <c r="B91" s="74" t="str">
        <f>'ORÇA onerado'!B91</f>
        <v>GOINFRA</v>
      </c>
      <c r="C91" s="76">
        <f>'ORÇA onerado'!C91</f>
        <v>260601</v>
      </c>
      <c r="D91" s="104" t="str">
        <f>'ORÇA onerado'!D91</f>
        <v>PINTURA TEXTURIZADA C/SELADOR ACRILICO (MANTER COR ORIGINAL: ELEFANTE E/OU CÉU CHUVOSO)</v>
      </c>
      <c r="E91" s="74" t="str">
        <f>'ORÇA onerado'!E91</f>
        <v>m2</v>
      </c>
      <c r="F91" s="79">
        <f>'ORÇA onerado'!F91</f>
        <v>9215.73</v>
      </c>
      <c r="G91" s="80">
        <v>7.37</v>
      </c>
      <c r="H91" s="80">
        <v>8.84</v>
      </c>
      <c r="I91" s="80">
        <f t="shared" ref="I91:I96" si="91">G91+H91</f>
        <v>16.21</v>
      </c>
      <c r="J91" s="80">
        <f t="shared" ref="J91:J96" si="92">I91*F91</f>
        <v>149386.9833</v>
      </c>
      <c r="K91" s="81">
        <f t="shared" ref="K91:K96" si="93">$F$5</f>
        <v>0.2239</v>
      </c>
      <c r="L91" s="82">
        <f t="shared" ref="L91:L96" si="94">(1+K91)*I91</f>
        <v>19.839419</v>
      </c>
      <c r="M91" s="81">
        <f>INCC!$C$26</f>
        <v>0.004749025652</v>
      </c>
      <c r="N91" s="80">
        <f t="shared" ref="N91:N96" si="95">(1+M91)*L91</f>
        <v>19.93363691</v>
      </c>
      <c r="O91" s="80">
        <f t="shared" ref="O91:O96" si="96">N91*F91</f>
        <v>183703.0157</v>
      </c>
      <c r="P91" s="5"/>
    </row>
    <row r="92">
      <c r="A92" s="74">
        <f>'ORÇA onerado'!A92</f>
        <v>46065</v>
      </c>
      <c r="B92" s="74" t="str">
        <f>'ORÇA onerado'!B92</f>
        <v>GOINFRA</v>
      </c>
      <c r="C92" s="76">
        <f>'ORÇA onerado'!C92</f>
        <v>261307</v>
      </c>
      <c r="D92" s="104" t="str">
        <f>'ORÇA onerado'!D92</f>
        <v>PINTURA PVA LATEX 2 DEMAOS SEM SELADOR (REPINTAR TODO O TETOS DO BLOCOS)</v>
      </c>
      <c r="E92" s="74" t="str">
        <f>'ORÇA onerado'!E92</f>
        <v>m2</v>
      </c>
      <c r="F92" s="79">
        <f>'ORÇA onerado'!F92</f>
        <v>3489.43</v>
      </c>
      <c r="G92" s="80">
        <v>4.07</v>
      </c>
      <c r="H92" s="80">
        <v>7.02</v>
      </c>
      <c r="I92" s="80">
        <f t="shared" si="91"/>
        <v>11.09</v>
      </c>
      <c r="J92" s="80">
        <f t="shared" si="92"/>
        <v>38697.7787</v>
      </c>
      <c r="K92" s="81">
        <f t="shared" si="93"/>
        <v>0.2239</v>
      </c>
      <c r="L92" s="82">
        <f t="shared" si="94"/>
        <v>13.573051</v>
      </c>
      <c r="M92" s="81">
        <f>INCC!$C$26</f>
        <v>0.004749025652</v>
      </c>
      <c r="N92" s="80">
        <f t="shared" si="95"/>
        <v>13.63750977</v>
      </c>
      <c r="O92" s="80">
        <f t="shared" si="96"/>
        <v>47587.13571</v>
      </c>
      <c r="P92" s="5"/>
    </row>
    <row r="93">
      <c r="A93" s="74">
        <f>'ORÇA onerado'!A93</f>
        <v>46093</v>
      </c>
      <c r="B93" s="74" t="str">
        <f>'ORÇA onerado'!B93</f>
        <v>GOINFRA</v>
      </c>
      <c r="C93" s="76">
        <f>'ORÇA onerado'!C93</f>
        <v>261000</v>
      </c>
      <c r="D93" s="104" t="str">
        <f>'ORÇA onerado'!D93</f>
        <v>PINTURA LATEX ACRILICA 2 DEMAOS C/SELADOR (REPINTAR TODAS AS PAREDES INTERNAS DO BLOCOS) </v>
      </c>
      <c r="E93" s="74" t="str">
        <f>'ORÇA onerado'!E93</f>
        <v>m2</v>
      </c>
      <c r="F93" s="79">
        <f>'ORÇA onerado'!F93</f>
        <v>4979.486</v>
      </c>
      <c r="G93" s="80">
        <v>5.93</v>
      </c>
      <c r="H93" s="80">
        <v>9.74</v>
      </c>
      <c r="I93" s="80">
        <f t="shared" si="91"/>
        <v>15.67</v>
      </c>
      <c r="J93" s="80">
        <f t="shared" si="92"/>
        <v>78028.54562</v>
      </c>
      <c r="K93" s="81">
        <f t="shared" si="93"/>
        <v>0.2239</v>
      </c>
      <c r="L93" s="82">
        <f t="shared" si="94"/>
        <v>19.178513</v>
      </c>
      <c r="M93" s="81">
        <f>INCC!$C$26</f>
        <v>0.004749025652</v>
      </c>
      <c r="N93" s="80">
        <f t="shared" si="95"/>
        <v>19.26959225</v>
      </c>
      <c r="O93" s="80">
        <f t="shared" si="96"/>
        <v>95952.66484</v>
      </c>
      <c r="P93" s="5"/>
    </row>
    <row r="94">
      <c r="A94" s="74">
        <f>'ORÇA onerado'!A94</f>
        <v>46124</v>
      </c>
      <c r="B94" s="74" t="str">
        <f>'ORÇA onerado'!B94</f>
        <v>GOINFRA</v>
      </c>
      <c r="C94" s="76">
        <f>'ORÇA onerado'!C94</f>
        <v>261300</v>
      </c>
      <c r="D94" s="104" t="str">
        <f>'ORÇA onerado'!D94</f>
        <v>EMASSAMENTO COM MASSA PVA DUAS DEMAOS ( TETO)</v>
      </c>
      <c r="E94" s="74" t="str">
        <f>'ORÇA onerado'!E94</f>
        <v>m2</v>
      </c>
      <c r="F94" s="79">
        <f>'ORÇA onerado'!F94</f>
        <v>1046.829</v>
      </c>
      <c r="G94" s="80">
        <v>4.86</v>
      </c>
      <c r="H94" s="80">
        <v>10.08</v>
      </c>
      <c r="I94" s="80">
        <f t="shared" si="91"/>
        <v>14.94</v>
      </c>
      <c r="J94" s="80">
        <f t="shared" si="92"/>
        <v>15639.62526</v>
      </c>
      <c r="K94" s="81">
        <f t="shared" si="93"/>
        <v>0.2239</v>
      </c>
      <c r="L94" s="82">
        <f t="shared" si="94"/>
        <v>18.285066</v>
      </c>
      <c r="M94" s="81">
        <f>INCC!$C$26</f>
        <v>0.004749025652</v>
      </c>
      <c r="N94" s="80">
        <f t="shared" si="95"/>
        <v>18.37190225</v>
      </c>
      <c r="O94" s="80">
        <f t="shared" si="96"/>
        <v>19232.24006</v>
      </c>
      <c r="P94" s="5"/>
    </row>
    <row r="95">
      <c r="A95" s="74">
        <f>'ORÇA onerado'!A95</f>
        <v>46154</v>
      </c>
      <c r="B95" s="74" t="str">
        <f>'ORÇA onerado'!B95</f>
        <v>GOINFRA</v>
      </c>
      <c r="C95" s="76">
        <f>'ORÇA onerado'!C95</f>
        <v>261305</v>
      </c>
      <c r="D95" s="104" t="str">
        <f>'ORÇA onerado'!D95</f>
        <v>EMASSAMENTO ACRÍLICO 1 DEMÃO EM PAREDE</v>
      </c>
      <c r="E95" s="74" t="str">
        <f>'ORÇA onerado'!E95</f>
        <v>m2</v>
      </c>
      <c r="F95" s="79">
        <f>'ORÇA onerado'!F95</f>
        <v>1493.8458</v>
      </c>
      <c r="G95" s="80">
        <f>'ORÇA onerado'!G96</f>
        <v>38.78</v>
      </c>
      <c r="H95" s="80">
        <f>'ORÇA onerado'!H96</f>
        <v>21.36</v>
      </c>
      <c r="I95" s="80">
        <f t="shared" si="91"/>
        <v>60.14</v>
      </c>
      <c r="J95" s="80">
        <f t="shared" si="92"/>
        <v>89839.88641</v>
      </c>
      <c r="K95" s="81">
        <f t="shared" si="93"/>
        <v>0.2239</v>
      </c>
      <c r="L95" s="82">
        <f t="shared" si="94"/>
        <v>73.605346</v>
      </c>
      <c r="M95" s="81">
        <f>INCC!$C$26</f>
        <v>0.004749025652</v>
      </c>
      <c r="N95" s="80">
        <f t="shared" si="95"/>
        <v>73.95489968</v>
      </c>
      <c r="O95" s="80">
        <f t="shared" si="96"/>
        <v>110477.2163</v>
      </c>
      <c r="P95" s="5"/>
    </row>
    <row r="96">
      <c r="A96" s="74">
        <f>'ORÇA onerado'!A96</f>
        <v>46185</v>
      </c>
      <c r="B96" s="74" t="str">
        <f>'ORÇA onerado'!B96</f>
        <v>ORSE</v>
      </c>
      <c r="C96" s="76">
        <v>13476.0</v>
      </c>
      <c r="D96" s="104" t="str">
        <f>'ORÇA onerado'!D96</f>
        <v>Pintura para exteriores, sobre paredes, com lixamento, aplicação de 01 demão de líquido selador acrílico e 01 demão de textura riscada em cores diversas, com uso de desempenadeira</v>
      </c>
      <c r="E96" s="74" t="str">
        <f>'ORÇA onerado'!E96</f>
        <v>m2</v>
      </c>
      <c r="F96" s="91">
        <v>89.68</v>
      </c>
      <c r="G96" s="80">
        <v>38.78</v>
      </c>
      <c r="H96" s="80">
        <f>9.74+10.84+0.78</f>
        <v>21.36</v>
      </c>
      <c r="I96" s="80">
        <f t="shared" si="91"/>
        <v>60.14</v>
      </c>
      <c r="J96" s="80">
        <f t="shared" si="92"/>
        <v>5393.3552</v>
      </c>
      <c r="K96" s="81">
        <f t="shared" si="93"/>
        <v>0.2239</v>
      </c>
      <c r="L96" s="82">
        <f t="shared" si="94"/>
        <v>73.605346</v>
      </c>
      <c r="M96" s="81">
        <f>INCC!$C$29</f>
        <v>0.002062607648</v>
      </c>
      <c r="N96" s="80">
        <f t="shared" si="95"/>
        <v>73.75716495</v>
      </c>
      <c r="O96" s="80">
        <f t="shared" si="96"/>
        <v>6614.542553</v>
      </c>
      <c r="P96" s="5"/>
    </row>
    <row r="97">
      <c r="A97" s="66" t="s">
        <v>178</v>
      </c>
      <c r="B97" s="85"/>
      <c r="C97" s="86"/>
      <c r="D97" s="71" t="s">
        <v>179</v>
      </c>
      <c r="E97" s="85"/>
      <c r="F97" s="87"/>
      <c r="G97" s="73">
        <f t="shared" ref="G97:J97" si="97">SUM(G98:G100)</f>
        <v>1027.976893</v>
      </c>
      <c r="H97" s="73">
        <f t="shared" si="97"/>
        <v>238.0012314</v>
      </c>
      <c r="I97" s="73">
        <f t="shared" si="97"/>
        <v>1265.978124</v>
      </c>
      <c r="J97" s="73">
        <f t="shared" si="97"/>
        <v>22617.5727</v>
      </c>
      <c r="K97" s="73"/>
      <c r="L97" s="73">
        <f>SUM(L98:L100)</f>
        <v>1549.430626</v>
      </c>
      <c r="M97" s="73"/>
      <c r="N97" s="73">
        <f t="shared" ref="N97:O97" si="98">SUM(N98:N100)</f>
        <v>1550.20979</v>
      </c>
      <c r="O97" s="73">
        <f t="shared" si="98"/>
        <v>27687.88054</v>
      </c>
      <c r="P97" s="88"/>
    </row>
    <row r="98">
      <c r="A98" s="74">
        <f>'ORÇA onerado'!A98</f>
        <v>46035</v>
      </c>
      <c r="B98" s="74" t="str">
        <f>'ORÇA onerado'!B98</f>
        <v>COMPOSIÇÃO</v>
      </c>
      <c r="C98" s="76">
        <f>'ORÇA onerado'!C98</f>
        <v>2</v>
      </c>
      <c r="D98" s="104" t="str">
        <f>'ORÇA onerado'!D98</f>
        <v>GUARDA-CORPO EM TUBO DE AÇO INOX ø=1 1/2", DUPLO, montantes e fechamento em tubo 2", h= 96cm, c/acabamento polido, p/fixação em piso</v>
      </c>
      <c r="E98" s="74" t="str">
        <f>'ORÇA onerado'!E98</f>
        <v>m</v>
      </c>
      <c r="F98" s="79">
        <f>'ORÇA onerado'!F98</f>
        <v>23</v>
      </c>
      <c r="G98" s="80">
        <f>'COMP. desonerado'!M16</f>
        <v>653.7456452</v>
      </c>
      <c r="H98" s="80">
        <f>'COMP. desonerado'!N16</f>
        <v>193.5722345</v>
      </c>
      <c r="I98" s="80">
        <f t="shared" ref="I98:I100" si="99">G98+H98</f>
        <v>847.3178797</v>
      </c>
      <c r="J98" s="80">
        <f t="shared" ref="J98:J100" si="100">I98*F98</f>
        <v>19488.31123</v>
      </c>
      <c r="K98" s="81">
        <f t="shared" ref="K98:K100" si="101">$F$5</f>
        <v>0.2239</v>
      </c>
      <c r="L98" s="82">
        <f t="shared" ref="L98:L100" si="102">(1+K98)*I98</f>
        <v>1037.032353</v>
      </c>
      <c r="M98" s="89"/>
      <c r="N98" s="80">
        <f t="shared" ref="N98:N100" si="103">(1+M98)*L98</f>
        <v>1037.032353</v>
      </c>
      <c r="O98" s="80">
        <f t="shared" ref="O98:O100" si="104">N98*F98</f>
        <v>23851.74412</v>
      </c>
      <c r="P98" s="5"/>
    </row>
    <row r="99">
      <c r="A99" s="74">
        <f>'ORÇA onerado'!A99</f>
        <v>46066</v>
      </c>
      <c r="B99" s="74" t="str">
        <f>'ORÇA onerado'!B99</f>
        <v>ORSE</v>
      </c>
      <c r="C99" s="76">
        <f>'ORÇA onerado'!C99</f>
        <v>8759</v>
      </c>
      <c r="D99" s="104" t="str">
        <f>'ORÇA onerado'!D99</f>
        <v>CORRIMÃO EM AÇO INOX ø=1 1/2", DUPLO, H=90CM</v>
      </c>
      <c r="E99" s="74" t="str">
        <f>'ORÇA onerado'!E99</f>
        <v>m</v>
      </c>
      <c r="F99" s="79">
        <f>'ORÇA onerado'!F99</f>
        <v>8</v>
      </c>
      <c r="G99" s="80">
        <f>'ORÇA onerado'!G99</f>
        <v>272.26</v>
      </c>
      <c r="H99" s="80">
        <f>'ORÇA onerado'!H99</f>
        <v>36.39</v>
      </c>
      <c r="I99" s="80">
        <f t="shared" si="99"/>
        <v>308.65</v>
      </c>
      <c r="J99" s="80">
        <f t="shared" si="100"/>
        <v>2469.2</v>
      </c>
      <c r="K99" s="81">
        <f t="shared" si="101"/>
        <v>0.2239</v>
      </c>
      <c r="L99" s="82">
        <f t="shared" si="102"/>
        <v>377.756735</v>
      </c>
      <c r="M99" s="81">
        <f>INCC!$C$29</f>
        <v>0.002062607648</v>
      </c>
      <c r="N99" s="80">
        <f t="shared" si="103"/>
        <v>378.5358989</v>
      </c>
      <c r="O99" s="80">
        <f t="shared" si="104"/>
        <v>3028.287191</v>
      </c>
      <c r="P99" s="5"/>
    </row>
    <row r="100">
      <c r="A100" s="74">
        <f>'ORÇA onerado'!A100</f>
        <v>46094</v>
      </c>
      <c r="B100" s="74" t="str">
        <f>'ORÇA onerado'!B100</f>
        <v>COMPOSIÇÃO</v>
      </c>
      <c r="C100" s="76">
        <f>'ORÇA onerado'!C100</f>
        <v>9</v>
      </c>
      <c r="D100" s="104" t="str">
        <f>'ORÇA onerado'!D100</f>
        <v>Bate rodas - Segregador para Sinalização Viária</v>
      </c>
      <c r="E100" s="74" t="str">
        <f>'ORÇA onerado'!E100</f>
        <v>un</v>
      </c>
      <c r="F100" s="79">
        <f>'ORÇA onerado'!F100</f>
        <v>6</v>
      </c>
      <c r="G100" s="80">
        <f>'COMP. desonerado'!M60</f>
        <v>101.9712477</v>
      </c>
      <c r="H100" s="80">
        <f>'COMP. desonerado'!N60</f>
        <v>8.038996954</v>
      </c>
      <c r="I100" s="80">
        <f t="shared" si="99"/>
        <v>110.0102447</v>
      </c>
      <c r="J100" s="80">
        <f t="shared" si="100"/>
        <v>660.061468</v>
      </c>
      <c r="K100" s="81">
        <f t="shared" si="101"/>
        <v>0.2239</v>
      </c>
      <c r="L100" s="82">
        <f t="shared" si="102"/>
        <v>134.6415384</v>
      </c>
      <c r="M100" s="89"/>
      <c r="N100" s="80">
        <f t="shared" si="103"/>
        <v>134.6415384</v>
      </c>
      <c r="O100" s="80">
        <f t="shared" si="104"/>
        <v>807.8492307</v>
      </c>
      <c r="P100" s="5"/>
    </row>
    <row r="101">
      <c r="A101" s="66" t="s">
        <v>183</v>
      </c>
      <c r="B101" s="85"/>
      <c r="C101" s="86"/>
      <c r="D101" s="71" t="s">
        <v>184</v>
      </c>
      <c r="E101" s="85"/>
      <c r="F101" s="87"/>
      <c r="G101" s="73">
        <f t="shared" ref="G101:J101" si="105">SUM(G102:G105)</f>
        <v>0</v>
      </c>
      <c r="H101" s="73">
        <f t="shared" si="105"/>
        <v>40570.06</v>
      </c>
      <c r="I101" s="73">
        <f t="shared" si="105"/>
        <v>40570.06</v>
      </c>
      <c r="J101" s="73">
        <f t="shared" si="105"/>
        <v>121710.18</v>
      </c>
      <c r="K101" s="73"/>
      <c r="L101" s="73">
        <f>SUM(L102:L105)</f>
        <v>49653.69643</v>
      </c>
      <c r="M101" s="73"/>
      <c r="N101" s="73">
        <f t="shared" ref="N101:O101" si="106">SUM(N102:N105)</f>
        <v>49889.50311</v>
      </c>
      <c r="O101" s="73">
        <f t="shared" si="106"/>
        <v>149668.5093</v>
      </c>
      <c r="P101" s="88"/>
    </row>
    <row r="102">
      <c r="A102" s="74">
        <f>'ORÇA onerado'!A102</f>
        <v>46036</v>
      </c>
      <c r="B102" s="74" t="str">
        <f>'ORÇA onerado'!B102</f>
        <v>GOINFRA</v>
      </c>
      <c r="C102" s="76">
        <f>'ORÇA onerado'!C102</f>
        <v>250101</v>
      </c>
      <c r="D102" s="104" t="str">
        <f>'ORÇA onerado'!D102</f>
        <v>ENGENHEIRO - (OBRAS CIVIS)</v>
      </c>
      <c r="E102" s="74" t="str">
        <f>'ORÇA onerado'!E102</f>
        <v>mês</v>
      </c>
      <c r="F102" s="79">
        <f>'ORÇA onerado'!F102</f>
        <v>3</v>
      </c>
      <c r="G102" s="80">
        <v>0.0</v>
      </c>
      <c r="H102" s="80">
        <v>22197.4</v>
      </c>
      <c r="I102" s="80">
        <f t="shared" ref="I102:I105" si="107">G102+H102</f>
        <v>22197.4</v>
      </c>
      <c r="J102" s="80">
        <f t="shared" ref="J102:J105" si="108">I102*F102</f>
        <v>66592.2</v>
      </c>
      <c r="K102" s="81">
        <f t="shared" ref="K102:K105" si="109">$F$5</f>
        <v>0.2239</v>
      </c>
      <c r="L102" s="82">
        <f t="shared" ref="L102:L105" si="110">(1+K102)*I102</f>
        <v>27167.39786</v>
      </c>
      <c r="M102" s="81">
        <f>INCC!$C$26</f>
        <v>0.004749025652</v>
      </c>
      <c r="N102" s="80">
        <f t="shared" ref="N102:N105" si="111">(1+M102)*L102</f>
        <v>27296.41653</v>
      </c>
      <c r="O102" s="80">
        <f t="shared" ref="O102:O105" si="112">N102*F102</f>
        <v>81889.24959</v>
      </c>
      <c r="P102" s="5"/>
    </row>
    <row r="103">
      <c r="A103" s="74">
        <f>'ORÇA onerado'!A103</f>
        <v>46067</v>
      </c>
      <c r="B103" s="74" t="str">
        <f>'ORÇA onerado'!B103</f>
        <v>GOINFRA</v>
      </c>
      <c r="C103" s="76">
        <f>'ORÇA onerado'!C103</f>
        <v>250103</v>
      </c>
      <c r="D103" s="104" t="str">
        <f>'ORÇA onerado'!D103</f>
        <v>ENCARREGADO - (OBRAS CIVIS)</v>
      </c>
      <c r="E103" s="74" t="str">
        <f>'ORÇA onerado'!E103</f>
        <v>mês</v>
      </c>
      <c r="F103" s="79">
        <f>'ORÇA onerado'!F103</f>
        <v>3</v>
      </c>
      <c r="G103" s="80">
        <v>0.0</v>
      </c>
      <c r="H103" s="80">
        <v>6432.98</v>
      </c>
      <c r="I103" s="80">
        <f t="shared" si="107"/>
        <v>6432.98</v>
      </c>
      <c r="J103" s="80">
        <f t="shared" si="108"/>
        <v>19298.94</v>
      </c>
      <c r="K103" s="81">
        <f t="shared" si="109"/>
        <v>0.2239</v>
      </c>
      <c r="L103" s="82">
        <f t="shared" si="110"/>
        <v>7873.324222</v>
      </c>
      <c r="M103" s="81">
        <f>INCC!$C$26</f>
        <v>0.004749025652</v>
      </c>
      <c r="N103" s="80">
        <f t="shared" si="111"/>
        <v>7910.714841</v>
      </c>
      <c r="O103" s="80">
        <f t="shared" si="112"/>
        <v>23732.14452</v>
      </c>
      <c r="P103" s="5"/>
    </row>
    <row r="104">
      <c r="A104" s="74">
        <f>'ORÇA onerado'!A104</f>
        <v>46095</v>
      </c>
      <c r="B104" s="74" t="str">
        <f>'ORÇA onerado'!B104</f>
        <v>GOINFRA</v>
      </c>
      <c r="C104" s="76">
        <f>'ORÇA onerado'!C104</f>
        <v>250112</v>
      </c>
      <c r="D104" s="104" t="str">
        <f>'ORÇA onerado'!D104</f>
        <v>ADMINISTRATIVO DE OBRAS - (OBRAS CIVIS )</v>
      </c>
      <c r="E104" s="74" t="str">
        <f>'ORÇA onerado'!E104</f>
        <v>mês</v>
      </c>
      <c r="F104" s="79">
        <f>'ORÇA onerado'!F104</f>
        <v>3</v>
      </c>
      <c r="G104" s="80">
        <v>0.0</v>
      </c>
      <c r="H104" s="80">
        <v>5701.86</v>
      </c>
      <c r="I104" s="80">
        <f t="shared" si="107"/>
        <v>5701.86</v>
      </c>
      <c r="J104" s="80">
        <f t="shared" si="108"/>
        <v>17105.58</v>
      </c>
      <c r="K104" s="81">
        <f t="shared" si="109"/>
        <v>0.2239</v>
      </c>
      <c r="L104" s="82">
        <f t="shared" si="110"/>
        <v>6978.506454</v>
      </c>
      <c r="M104" s="81">
        <f>INCC!$C$26</f>
        <v>0.004749025652</v>
      </c>
      <c r="N104" s="80">
        <f t="shared" si="111"/>
        <v>7011.64756</v>
      </c>
      <c r="O104" s="80">
        <f t="shared" si="112"/>
        <v>21034.94268</v>
      </c>
      <c r="P104" s="5"/>
    </row>
    <row r="105">
      <c r="A105" s="74">
        <f>'ORÇA onerado'!A105</f>
        <v>46126</v>
      </c>
      <c r="B105" s="74" t="str">
        <f>'ORÇA onerado'!B105</f>
        <v>GOINFRA</v>
      </c>
      <c r="C105" s="76">
        <f>'ORÇA onerado'!C105</f>
        <v>250113</v>
      </c>
      <c r="D105" s="104" t="str">
        <f>'ORÇA onerado'!D105</f>
        <v>TÉCNICO EM SEGURANÇA DO TRABALHO (O. CIVIS)</v>
      </c>
      <c r="E105" s="74" t="str">
        <f>'ORÇA onerado'!E105</f>
        <v>mês</v>
      </c>
      <c r="F105" s="79">
        <f>'ORÇA onerado'!F105</f>
        <v>3</v>
      </c>
      <c r="G105" s="80">
        <v>0.0</v>
      </c>
      <c r="H105" s="80">
        <v>6237.82</v>
      </c>
      <c r="I105" s="80">
        <f t="shared" si="107"/>
        <v>6237.82</v>
      </c>
      <c r="J105" s="80">
        <f t="shared" si="108"/>
        <v>18713.46</v>
      </c>
      <c r="K105" s="81">
        <f t="shared" si="109"/>
        <v>0.2239</v>
      </c>
      <c r="L105" s="82">
        <f t="shared" si="110"/>
        <v>7634.467898</v>
      </c>
      <c r="M105" s="81">
        <f>INCC!$C$26</f>
        <v>0.004749025652</v>
      </c>
      <c r="N105" s="80">
        <f t="shared" si="111"/>
        <v>7670.724182</v>
      </c>
      <c r="O105" s="80">
        <f t="shared" si="112"/>
        <v>23012.17255</v>
      </c>
      <c r="P105" s="5"/>
    </row>
    <row r="106">
      <c r="A106" s="94"/>
      <c r="B106" s="95"/>
      <c r="C106" s="96"/>
      <c r="D106" s="95"/>
      <c r="E106" s="95"/>
      <c r="F106" s="97"/>
      <c r="G106" s="98"/>
      <c r="H106" s="98"/>
      <c r="I106" s="98"/>
      <c r="J106" s="99"/>
      <c r="K106" s="99"/>
      <c r="L106" s="100"/>
      <c r="M106" s="97"/>
      <c r="N106" s="98"/>
      <c r="O106" s="98"/>
      <c r="P106" s="84"/>
    </row>
    <row r="107">
      <c r="A107" s="101" t="s">
        <v>189</v>
      </c>
      <c r="B107" s="9"/>
      <c r="C107" s="9"/>
      <c r="D107" s="9"/>
      <c r="E107" s="9"/>
      <c r="F107" s="9"/>
      <c r="G107" s="9"/>
      <c r="H107" s="65"/>
      <c r="I107" s="102"/>
      <c r="J107" s="102">
        <f>J8+J13+J17+J20+J41+J51+J56+J59+J66+J74+J77+J90+J97+J101</f>
        <v>1704297.524</v>
      </c>
      <c r="K107" s="102"/>
      <c r="L107" s="102"/>
      <c r="M107" s="102"/>
      <c r="N107" s="102"/>
      <c r="O107" s="102">
        <f>O8+O13+O17+O20+O41+O51+O56+O59+O66+O74+O77+O90+O97+O101</f>
        <v>2086846.692</v>
      </c>
      <c r="P107" s="103"/>
    </row>
    <row r="108">
      <c r="A108" s="94"/>
      <c r="B108" s="95"/>
      <c r="C108" s="96"/>
      <c r="D108" s="95"/>
      <c r="E108" s="95"/>
      <c r="F108" s="97"/>
      <c r="G108" s="98"/>
      <c r="H108" s="98"/>
      <c r="I108" s="98"/>
      <c r="J108" s="99"/>
      <c r="K108" s="99"/>
      <c r="L108" s="100"/>
      <c r="M108" s="97"/>
      <c r="N108" s="98"/>
      <c r="O108" s="98"/>
      <c r="P108" s="84"/>
    </row>
  </sheetData>
  <autoFilter ref="$A$7:$O$107"/>
  <mergeCells count="3">
    <mergeCell ref="A6:O6"/>
    <mergeCell ref="A107:H107"/>
    <mergeCell ref="F3:H3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>
      <pane ySplit="8.0" topLeftCell="A9" activePane="bottomLeft" state="frozen"/>
      <selection activeCell="B10" sqref="B10" pane="bottomLeft"/>
    </sheetView>
  </sheetViews>
  <sheetFormatPr customHeight="1" defaultColWidth="12.63" defaultRowHeight="15.75"/>
  <cols>
    <col customWidth="1" min="1" max="1" width="23.5"/>
    <col customWidth="1" min="2" max="2" width="133.38"/>
    <col customWidth="1" min="3" max="3" width="8.38"/>
    <col customWidth="1" min="4" max="4" width="7.63"/>
    <col customWidth="1" min="5" max="5" width="40.63"/>
    <col customWidth="1" min="6" max="6" width="23.0"/>
    <col customWidth="1" min="7" max="7" width="107.63"/>
    <col customWidth="1" min="8" max="8" width="52.25"/>
    <col customWidth="1" min="9" max="9" width="78.13"/>
    <col customWidth="1" min="10" max="14" width="11.75"/>
    <col customWidth="1" min="15" max="17" width="10.88"/>
    <col customWidth="1" min="18" max="19" width="11.75"/>
    <col customWidth="1" min="20" max="20" width="149.38"/>
    <col customWidth="1" min="21" max="21" width="9.5"/>
  </cols>
  <sheetData>
    <row r="1">
      <c r="A1" s="108" t="s">
        <v>0</v>
      </c>
      <c r="B1" s="109" t="s">
        <v>1</v>
      </c>
      <c r="C1" s="110"/>
      <c r="D1" s="110"/>
      <c r="E1" s="108" t="s">
        <v>2</v>
      </c>
      <c r="F1" s="111">
        <f>TODAY()</f>
        <v>46056</v>
      </c>
      <c r="G1" s="108"/>
      <c r="H1" s="112"/>
      <c r="I1" s="113"/>
      <c r="J1" s="113"/>
      <c r="K1" s="113"/>
      <c r="L1" s="113"/>
      <c r="M1" s="113"/>
      <c r="N1" s="114"/>
      <c r="O1" s="114"/>
      <c r="P1" s="110"/>
      <c r="Q1" s="113"/>
      <c r="R1" s="113"/>
      <c r="S1" s="113"/>
      <c r="T1" s="113"/>
      <c r="U1" s="113"/>
    </row>
    <row r="2">
      <c r="A2" s="108" t="s">
        <v>3</v>
      </c>
      <c r="B2" s="109" t="s">
        <v>4</v>
      </c>
      <c r="C2" s="110"/>
      <c r="D2" s="110"/>
      <c r="E2" s="108" t="s">
        <v>5</v>
      </c>
      <c r="F2" s="112" t="s">
        <v>6</v>
      </c>
      <c r="G2" s="115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</row>
    <row r="3">
      <c r="A3" s="108" t="s">
        <v>7</v>
      </c>
      <c r="B3" s="116" t="s">
        <v>8</v>
      </c>
      <c r="C3" s="110"/>
      <c r="D3" s="110"/>
      <c r="E3" s="108" t="s">
        <v>9</v>
      </c>
      <c r="F3" s="112"/>
      <c r="G3" s="115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</row>
    <row r="4">
      <c r="A4" s="108" t="s">
        <v>11</v>
      </c>
      <c r="B4" s="109" t="s">
        <v>12</v>
      </c>
      <c r="C4" s="110"/>
      <c r="D4" s="110"/>
      <c r="E4" s="117"/>
      <c r="F4" s="118"/>
      <c r="G4" s="118"/>
      <c r="H4" s="119"/>
      <c r="I4" s="118"/>
      <c r="J4" s="118"/>
      <c r="K4" s="120"/>
      <c r="L4" s="120"/>
      <c r="M4" s="120"/>
      <c r="N4" s="118"/>
      <c r="O4" s="118"/>
      <c r="P4" s="117"/>
      <c r="Q4" s="121"/>
      <c r="R4" s="120"/>
      <c r="S4" s="122"/>
      <c r="T4" s="122"/>
      <c r="U4" s="122"/>
    </row>
    <row r="5">
      <c r="A5" s="108" t="s">
        <v>13</v>
      </c>
      <c r="B5" s="109" t="s">
        <v>14</v>
      </c>
      <c r="C5" s="110"/>
      <c r="D5" s="110"/>
      <c r="E5" s="118"/>
      <c r="F5" s="118"/>
      <c r="G5" s="118"/>
      <c r="H5" s="119"/>
      <c r="I5" s="118"/>
      <c r="J5" s="118"/>
      <c r="K5" s="120"/>
      <c r="L5" s="120"/>
      <c r="M5" s="120"/>
      <c r="N5" s="118"/>
      <c r="O5" s="118"/>
      <c r="P5" s="118"/>
      <c r="Q5" s="120"/>
      <c r="R5" s="120"/>
      <c r="S5" s="122"/>
      <c r="T5" s="122"/>
      <c r="U5" s="122"/>
    </row>
    <row r="6">
      <c r="A6" s="123" t="s">
        <v>192</v>
      </c>
      <c r="B6" s="9"/>
      <c r="C6" s="9"/>
      <c r="D6" s="65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</row>
    <row r="7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</row>
    <row r="8">
      <c r="A8" s="126" t="s">
        <v>16</v>
      </c>
      <c r="B8" s="127" t="s">
        <v>193</v>
      </c>
      <c r="C8" s="126" t="s">
        <v>194</v>
      </c>
      <c r="D8" s="126" t="s">
        <v>195</v>
      </c>
      <c r="E8" s="128" t="s">
        <v>196</v>
      </c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</row>
    <row r="9">
      <c r="A9" s="130" t="str">
        <f>'ORÇA onerado'!A8</f>
        <v>01.</v>
      </c>
      <c r="B9" s="131" t="s">
        <v>46</v>
      </c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</row>
    <row r="10">
      <c r="A10" s="133">
        <f>'ORÇA onerado'!A9</f>
        <v>45658</v>
      </c>
      <c r="B10" s="134" t="str">
        <f>'ORÇA onerado'!D9</f>
        <v>PLACA DE OBRA PLOTADA EM CHAPA METÁLICA 26 , AFIXADA EM CAVALETES DE MADEIRA DE LEI (VIGOTAS 6X12CM) - PADRÃO GOINFRA</v>
      </c>
      <c r="C10" s="135" t="str">
        <f>'ORÇA onerado'!E9</f>
        <v>m2</v>
      </c>
      <c r="D10" s="136">
        <v>4.5</v>
      </c>
      <c r="E10" s="137" t="s">
        <v>197</v>
      </c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</row>
    <row r="11">
      <c r="A11" s="133">
        <f>'ORÇA onerado'!A10</f>
        <v>45689</v>
      </c>
      <c r="B11" s="134" t="str">
        <f>'ORÇA onerado'!D10</f>
        <v>LOCAÇÃO DE CONTAINER SEM REVESTIMENTO INTERNO PARA ALMOXARIFADO / DEPÓSITO 6,00 X 2,40 M, INCLUSIVE MOBILIÁRIO (EXCLUSO MOBILIZAÇÃO / DESMOBILIZAÇÃO)LOCAÇÃO DE CONTAINER SEM REVESTIMENTO INTERNO PARA ALMOXARIFADO / DEPÓSITO 6,00 X 2,40 M, INCLUSIVE MOBILIÁRIO (EXCLUSO MOBILIZAÇÃO / DESMOBILIZAÇÃO)</v>
      </c>
      <c r="C11" s="135" t="str">
        <f>'ORÇA onerado'!E10</f>
        <v>mês</v>
      </c>
      <c r="D11" s="136">
        <v>3.0</v>
      </c>
      <c r="E11" s="137" t="s">
        <v>198</v>
      </c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38"/>
      <c r="Q11" s="138"/>
      <c r="R11" s="138"/>
      <c r="S11" s="138"/>
      <c r="T11" s="138"/>
      <c r="U11" s="138"/>
    </row>
    <row r="12">
      <c r="A12" s="133">
        <f>'ORÇA onerado'!A11</f>
        <v>45717</v>
      </c>
      <c r="B12" s="134" t="str">
        <f>'ORÇA onerado'!D11</f>
        <v>LOCAÇÃO DE CONTAINER SANITÁRIO MISTO 6,00 X 2,40 M, COM 3 VASOS, 6 CHUVEIROS, LAVATÓRIO E MICTÓRIO (EXCLUSO MOBILIZAÇÃO / DESMOBILIZAÇÃO)</v>
      </c>
      <c r="C12" s="135" t="str">
        <f>'ORÇA onerado'!E11</f>
        <v>mês</v>
      </c>
      <c r="D12" s="136">
        <v>3.0</v>
      </c>
      <c r="E12" s="137" t="s">
        <v>198</v>
      </c>
      <c r="F12" s="138"/>
      <c r="G12" s="138"/>
      <c r="H12" s="138"/>
      <c r="I12" s="138"/>
      <c r="J12" s="138"/>
      <c r="K12" s="138"/>
      <c r="L12" s="138"/>
      <c r="M12" s="138"/>
      <c r="N12" s="138"/>
      <c r="O12" s="138"/>
      <c r="P12" s="138"/>
      <c r="Q12" s="138"/>
      <c r="R12" s="138"/>
      <c r="S12" s="138"/>
      <c r="T12" s="138"/>
      <c r="U12" s="138"/>
    </row>
    <row r="13">
      <c r="A13" s="126" t="s">
        <v>16</v>
      </c>
      <c r="B13" s="127" t="s">
        <v>193</v>
      </c>
      <c r="C13" s="126" t="s">
        <v>194</v>
      </c>
      <c r="D13" s="126" t="s">
        <v>195</v>
      </c>
      <c r="E13" s="126" t="s">
        <v>199</v>
      </c>
      <c r="F13" s="126" t="s">
        <v>200</v>
      </c>
      <c r="G13" s="126" t="s">
        <v>201</v>
      </c>
      <c r="H13" s="126" t="s">
        <v>202</v>
      </c>
      <c r="I13" s="126" t="s">
        <v>203</v>
      </c>
      <c r="J13" s="126" t="s">
        <v>204</v>
      </c>
      <c r="K13" s="126" t="s">
        <v>205</v>
      </c>
      <c r="L13" s="126" t="s">
        <v>206</v>
      </c>
      <c r="M13" s="126" t="s">
        <v>207</v>
      </c>
      <c r="N13" s="126" t="s">
        <v>208</v>
      </c>
      <c r="O13" s="126" t="s">
        <v>209</v>
      </c>
      <c r="P13" s="126" t="s">
        <v>210</v>
      </c>
      <c r="Q13" s="126" t="s">
        <v>211</v>
      </c>
      <c r="R13" s="126" t="s">
        <v>212</v>
      </c>
      <c r="S13" s="126" t="s">
        <v>213</v>
      </c>
      <c r="T13" s="139" t="s">
        <v>214</v>
      </c>
      <c r="U13" s="140"/>
    </row>
    <row r="14">
      <c r="A14" s="141">
        <f>'ORÇA onerado'!A12</f>
        <v>45748</v>
      </c>
      <c r="B14" s="142" t="str">
        <f>'ORÇA onerado'!D12</f>
        <v>ANDAIME METALICO FACHADEIRO (ALUGUEL/MES)</v>
      </c>
      <c r="C14" s="143" t="s">
        <v>54</v>
      </c>
      <c r="D14" s="144">
        <f>(E14+F14+G14+H14+I14+J14+K14+L14+M14+N14+O14+P14+Q14+R14+S14)*3</f>
        <v>2785.59</v>
      </c>
      <c r="E14" s="145">
        <v>43.04</v>
      </c>
      <c r="F14" s="145">
        <v>25.17</v>
      </c>
      <c r="G14" s="145">
        <v>122.48</v>
      </c>
      <c r="H14" s="145">
        <v>74.03</v>
      </c>
      <c r="I14" s="145">
        <v>67.91</v>
      </c>
      <c r="J14" s="145">
        <v>16.97</v>
      </c>
      <c r="K14" s="146">
        <v>26.76</v>
      </c>
      <c r="L14" s="146">
        <v>46.69</v>
      </c>
      <c r="M14" s="146">
        <v>132.55</v>
      </c>
      <c r="N14" s="146">
        <v>18.59</v>
      </c>
      <c r="O14" s="146">
        <v>159.7</v>
      </c>
      <c r="P14" s="146">
        <v>37.52</v>
      </c>
      <c r="Q14" s="146">
        <v>146.67</v>
      </c>
      <c r="R14" s="146">
        <v>4.94</v>
      </c>
      <c r="S14" s="146">
        <v>5.51</v>
      </c>
      <c r="T14" s="140"/>
      <c r="U14" s="140"/>
    </row>
    <row r="15">
      <c r="A15" s="141"/>
      <c r="B15" s="147"/>
      <c r="C15" s="143"/>
      <c r="D15" s="136"/>
      <c r="E15" s="137"/>
      <c r="F15" s="145"/>
      <c r="G15" s="145"/>
      <c r="H15" s="145"/>
      <c r="I15" s="145"/>
      <c r="J15" s="145"/>
      <c r="K15" s="146"/>
      <c r="L15" s="146"/>
      <c r="M15" s="146"/>
      <c r="N15" s="146"/>
      <c r="O15" s="146"/>
      <c r="P15" s="146"/>
      <c r="Q15" s="146"/>
      <c r="R15" s="146"/>
      <c r="S15" s="146"/>
      <c r="T15" s="140"/>
      <c r="U15" s="140"/>
    </row>
    <row r="16">
      <c r="A16" s="148"/>
      <c r="B16" s="149"/>
      <c r="C16" s="150"/>
      <c r="D16" s="151"/>
      <c r="E16" s="152"/>
      <c r="F16" s="152"/>
      <c r="G16" s="152"/>
      <c r="H16" s="152"/>
      <c r="I16" s="152"/>
      <c r="J16" s="152"/>
      <c r="K16" s="153"/>
      <c r="L16" s="153"/>
      <c r="M16" s="153"/>
      <c r="N16" s="153"/>
      <c r="O16" s="153"/>
      <c r="P16" s="153"/>
      <c r="Q16" s="153"/>
      <c r="R16" s="153"/>
      <c r="S16" s="153"/>
      <c r="T16" s="154"/>
      <c r="U16" s="154"/>
    </row>
    <row r="17">
      <c r="A17" s="130">
        <v>2.0</v>
      </c>
      <c r="B17" s="131" t="s">
        <v>56</v>
      </c>
      <c r="C17" s="132"/>
      <c r="D17" s="132"/>
      <c r="E17" s="132"/>
      <c r="F17" s="132"/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</row>
    <row r="18">
      <c r="A18" s="126" t="s">
        <v>16</v>
      </c>
      <c r="B18" s="127" t="s">
        <v>193</v>
      </c>
      <c r="C18" s="126" t="s">
        <v>194</v>
      </c>
      <c r="D18" s="126" t="s">
        <v>195</v>
      </c>
      <c r="E18" s="128" t="s">
        <v>215</v>
      </c>
      <c r="F18" s="129"/>
      <c r="G18" s="129"/>
      <c r="H18" s="128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9"/>
    </row>
    <row r="19">
      <c r="A19" s="133">
        <f>'ORÇA onerado'!A14</f>
        <v>45659</v>
      </c>
      <c r="B19" s="134" t="str">
        <f>'ORÇA onerado'!D14</f>
        <v>TRANSPORTE DE ENTULHO EM CAÇAMBA ESTACIONÁRIA  INCLUSO A CARGA MANUAL</v>
      </c>
      <c r="C19" s="135" t="str">
        <f>'ORÇA onerado'!E14</f>
        <v>m3</v>
      </c>
      <c r="D19" s="136">
        <v>87.74</v>
      </c>
      <c r="E19" s="155">
        <v>0.0</v>
      </c>
      <c r="F19" s="156" t="s">
        <v>216</v>
      </c>
      <c r="G19" s="157"/>
      <c r="H19" s="155"/>
      <c r="I19" s="155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</row>
    <row r="20">
      <c r="A20" s="133">
        <f>'ORÇA onerado'!A15</f>
        <v>45690</v>
      </c>
      <c r="B20" s="134" t="str">
        <f>'ORÇA onerado'!D15</f>
        <v>MOBILIZAÇÃO DO CANTEIRO DE OBRAS - INCLUSIVE CARGA E DESCARGA E A HORA IMPRODUTIVA DO CAMINHÃO - ( EXCLUSO O TRANSPORTE )</v>
      </c>
      <c r="C20" s="135" t="str">
        <f>'ORÇA onerado'!E15</f>
        <v>un</v>
      </c>
      <c r="D20" s="136">
        <v>1.0</v>
      </c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</row>
    <row r="21">
      <c r="A21" s="133">
        <f>'ORÇA onerado'!A16</f>
        <v>45718</v>
      </c>
      <c r="B21" s="134" t="str">
        <f>'ORÇA onerado'!D16</f>
        <v>DESMOBILIZAÇÃO DO CANTEIRO DE OBRAS - INCLUSIVE CARGA E DESCARGA E A HORA IMPRODUTIVA DO CAMINHÃO - ( EXCLUSO O TRANSPORTE )</v>
      </c>
      <c r="C21" s="135" t="str">
        <f>'ORÇA onerado'!E16</f>
        <v>un</v>
      </c>
      <c r="D21" s="136">
        <v>1.0</v>
      </c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</row>
    <row r="22">
      <c r="A22" s="159"/>
      <c r="B22" s="160"/>
      <c r="C22" s="159"/>
      <c r="D22" s="136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</row>
    <row r="23">
      <c r="A23" s="161"/>
      <c r="B23" s="162"/>
      <c r="C23" s="163"/>
      <c r="D23" s="164"/>
      <c r="E23" s="165"/>
      <c r="F23" s="165"/>
      <c r="G23" s="165"/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5"/>
      <c r="S23" s="165"/>
      <c r="T23" s="165"/>
      <c r="U23" s="165"/>
    </row>
    <row r="24">
      <c r="A24" s="130">
        <v>3.0</v>
      </c>
      <c r="B24" s="166" t="str">
        <f>'ORÇA onerado'!D17</f>
        <v>PAISAGISMO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67"/>
      <c r="R24" s="167"/>
      <c r="S24" s="167"/>
      <c r="T24" s="167"/>
      <c r="U24" s="167"/>
    </row>
    <row r="25">
      <c r="A25" s="133">
        <f>'ORÇA onerado'!A18</f>
        <v>46025</v>
      </c>
      <c r="B25" s="134" t="str">
        <f>'ORÇA onerado'!D18</f>
        <v>PREPARAÇÃO C/ ADUBAÇÃO DO TERRENO EM FORMA DE CANTEIRO E PLANTIO DE FORRAÇÃO AMBOS C/PROFUNDIDADE DE 30 CM - EXCLUSO O CUSTO DE AQUISIÇÃO DA MUDA</v>
      </c>
      <c r="C25" s="135" t="str">
        <f>'ORÇA onerado'!E18</f>
        <v>m2</v>
      </c>
      <c r="D25" s="136">
        <v>3.4579</v>
      </c>
      <c r="E25" s="159" t="s">
        <v>217</v>
      </c>
      <c r="F25" s="159"/>
      <c r="G25" s="136"/>
      <c r="H25" s="168"/>
      <c r="I25" s="168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8"/>
    </row>
    <row r="26">
      <c r="A26" s="133">
        <f>'ORÇA onerado'!A19</f>
        <v>46056</v>
      </c>
      <c r="B26" s="134" t="str">
        <f>'ORÇA onerado'!D19</f>
        <v>Fornecimento e plantio de arbustos ornamentais</v>
      </c>
      <c r="C26" s="135" t="str">
        <f>'ORÇA onerado'!E19</f>
        <v>un.</v>
      </c>
      <c r="D26" s="136">
        <v>24.0</v>
      </c>
      <c r="E26" s="159" t="s">
        <v>218</v>
      </c>
      <c r="F26" s="159"/>
      <c r="G26" s="136"/>
      <c r="H26" s="168"/>
      <c r="I26" s="168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8"/>
    </row>
    <row r="27">
      <c r="A27" s="133"/>
      <c r="B27" s="160"/>
      <c r="C27" s="159"/>
      <c r="D27" s="136"/>
      <c r="E27" s="159"/>
      <c r="F27" s="159"/>
      <c r="G27" s="136"/>
      <c r="H27" s="168"/>
      <c r="I27" s="168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8"/>
    </row>
    <row r="28">
      <c r="A28" s="161"/>
      <c r="B28" s="162"/>
      <c r="C28" s="163"/>
      <c r="D28" s="164"/>
      <c r="E28" s="163"/>
      <c r="F28" s="163"/>
      <c r="G28" s="164"/>
      <c r="H28" s="169"/>
      <c r="I28" s="169"/>
      <c r="J28" s="164"/>
      <c r="K28" s="164"/>
      <c r="L28" s="164"/>
      <c r="M28" s="164"/>
      <c r="N28" s="164"/>
      <c r="O28" s="164"/>
      <c r="P28" s="164"/>
      <c r="Q28" s="164"/>
      <c r="R28" s="164"/>
      <c r="S28" s="164"/>
      <c r="T28" s="164"/>
      <c r="U28" s="165"/>
    </row>
    <row r="29">
      <c r="A29" s="130">
        <v>4.0</v>
      </c>
      <c r="B29" s="71" t="s">
        <v>69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67"/>
      <c r="R29" s="167"/>
      <c r="S29" s="167"/>
      <c r="T29" s="167"/>
      <c r="U29" s="167"/>
    </row>
    <row r="30">
      <c r="A30" s="133">
        <f>'ORÇA onerado'!A21</f>
        <v>46026</v>
      </c>
      <c r="B30" s="134" t="str">
        <f>'ORÇA onerado'!D21</f>
        <v>ELETRODUTO METALICO FLEXIVEL COM REVESTIMENTO EM PVC PRETO DIAMETRO 3/4"</v>
      </c>
      <c r="C30" s="135" t="str">
        <f>'ORÇA onerado'!E21</f>
        <v>m</v>
      </c>
      <c r="D30" s="170">
        <f>'ORÇA onerado'!F21</f>
        <v>3</v>
      </c>
      <c r="E30" s="159" t="s">
        <v>219</v>
      </c>
      <c r="F30" s="159"/>
      <c r="G30" s="136"/>
      <c r="H30" s="168"/>
      <c r="I30" s="168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8"/>
    </row>
    <row r="31">
      <c r="A31" s="133">
        <f>'ORÇA onerado'!A22</f>
        <v>46057</v>
      </c>
      <c r="B31" s="134" t="str">
        <f>'ORÇA onerado'!D22</f>
        <v>ELETRODUTO PVC FLEXÍVEL - MANGUEIRA CORRUGADA LEVE - DIAM. 20MM</v>
      </c>
      <c r="C31" s="135" t="str">
        <f>'ORÇA onerado'!E22</f>
        <v>m</v>
      </c>
      <c r="D31" s="170">
        <f>'ORÇA onerado'!F22</f>
        <v>12</v>
      </c>
      <c r="E31" s="159" t="s">
        <v>219</v>
      </c>
      <c r="F31" s="159"/>
      <c r="G31" s="136"/>
      <c r="H31" s="168"/>
      <c r="I31" s="168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8"/>
    </row>
    <row r="32">
      <c r="A32" s="133">
        <f>'ORÇA onerado'!A23</f>
        <v>46085</v>
      </c>
      <c r="B32" s="134" t="str">
        <f>'ORÇA onerado'!D23</f>
        <v>ABRAÇADEIRA METALICA TIPO "D" DIAM. 3/4"</v>
      </c>
      <c r="C32" s="135" t="str">
        <f>'ORÇA onerado'!E23</f>
        <v>un.</v>
      </c>
      <c r="D32" s="170">
        <f>'ORÇA onerado'!F23</f>
        <v>40</v>
      </c>
      <c r="E32" s="159" t="s">
        <v>219</v>
      </c>
      <c r="F32" s="159"/>
      <c r="G32" s="136"/>
      <c r="H32" s="168"/>
      <c r="I32" s="168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8"/>
    </row>
    <row r="33">
      <c r="A33" s="133">
        <f>'ORÇA onerado'!A24</f>
        <v>46116</v>
      </c>
      <c r="B33" s="134" t="str">
        <f>'ORÇA onerado'!D24</f>
        <v>ELETRODUTO EM AÇO GALVANIZADO A FOGO DIÂMETRO 3/4" - PESADO</v>
      </c>
      <c r="C33" s="135" t="str">
        <f>'ORÇA onerado'!E24</f>
        <v>m</v>
      </c>
      <c r="D33" s="170">
        <f>'ORÇA onerado'!F24</f>
        <v>40</v>
      </c>
      <c r="E33" s="159" t="s">
        <v>219</v>
      </c>
      <c r="F33" s="159"/>
      <c r="G33" s="136"/>
      <c r="H33" s="168"/>
      <c r="I33" s="168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8"/>
    </row>
    <row r="34">
      <c r="A34" s="133">
        <f>'ORÇA onerado'!A25</f>
        <v>46146</v>
      </c>
      <c r="B34" s="134" t="str">
        <f>'ORÇA onerado'!D25</f>
        <v>CONDULETE METÁLICO - TAMPÃO DE 3/4"</v>
      </c>
      <c r="C34" s="135" t="str">
        <f>'ORÇA onerado'!E25</f>
        <v>un.</v>
      </c>
      <c r="D34" s="170">
        <f>'ORÇA onerado'!F25</f>
        <v>63</v>
      </c>
      <c r="E34" s="159" t="s">
        <v>219</v>
      </c>
      <c r="F34" s="159"/>
      <c r="G34" s="136"/>
      <c r="H34" s="168"/>
      <c r="I34" s="168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8"/>
    </row>
    <row r="35">
      <c r="A35" s="133">
        <f>'ORÇA onerado'!A26</f>
        <v>46177</v>
      </c>
      <c r="B35" s="134" t="str">
        <f>'ORÇA onerado'!D26</f>
        <v>CONDULETE METÁLICO - CAIXA COM 5 ENTRADAS</v>
      </c>
      <c r="C35" s="135" t="str">
        <f>'ORÇA onerado'!E26</f>
        <v>un.</v>
      </c>
      <c r="D35" s="170">
        <f>'ORÇA onerado'!F26</f>
        <v>23</v>
      </c>
      <c r="E35" s="159" t="s">
        <v>219</v>
      </c>
      <c r="F35" s="159"/>
      <c r="G35" s="136"/>
      <c r="H35" s="168"/>
      <c r="I35" s="168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8"/>
    </row>
    <row r="36">
      <c r="A36" s="133">
        <f>'ORÇA onerado'!A27</f>
        <v>46207</v>
      </c>
      <c r="B36" s="134" t="str">
        <f>'ORÇA onerado'!D27</f>
        <v>CONDULETE METÁLICO - ADAPTADOR DE SAÍDA 3/4"</v>
      </c>
      <c r="C36" s="135" t="str">
        <f>'ORÇA onerado'!E27</f>
        <v>un.</v>
      </c>
      <c r="D36" s="170">
        <f>'ORÇA onerado'!F27</f>
        <v>42</v>
      </c>
      <c r="E36" s="159" t="s">
        <v>219</v>
      </c>
      <c r="F36" s="159"/>
      <c r="G36" s="136"/>
      <c r="H36" s="168"/>
      <c r="I36" s="168"/>
      <c r="J36" s="136"/>
      <c r="K36" s="136"/>
      <c r="L36" s="136"/>
      <c r="M36" s="136"/>
      <c r="N36" s="136"/>
      <c r="O36" s="136"/>
      <c r="P36" s="136"/>
      <c r="Q36" s="136"/>
      <c r="R36" s="136"/>
      <c r="S36" s="136"/>
      <c r="T36" s="136"/>
      <c r="U36" s="138"/>
    </row>
    <row r="37">
      <c r="A37" s="133">
        <f>'ORÇA onerado'!A28</f>
        <v>46238</v>
      </c>
      <c r="B37" s="134" t="str">
        <f>'ORÇA onerado'!D28</f>
        <v>CONECTOR WAGO 221-415</v>
      </c>
      <c r="C37" s="135" t="str">
        <f>'ORÇA onerado'!E28</f>
        <v>un.</v>
      </c>
      <c r="D37" s="170">
        <f>'ORÇA onerado'!F28</f>
        <v>17</v>
      </c>
      <c r="E37" s="159" t="s">
        <v>219</v>
      </c>
      <c r="F37" s="159"/>
      <c r="G37" s="136"/>
      <c r="H37" s="168"/>
      <c r="I37" s="168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8"/>
    </row>
    <row r="38">
      <c r="A38" s="133">
        <f>'ORÇA onerado'!A29</f>
        <v>46269</v>
      </c>
      <c r="B38" s="134" t="str">
        <f>'ORÇA onerado'!D29</f>
        <v>CAIXA DE PASSAGEM PVC, SOBREPOR 300X300X100mm</v>
      </c>
      <c r="C38" s="135" t="str">
        <f>'ORÇA onerado'!E29</f>
        <v>un.</v>
      </c>
      <c r="D38" s="170">
        <f>'ORÇA onerado'!F29</f>
        <v>3</v>
      </c>
      <c r="E38" s="159" t="s">
        <v>219</v>
      </c>
      <c r="F38" s="159"/>
      <c r="G38" s="136"/>
      <c r="H38" s="168"/>
      <c r="I38" s="168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8"/>
    </row>
    <row r="39">
      <c r="A39" s="133">
        <f>'ORÇA onerado'!A30</f>
        <v>46299</v>
      </c>
      <c r="B39" s="134" t="str">
        <f>'ORÇA onerado'!D30</f>
        <v>Alçapão de alumínio, tipo escama, cor fosca</v>
      </c>
      <c r="C39" s="135" t="str">
        <f>'ORÇA onerado'!E30</f>
        <v>un.</v>
      </c>
      <c r="D39" s="170">
        <f>'ORÇA onerado'!F30</f>
        <v>0.32</v>
      </c>
      <c r="E39" s="159" t="s">
        <v>219</v>
      </c>
      <c r="F39" s="159"/>
      <c r="G39" s="136"/>
      <c r="H39" s="168"/>
      <c r="I39" s="168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8"/>
    </row>
    <row r="40">
      <c r="A40" s="133">
        <f>'ORÇA onerado'!A31</f>
        <v>46330</v>
      </c>
      <c r="B40" s="134" t="str">
        <f>'ORÇA onerado'!D31</f>
        <v>CABO FLEXÍVEL, PVC (70° C), 450/750 V, 2,5 MM2</v>
      </c>
      <c r="C40" s="135" t="str">
        <f>'ORÇA onerado'!E31</f>
        <v>m</v>
      </c>
      <c r="D40" s="170">
        <f>'ORÇA onerado'!F31</f>
        <v>180</v>
      </c>
      <c r="E40" s="159" t="s">
        <v>219</v>
      </c>
      <c r="F40" s="159"/>
      <c r="G40" s="136"/>
      <c r="H40" s="168"/>
      <c r="I40" s="168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8"/>
    </row>
    <row r="41">
      <c r="A41" s="133">
        <f>'ORÇA onerado'!A32</f>
        <v>46360</v>
      </c>
      <c r="B41" s="134" t="str">
        <f>'ORÇA onerado'!D32</f>
        <v>CABO ISOLADO PP 3 X 2,5 MM2</v>
      </c>
      <c r="C41" s="135" t="str">
        <f>'ORÇA onerado'!E32</f>
        <v>m</v>
      </c>
      <c r="D41" s="170">
        <f>'ORÇA onerado'!F32</f>
        <v>10</v>
      </c>
      <c r="E41" s="159" t="s">
        <v>219</v>
      </c>
      <c r="F41" s="159"/>
      <c r="G41" s="136"/>
      <c r="H41" s="168"/>
      <c r="I41" s="168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8"/>
    </row>
    <row r="42">
      <c r="A42" s="133" t="str">
        <f>'ORÇA onerado'!A33</f>
        <v>4.13</v>
      </c>
      <c r="B42" s="134" t="str">
        <f>'ORÇA onerado'!D33</f>
        <v>INTERRUPTOR PARALELO SIMPLES (1 SECAO)</v>
      </c>
      <c r="C42" s="135" t="str">
        <f>'ORÇA onerado'!E33</f>
        <v>un.</v>
      </c>
      <c r="D42" s="170">
        <f>'ORÇA onerado'!F33</f>
        <v>2</v>
      </c>
      <c r="E42" s="159" t="s">
        <v>219</v>
      </c>
      <c r="F42" s="159"/>
      <c r="G42" s="136"/>
      <c r="H42" s="168"/>
      <c r="I42" s="168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8"/>
    </row>
    <row r="43">
      <c r="A43" s="133" t="str">
        <f>'ORÇA onerado'!A34</f>
        <v>4.14</v>
      </c>
      <c r="B43" s="134" t="str">
        <f>'ORÇA onerado'!D34</f>
        <v>TAMPA PARA CONDULETE METÁLICO PARA 1 INTERRUPTOR</v>
      </c>
      <c r="C43" s="135" t="str">
        <f>'ORÇA onerado'!E34</f>
        <v>un.</v>
      </c>
      <c r="D43" s="170">
        <f>'ORÇA onerado'!F34</f>
        <v>2</v>
      </c>
      <c r="E43" s="159" t="s">
        <v>219</v>
      </c>
      <c r="F43" s="159"/>
      <c r="G43" s="136"/>
      <c r="H43" s="168"/>
      <c r="I43" s="168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8"/>
    </row>
    <row r="44">
      <c r="A44" s="133" t="str">
        <f>'ORÇA onerado'!A35</f>
        <v>4.15</v>
      </c>
      <c r="B44" s="134" t="str">
        <f>'ORÇA onerado'!D35</f>
        <v>TAMPA CEGA PARA CONDULETE METÁLICO</v>
      </c>
      <c r="C44" s="135" t="str">
        <f>'ORÇA onerado'!E35</f>
        <v>un.</v>
      </c>
      <c r="D44" s="170">
        <f>'ORÇA onerado'!F35</f>
        <v>3</v>
      </c>
      <c r="E44" s="159" t="s">
        <v>219</v>
      </c>
      <c r="F44" s="159"/>
      <c r="G44" s="136"/>
      <c r="H44" s="168"/>
      <c r="I44" s="168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8"/>
    </row>
    <row r="45">
      <c r="A45" s="133" t="str">
        <f>'ORÇA onerado'!A36</f>
        <v>4.16</v>
      </c>
      <c r="B45" s="134" t="str">
        <f>'ORÇA onerado'!D36</f>
        <v>TAMPA CEGA PLÁSTICA 4"X2" COM FURO CENTRAL</v>
      </c>
      <c r="C45" s="135" t="str">
        <f>'ORÇA onerado'!E36</f>
        <v>un.</v>
      </c>
      <c r="D45" s="170">
        <f>'ORÇA onerado'!F36</f>
        <v>18</v>
      </c>
      <c r="E45" s="159" t="s">
        <v>219</v>
      </c>
      <c r="F45" s="159"/>
      <c r="G45" s="136"/>
      <c r="H45" s="168"/>
      <c r="I45" s="168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8"/>
    </row>
    <row r="46">
      <c r="A46" s="133" t="str">
        <f>'ORÇA onerado'!A37</f>
        <v>4.17</v>
      </c>
      <c r="B46" s="134" t="str">
        <f>'ORÇA onerado'!D37</f>
        <v>DISJUNTOR MONOPOLAR DE 10 A 32-A</v>
      </c>
      <c r="C46" s="135" t="str">
        <f>'ORÇA onerado'!E37</f>
        <v>un.</v>
      </c>
      <c r="D46" s="170">
        <f>'ORÇA onerado'!F37</f>
        <v>1</v>
      </c>
      <c r="E46" s="159" t="s">
        <v>219</v>
      </c>
      <c r="F46" s="159"/>
      <c r="G46" s="136"/>
      <c r="H46" s="168"/>
      <c r="I46" s="168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8"/>
    </row>
    <row r="47">
      <c r="A47" s="133" t="str">
        <f>'ORÇA onerado'!A38</f>
        <v>4.18</v>
      </c>
      <c r="B47" s="134" t="str">
        <f>'ORÇA onerado'!D38</f>
        <v>Perfil em alumínio tipo slim de embutir para fita de LED, cores P/B/C, e=23mm</v>
      </c>
      <c r="C47" s="135" t="str">
        <f>'ORÇA onerado'!E38</f>
        <v>m</v>
      </c>
      <c r="D47" s="170">
        <f>'ORÇA onerado'!F38</f>
        <v>30</v>
      </c>
      <c r="E47" s="159" t="s">
        <v>219</v>
      </c>
      <c r="F47" s="159"/>
      <c r="G47" s="136"/>
      <c r="H47" s="168"/>
      <c r="I47" s="168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8"/>
    </row>
    <row r="48">
      <c r="A48" s="133" t="str">
        <f>'ORÇA onerado'!A39</f>
        <v>4.19</v>
      </c>
      <c r="B48" s="134" t="str">
        <f>'ORÇA onerado'!D39</f>
        <v>Fita de LED com fonte bivolt, 5m, e = 8mm, 2.700K (luz amarela), tipo cob, g-light ou similar</v>
      </c>
      <c r="C48" s="135" t="str">
        <f>'ORÇA onerado'!E39</f>
        <v>un.</v>
      </c>
      <c r="D48" s="170">
        <f>'ORÇA onerado'!F39</f>
        <v>5</v>
      </c>
      <c r="E48" s="159" t="s">
        <v>219</v>
      </c>
      <c r="F48" s="159"/>
      <c r="G48" s="136"/>
      <c r="H48" s="168"/>
      <c r="I48" s="168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8"/>
    </row>
    <row r="49">
      <c r="A49" s="133" t="str">
        <f>'ORÇA onerado'!A40</f>
        <v>4.20</v>
      </c>
      <c r="B49" s="134" t="str">
        <f>'ORÇA onerado'!D40</f>
        <v>Fonte Colmeia, 200W, 12V/16.5A, Bivolt, Ref. Blumenau</v>
      </c>
      <c r="C49" s="135" t="str">
        <f>'ORÇA onerado'!E40</f>
        <v>un.</v>
      </c>
      <c r="D49" s="170">
        <f>'ORÇA onerado'!F40</f>
        <v>3</v>
      </c>
      <c r="E49" s="159" t="s">
        <v>219</v>
      </c>
      <c r="F49" s="159"/>
      <c r="G49" s="136"/>
      <c r="H49" s="168"/>
      <c r="I49" s="168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8"/>
    </row>
    <row r="50">
      <c r="A50" s="161"/>
      <c r="B50" s="162"/>
      <c r="C50" s="163"/>
      <c r="D50" s="164"/>
      <c r="E50" s="163"/>
      <c r="F50" s="163"/>
      <c r="G50" s="164"/>
      <c r="H50" s="169"/>
      <c r="I50" s="169"/>
      <c r="J50" s="164"/>
      <c r="K50" s="164"/>
      <c r="L50" s="164"/>
      <c r="M50" s="164"/>
      <c r="N50" s="164"/>
      <c r="O50" s="164"/>
      <c r="P50" s="164"/>
      <c r="Q50" s="164"/>
      <c r="R50" s="164"/>
      <c r="S50" s="164"/>
      <c r="T50" s="164"/>
      <c r="U50" s="165"/>
    </row>
    <row r="51">
      <c r="A51" s="130">
        <v>5.0</v>
      </c>
      <c r="B51" s="71" t="s">
        <v>103</v>
      </c>
      <c r="C51" s="132"/>
      <c r="D51" s="132"/>
      <c r="E51" s="132"/>
      <c r="F51" s="132"/>
      <c r="G51" s="132"/>
      <c r="H51" s="132"/>
      <c r="I51" s="132"/>
      <c r="J51" s="132"/>
      <c r="K51" s="132"/>
      <c r="L51" s="132"/>
      <c r="M51" s="132"/>
      <c r="N51" s="132"/>
      <c r="O51" s="132"/>
      <c r="P51" s="132"/>
      <c r="Q51" s="167"/>
      <c r="R51" s="167"/>
      <c r="S51" s="167"/>
      <c r="T51" s="167"/>
      <c r="U51" s="167"/>
    </row>
    <row r="52">
      <c r="A52" s="133">
        <f>'ORÇA onerado'!A42</f>
        <v>46027</v>
      </c>
      <c r="B52" s="134" t="str">
        <f>'ORÇA onerado'!D42</f>
        <v>Grelha em aço inox para calha, dim 140 x 25 x 2.5 cm - inclusive quadro de cantoneira 1/8" x 1"</v>
      </c>
      <c r="C52" s="135" t="str">
        <f>'ORÇA onerado'!E42</f>
        <v>un</v>
      </c>
      <c r="D52" s="136">
        <v>1.0</v>
      </c>
      <c r="E52" s="159" t="s">
        <v>220</v>
      </c>
      <c r="F52" s="159" t="s">
        <v>221</v>
      </c>
      <c r="G52" s="136"/>
      <c r="H52" s="168"/>
      <c r="I52" s="168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8"/>
    </row>
    <row r="53">
      <c r="A53" s="133">
        <f>'ORÇA onerado'!A43</f>
        <v>46058</v>
      </c>
      <c r="B53" s="134" t="str">
        <f>'ORÇA onerado'!D43</f>
        <v>Corte em pavimento de asfalto/concreto, com máquina e disco diamantado - Rev 01</v>
      </c>
      <c r="C53" s="135" t="str">
        <f>'ORÇA onerado'!E43</f>
        <v>m</v>
      </c>
      <c r="D53" s="136">
        <f>191*0.25</f>
        <v>47.75</v>
      </c>
      <c r="E53" s="159" t="s">
        <v>222</v>
      </c>
      <c r="F53" s="159" t="s">
        <v>223</v>
      </c>
      <c r="G53" s="136"/>
      <c r="H53" s="168"/>
      <c r="I53" s="168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8"/>
    </row>
    <row r="54">
      <c r="A54" s="133">
        <f>'ORÇA onerado'!A44</f>
        <v>46086</v>
      </c>
      <c r="B54" s="134" t="str">
        <f>'ORÇA onerado'!D44</f>
        <v>TUBO SOLDAVEL PARA ESGOTO DIAMETRO 50 MM</v>
      </c>
      <c r="C54" s="135" t="str">
        <f>'ORÇA onerado'!E44</f>
        <v>m</v>
      </c>
      <c r="D54" s="136">
        <v>7.1</v>
      </c>
      <c r="E54" s="135" t="s">
        <v>224</v>
      </c>
      <c r="F54" s="159" t="s">
        <v>225</v>
      </c>
      <c r="G54" s="136"/>
      <c r="H54" s="168"/>
      <c r="I54" s="168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8"/>
    </row>
    <row r="55">
      <c r="A55" s="133">
        <f>'ORÇA onerado'!A45</f>
        <v>46117</v>
      </c>
      <c r="B55" s="134" t="str">
        <f>'ORÇA onerado'!D45</f>
        <v>DEMOLIÇÃO MANUAL DE PISO CIMENTICIO SOBRE LASTRO DE CONCRETO COM TRANSPORTE ATE CAÇAMBA E CARGA</v>
      </c>
      <c r="C55" s="135" t="str">
        <f>'ORÇA onerado'!E45</f>
        <v>m2</v>
      </c>
      <c r="D55" s="136">
        <f>1.6*0.35</f>
        <v>0.56</v>
      </c>
      <c r="E55" s="159" t="s">
        <v>226</v>
      </c>
      <c r="F55" s="159" t="s">
        <v>225</v>
      </c>
      <c r="G55" s="136"/>
      <c r="H55" s="168"/>
      <c r="I55" s="168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8"/>
    </row>
    <row r="56">
      <c r="A56" s="133">
        <f>'ORÇA onerado'!A46</f>
        <v>46147</v>
      </c>
      <c r="B56" s="134" t="str">
        <f>'ORÇA onerado'!D46</f>
        <v>ESCAVACAO MANUAL DE VALAS &lt; 1 MTS. (OBRAS CIVIS) </v>
      </c>
      <c r="C56" s="135" t="str">
        <f>'ORÇA onerado'!E46</f>
        <v>m3</v>
      </c>
      <c r="D56" s="136">
        <f>(1.4+7.1)*0.3*1</f>
        <v>2.55</v>
      </c>
      <c r="E56" s="159" t="s">
        <v>227</v>
      </c>
      <c r="F56" s="159" t="s">
        <v>225</v>
      </c>
      <c r="G56" s="136"/>
      <c r="H56" s="168"/>
      <c r="I56" s="168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8"/>
    </row>
    <row r="57">
      <c r="A57" s="133">
        <f>'ORÇA onerado'!A47</f>
        <v>46178</v>
      </c>
      <c r="B57" s="134" t="str">
        <f>'ORÇA onerado'!D47</f>
        <v>REATERRO COM APILOAMENTO</v>
      </c>
      <c r="C57" s="135" t="str">
        <f>'ORÇA onerado'!E47</f>
        <v>m3</v>
      </c>
      <c r="D57" s="136">
        <f>7.1*0.3*1</f>
        <v>2.13</v>
      </c>
      <c r="E57" s="159" t="s">
        <v>228</v>
      </c>
      <c r="F57" s="159"/>
      <c r="G57" s="136"/>
      <c r="H57" s="168"/>
      <c r="I57" s="168"/>
      <c r="J57" s="136"/>
      <c r="K57" s="136"/>
      <c r="L57" s="136"/>
      <c r="M57" s="136"/>
      <c r="N57" s="136"/>
      <c r="O57" s="136"/>
      <c r="P57" s="136"/>
      <c r="Q57" s="136"/>
      <c r="R57" s="136"/>
      <c r="S57" s="136"/>
      <c r="T57" s="136"/>
      <c r="U57" s="138"/>
    </row>
    <row r="58">
      <c r="A58" s="133">
        <f>'ORÇA onerado'!A48</f>
        <v>46208</v>
      </c>
      <c r="B58" s="134" t="str">
        <f>'ORÇA onerado'!D48</f>
        <v>DEMOLIÇÃO MANUAL DE PISO CIMENTICIO SOBRE LASTRO DE CONCRETO COM TRANSPORTE ATE CAÇAMBA E CARGA</v>
      </c>
      <c r="C58" s="135" t="str">
        <f>'ORÇA onerado'!E48</f>
        <v>m2</v>
      </c>
      <c r="D58" s="159">
        <v>5.1</v>
      </c>
      <c r="E58" s="159"/>
      <c r="F58" s="159" t="s">
        <v>229</v>
      </c>
      <c r="G58" s="136"/>
      <c r="H58" s="168"/>
      <c r="I58" s="168"/>
      <c r="J58" s="136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8"/>
    </row>
    <row r="59">
      <c r="A59" s="133">
        <v>46239.0</v>
      </c>
      <c r="B59" s="160" t="str">
        <f>'COMP. onerado'!D30</f>
        <v>Tubo retângular em aço galvanizado 70x30, branco ( Descidas água pluvial)</v>
      </c>
      <c r="C59" s="159" t="str">
        <f>'COMP. onerado'!E30</f>
        <v>m</v>
      </c>
      <c r="D59" s="159">
        <f>15*(0.13+0.18+2.34+0.18)</f>
        <v>42.45</v>
      </c>
      <c r="E59" s="159" t="s">
        <v>230</v>
      </c>
      <c r="F59" s="159"/>
      <c r="G59" s="136"/>
      <c r="H59" s="168"/>
      <c r="I59" s="168"/>
      <c r="J59" s="136"/>
      <c r="K59" s="136"/>
      <c r="L59" s="136"/>
      <c r="M59" s="136"/>
      <c r="N59" s="136"/>
      <c r="O59" s="136"/>
      <c r="P59" s="136"/>
      <c r="Q59" s="136"/>
      <c r="R59" s="136"/>
      <c r="S59" s="136"/>
      <c r="T59" s="136"/>
      <c r="U59" s="138"/>
    </row>
    <row r="60">
      <c r="A60" s="133">
        <f>'ORÇA onerado'!A50</f>
        <v>46270</v>
      </c>
      <c r="B60" s="134" t="str">
        <f>'ORÇA onerado'!D50</f>
        <v>Corrente de aço galvanizado 3/16" - Rev.02</v>
      </c>
      <c r="C60" s="135" t="str">
        <f>'ORÇA onerado'!E50</f>
        <v>m</v>
      </c>
      <c r="D60" s="159">
        <f>3*2.85*2</f>
        <v>17.1</v>
      </c>
      <c r="E60" s="159" t="s">
        <v>231</v>
      </c>
      <c r="F60" s="159" t="s">
        <v>232</v>
      </c>
      <c r="G60" s="136"/>
      <c r="H60" s="168"/>
      <c r="I60" s="168"/>
      <c r="J60" s="136"/>
      <c r="K60" s="136"/>
      <c r="L60" s="136"/>
      <c r="M60" s="136"/>
      <c r="N60" s="136"/>
      <c r="O60" s="136"/>
      <c r="P60" s="136"/>
      <c r="Q60" s="136"/>
      <c r="R60" s="136"/>
      <c r="S60" s="136"/>
      <c r="T60" s="136"/>
      <c r="U60" s="138"/>
    </row>
    <row r="61">
      <c r="A61" s="161"/>
      <c r="B61" s="162"/>
      <c r="C61" s="163"/>
      <c r="D61" s="164"/>
      <c r="E61" s="163"/>
      <c r="F61" s="163"/>
      <c r="G61" s="164"/>
      <c r="H61" s="169"/>
      <c r="I61" s="169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5"/>
    </row>
    <row r="62">
      <c r="A62" s="130">
        <v>6.0</v>
      </c>
      <c r="B62" s="71" t="s">
        <v>112</v>
      </c>
      <c r="C62" s="132"/>
      <c r="D62" s="132"/>
      <c r="E62" s="132"/>
      <c r="F62" s="132"/>
      <c r="G62" s="132"/>
      <c r="H62" s="132"/>
      <c r="I62" s="132"/>
      <c r="J62" s="132"/>
      <c r="K62" s="132"/>
      <c r="L62" s="132"/>
      <c r="M62" s="132"/>
      <c r="N62" s="132"/>
      <c r="O62" s="132"/>
      <c r="P62" s="132"/>
      <c r="Q62" s="167"/>
      <c r="R62" s="167"/>
      <c r="S62" s="167"/>
      <c r="T62" s="167"/>
      <c r="U62" s="167"/>
    </row>
    <row r="63">
      <c r="A63" s="126" t="s">
        <v>16</v>
      </c>
      <c r="B63" s="127" t="s">
        <v>193</v>
      </c>
      <c r="C63" s="126" t="s">
        <v>194</v>
      </c>
      <c r="D63" s="126" t="s">
        <v>195</v>
      </c>
      <c r="E63" s="126" t="s">
        <v>233</v>
      </c>
      <c r="F63" s="126" t="s">
        <v>234</v>
      </c>
      <c r="G63" s="128" t="s">
        <v>235</v>
      </c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</row>
    <row r="64">
      <c r="A64" s="141">
        <f>'ORÇA onerado'!A52</f>
        <v>46028</v>
      </c>
      <c r="B64" s="134" t="str">
        <f>'ORÇA onerado'!D52</f>
        <v>MURETA EM ALVENARIA, CHAPISCADA E REBOCADA, INCLUSIVE FUNDAÇÃO</v>
      </c>
      <c r="C64" s="135" t="str">
        <f>'ORÇA onerado'!E52</f>
        <v>m2</v>
      </c>
      <c r="D64" s="136">
        <f>E64+F64+G64</f>
        <v>7.744</v>
      </c>
      <c r="E64" s="171">
        <v>0.38</v>
      </c>
      <c r="F64" s="137">
        <v>0.78</v>
      </c>
      <c r="G64" s="172">
        <f>0.4*(2.01+5.87+0.6+5.27+1.18+1.53)</f>
        <v>6.584</v>
      </c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</row>
    <row r="65">
      <c r="A65" s="141">
        <f>'ORÇA onerado'!A53</f>
        <v>46059</v>
      </c>
      <c r="B65" s="134" t="str">
        <f>'ORÇA onerado'!D53</f>
        <v>IMPERMEABILIZACAO-JARDINEIRA C/MANTA ANTI-RAIZ (COMPLETA)</v>
      </c>
      <c r="C65" s="135" t="str">
        <f>'ORÇA onerado'!E53</f>
        <v>m2</v>
      </c>
      <c r="D65" s="136">
        <f>(0.4*(2.01+5.87+0.6+5.27+1.18+1.53))+3.4579</f>
        <v>10.0419</v>
      </c>
      <c r="E65" s="159" t="s">
        <v>236</v>
      </c>
      <c r="F65" s="159"/>
      <c r="G65" s="136"/>
      <c r="H65" s="168"/>
      <c r="I65" s="168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8"/>
    </row>
    <row r="66">
      <c r="A66" s="141">
        <f>'ORÇA onerado'!A54</f>
        <v>46087</v>
      </c>
      <c r="B66" s="134" t="str">
        <f>'ORÇA onerado'!D54</f>
        <v>CHAPISCO GROSSO</v>
      </c>
      <c r="C66" s="135" t="str">
        <f>'ORÇA onerado'!E54</f>
        <v>m2</v>
      </c>
      <c r="D66" s="136">
        <f t="shared" ref="D66:D67" si="1">16.4558*0.4</f>
        <v>6.58232</v>
      </c>
      <c r="E66" s="159" t="s">
        <v>237</v>
      </c>
      <c r="F66" s="159" t="s">
        <v>238</v>
      </c>
      <c r="G66" s="136"/>
      <c r="H66" s="168"/>
      <c r="I66" s="168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8"/>
    </row>
    <row r="67">
      <c r="A67" s="141">
        <f>'ORÇA onerado'!A55</f>
        <v>46118</v>
      </c>
      <c r="B67" s="134" t="str">
        <f>'ORÇA onerado'!D55</f>
        <v>REBOCO PAULISTA A-14 (1CALH:4ARMLC+100kgCI/M3)</v>
      </c>
      <c r="C67" s="135" t="str">
        <f>'ORÇA onerado'!E55</f>
        <v>m2</v>
      </c>
      <c r="D67" s="136">
        <f t="shared" si="1"/>
        <v>6.58232</v>
      </c>
      <c r="E67" s="159" t="s">
        <v>237</v>
      </c>
      <c r="F67" s="159" t="s">
        <v>238</v>
      </c>
      <c r="G67" s="136"/>
      <c r="H67" s="168"/>
      <c r="I67" s="168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8"/>
    </row>
    <row r="68">
      <c r="A68" s="141"/>
      <c r="B68" s="160"/>
      <c r="C68" s="159"/>
      <c r="D68" s="136"/>
      <c r="E68" s="159"/>
      <c r="F68" s="159"/>
      <c r="G68" s="136"/>
      <c r="H68" s="168"/>
      <c r="I68" s="168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8"/>
    </row>
    <row r="69">
      <c r="A69" s="161"/>
      <c r="B69" s="162"/>
      <c r="C69" s="163"/>
      <c r="D69" s="164"/>
      <c r="E69" s="163"/>
      <c r="F69" s="163"/>
      <c r="G69" s="164"/>
      <c r="H69" s="169"/>
      <c r="I69" s="169"/>
      <c r="J69" s="164"/>
      <c r="K69" s="164"/>
      <c r="L69" s="164"/>
      <c r="M69" s="164"/>
      <c r="N69" s="164"/>
      <c r="O69" s="164"/>
      <c r="P69" s="164"/>
      <c r="Q69" s="164"/>
      <c r="R69" s="164"/>
      <c r="S69" s="164"/>
      <c r="T69" s="164"/>
      <c r="U69" s="165"/>
    </row>
    <row r="70">
      <c r="A70" s="130">
        <v>7.0</v>
      </c>
      <c r="B70" s="71" t="str">
        <f>'ORÇA onerado'!D56</f>
        <v>ESTRUTURAS METÁLICAS</v>
      </c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67"/>
      <c r="R70" s="167"/>
      <c r="S70" s="167"/>
      <c r="T70" s="167"/>
      <c r="U70" s="167"/>
    </row>
    <row r="71">
      <c r="A71" s="133">
        <f>'ORÇA onerado'!A57</f>
        <v>46029</v>
      </c>
      <c r="B71" s="134" t="str">
        <f>'ORÇA onerado'!D57</f>
        <v>ESTRUTURA METÁLICA CONVENCIONAL EM AÇO DO TIPO MR-250 / ASTM A36 COM FUNDO ANTICORROSIVO</v>
      </c>
      <c r="C71" s="134" t="str">
        <f>'ORÇA onerado'!E57</f>
        <v>Kg    </v>
      </c>
      <c r="D71" s="79">
        <v>2256.6</v>
      </c>
      <c r="E71" s="159" t="s">
        <v>239</v>
      </c>
      <c r="F71" s="159"/>
      <c r="G71" s="136"/>
      <c r="H71" s="168"/>
      <c r="I71" s="168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8"/>
    </row>
    <row r="72">
      <c r="A72" s="133">
        <f>'ORÇA onerado'!A58</f>
        <v>46060</v>
      </c>
      <c r="B72" s="134" t="str">
        <f>'ORÇA onerado'!D58</f>
        <v>PINTURA ESMALTE ALQUIDICO ESTRUTURA METALICA 2 DEMAOS</v>
      </c>
      <c r="C72" s="134" t="str">
        <f>'ORÇA onerado'!E58</f>
        <v>m2</v>
      </c>
      <c r="D72" s="79">
        <v>223.6</v>
      </c>
      <c r="E72" s="159" t="s">
        <v>239</v>
      </c>
      <c r="F72" s="159"/>
      <c r="G72" s="136"/>
      <c r="H72" s="168"/>
      <c r="I72" s="168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8"/>
    </row>
    <row r="73">
      <c r="A73" s="161"/>
      <c r="B73" s="162"/>
      <c r="C73" s="163"/>
      <c r="D73" s="164"/>
      <c r="E73" s="163"/>
      <c r="F73" s="163"/>
      <c r="G73" s="164"/>
      <c r="H73" s="169"/>
      <c r="I73" s="169"/>
      <c r="J73" s="164"/>
      <c r="K73" s="164"/>
      <c r="L73" s="164"/>
      <c r="M73" s="164"/>
      <c r="N73" s="164"/>
      <c r="O73" s="164"/>
      <c r="P73" s="164"/>
      <c r="Q73" s="164"/>
      <c r="R73" s="164"/>
      <c r="S73" s="164"/>
      <c r="T73" s="164"/>
      <c r="U73" s="165"/>
    </row>
    <row r="74">
      <c r="A74" s="130">
        <v>8.0</v>
      </c>
      <c r="B74" s="71" t="s">
        <v>123</v>
      </c>
      <c r="C74" s="132"/>
      <c r="D74" s="130" t="s">
        <v>195</v>
      </c>
      <c r="E74" s="130" t="s">
        <v>240</v>
      </c>
      <c r="F74" s="130" t="s">
        <v>241</v>
      </c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67"/>
      <c r="R74" s="167"/>
      <c r="S74" s="167"/>
      <c r="T74" s="167"/>
      <c r="U74" s="167"/>
    </row>
    <row r="75">
      <c r="A75" s="133">
        <v>46030.0</v>
      </c>
      <c r="B75" s="134" t="str">
        <f>'ORÇA onerado'!D60</f>
        <v>Fornecimento e instalação de chapas de policarbonato, e=8mm em toldo/cobertura/fechamento/etc - Rev 01</v>
      </c>
      <c r="C75" s="135" t="str">
        <f>'ORÇA onerado'!E60</f>
        <v>m2</v>
      </c>
      <c r="D75" s="136">
        <f>E75+F75</f>
        <v>67.4819</v>
      </c>
      <c r="E75" s="159">
        <v>18.1242</v>
      </c>
      <c r="F75" s="159">
        <v>49.3577</v>
      </c>
      <c r="G75" s="136" t="s">
        <v>242</v>
      </c>
      <c r="H75" s="168"/>
      <c r="I75" s="168"/>
      <c r="J75" s="136"/>
      <c r="K75" s="136"/>
      <c r="L75" s="136"/>
      <c r="M75" s="136"/>
      <c r="N75" s="136"/>
      <c r="O75" s="136"/>
      <c r="P75" s="136"/>
      <c r="Q75" s="136"/>
      <c r="R75" s="136"/>
      <c r="S75" s="136"/>
      <c r="T75" s="136"/>
      <c r="U75" s="138"/>
    </row>
    <row r="76">
      <c r="A76" s="133">
        <v>46061.0</v>
      </c>
      <c r="B76" s="134" t="str">
        <f>'ORÇA onerado'!D61</f>
        <v>TELHAMENTO COM TELHA METÁLICA TERMOACÚSTICA E = 30 MM, COM ATÉ 2 ÁGUAS, INCLUSO IÇAMENTO. AF_07/2019</v>
      </c>
      <c r="C76" s="135" t="str">
        <f>'ORÇA onerado'!E61</f>
        <v>m2</v>
      </c>
      <c r="D76" s="136">
        <f>14.3234+16.21</f>
        <v>30.5334</v>
      </c>
      <c r="E76" s="159" t="s">
        <v>243</v>
      </c>
      <c r="F76" s="159"/>
      <c r="G76" s="136"/>
      <c r="H76" s="168"/>
      <c r="I76" s="168"/>
      <c r="J76" s="136"/>
      <c r="K76" s="136"/>
      <c r="L76" s="136"/>
      <c r="M76" s="136"/>
      <c r="N76" s="136"/>
      <c r="O76" s="136"/>
      <c r="P76" s="136"/>
      <c r="Q76" s="136"/>
      <c r="R76" s="136"/>
      <c r="S76" s="136"/>
      <c r="T76" s="136"/>
      <c r="U76" s="138"/>
    </row>
    <row r="77">
      <c r="A77" s="133">
        <v>46089.0</v>
      </c>
      <c r="B77" s="134" t="str">
        <f>'ORÇA onerado'!D62</f>
        <v>ACABAMENTO FRONTAL CALHA TIPO PLATIBANDA PINTADA NA COR BRANCA 150mm
</v>
      </c>
      <c r="C77" s="135" t="str">
        <f>'ORÇA onerado'!E62</f>
        <v>m2</v>
      </c>
      <c r="D77" s="136">
        <f>SUM(E77:G77)</f>
        <v>66.1892</v>
      </c>
      <c r="E77" s="159">
        <f>39.999+(9*0.15)</f>
        <v>41.349</v>
      </c>
      <c r="F77" s="159">
        <v>24.8402</v>
      </c>
      <c r="G77" s="136" t="s">
        <v>244</v>
      </c>
      <c r="H77" s="168" t="s">
        <v>245</v>
      </c>
      <c r="I77" s="168"/>
      <c r="J77" s="136"/>
      <c r="K77" s="136"/>
      <c r="L77" s="136"/>
      <c r="M77" s="136"/>
      <c r="N77" s="136"/>
      <c r="O77" s="136"/>
      <c r="P77" s="136"/>
      <c r="Q77" s="136"/>
      <c r="R77" s="136"/>
      <c r="S77" s="136"/>
      <c r="T77" s="136"/>
      <c r="U77" s="138"/>
    </row>
    <row r="78">
      <c r="A78" s="133">
        <v>46120.0</v>
      </c>
      <c r="B78" s="160" t="s">
        <v>246</v>
      </c>
      <c r="C78" s="159" t="s">
        <v>71</v>
      </c>
      <c r="D78" s="136">
        <f>13.95+39.98+39.98+36.16+36.16+24.96+24.96+9</f>
        <v>225.15</v>
      </c>
      <c r="E78" s="159"/>
      <c r="F78" s="159"/>
      <c r="G78" s="136"/>
      <c r="H78" s="168"/>
      <c r="I78" s="168"/>
      <c r="J78" s="136"/>
      <c r="K78" s="136"/>
      <c r="L78" s="136"/>
      <c r="M78" s="136"/>
      <c r="N78" s="136"/>
      <c r="O78" s="136"/>
      <c r="P78" s="136"/>
      <c r="Q78" s="136"/>
      <c r="R78" s="136"/>
      <c r="S78" s="136"/>
      <c r="T78" s="136"/>
      <c r="U78" s="138"/>
    </row>
    <row r="79">
      <c r="A79" s="133">
        <v>46150.0</v>
      </c>
      <c r="B79" s="160" t="s">
        <v>247</v>
      </c>
      <c r="C79" s="159" t="s">
        <v>71</v>
      </c>
      <c r="D79" s="136">
        <f>2.74+1.92+2.05+2.05+1.38+1.8+1.8</f>
        <v>13.74</v>
      </c>
      <c r="E79" s="159" t="s">
        <v>248</v>
      </c>
      <c r="F79" s="159"/>
      <c r="G79" s="136"/>
      <c r="H79" s="168"/>
      <c r="I79" s="168"/>
      <c r="J79" s="136"/>
      <c r="K79" s="136"/>
      <c r="L79" s="136"/>
      <c r="M79" s="136"/>
      <c r="N79" s="136"/>
      <c r="O79" s="136"/>
      <c r="P79" s="136"/>
      <c r="Q79" s="136"/>
      <c r="R79" s="136"/>
      <c r="S79" s="136"/>
      <c r="T79" s="136"/>
      <c r="U79" s="138"/>
    </row>
    <row r="80">
      <c r="A80" s="133">
        <v>46150.0</v>
      </c>
      <c r="B80" s="134" t="str">
        <f>'ORÇA onerado'!D65</f>
        <v>RUFO DE CHAPA GALVANIZADA Nº 26</v>
      </c>
      <c r="C80" s="159" t="s">
        <v>49</v>
      </c>
      <c r="D80" s="136">
        <f>(1.38*2+13.95+8.51)*0.3+(0.06*(12.72+12.72+9.99+0.58+5.52))</f>
        <v>10.0578</v>
      </c>
      <c r="E80" s="159" t="s">
        <v>249</v>
      </c>
      <c r="F80" s="159"/>
      <c r="G80" s="136"/>
      <c r="H80" s="168"/>
      <c r="I80" s="168"/>
      <c r="J80" s="136"/>
      <c r="K80" s="136"/>
      <c r="L80" s="136"/>
      <c r="M80" s="136"/>
      <c r="N80" s="136"/>
      <c r="O80" s="136"/>
      <c r="P80" s="136"/>
      <c r="Q80" s="136"/>
      <c r="R80" s="136"/>
      <c r="S80" s="136"/>
      <c r="T80" s="136"/>
      <c r="U80" s="138"/>
    </row>
    <row r="81">
      <c r="A81" s="161"/>
      <c r="B81" s="162"/>
      <c r="C81" s="163"/>
      <c r="D81" s="164"/>
      <c r="E81" s="163"/>
      <c r="F81" s="163"/>
      <c r="G81" s="164"/>
      <c r="H81" s="169"/>
      <c r="I81" s="169"/>
      <c r="J81" s="164"/>
      <c r="K81" s="164"/>
      <c r="L81" s="164"/>
      <c r="M81" s="164"/>
      <c r="N81" s="164"/>
      <c r="O81" s="164"/>
      <c r="P81" s="164"/>
      <c r="Q81" s="164"/>
      <c r="R81" s="164"/>
      <c r="S81" s="164"/>
      <c r="T81" s="164"/>
      <c r="U81" s="165"/>
    </row>
    <row r="82">
      <c r="A82" s="130">
        <v>9.0</v>
      </c>
      <c r="B82" s="71" t="s">
        <v>129</v>
      </c>
      <c r="C82" s="132"/>
      <c r="D82" s="132"/>
      <c r="E82" s="132"/>
      <c r="F82" s="132"/>
      <c r="G82" s="132"/>
      <c r="H82" s="132"/>
      <c r="I82" s="132"/>
      <c r="J82" s="132"/>
      <c r="K82" s="132"/>
      <c r="L82" s="132"/>
      <c r="M82" s="132"/>
      <c r="N82" s="132"/>
      <c r="O82" s="132"/>
      <c r="P82" s="132"/>
      <c r="Q82" s="167"/>
      <c r="R82" s="167"/>
      <c r="S82" s="167"/>
      <c r="T82" s="167"/>
      <c r="U82" s="167"/>
    </row>
    <row r="83">
      <c r="A83" s="126" t="s">
        <v>16</v>
      </c>
      <c r="B83" s="127" t="s">
        <v>193</v>
      </c>
      <c r="C83" s="126" t="s">
        <v>194</v>
      </c>
      <c r="D83" s="126" t="s">
        <v>195</v>
      </c>
      <c r="E83" s="126" t="s">
        <v>250</v>
      </c>
      <c r="F83" s="126" t="s">
        <v>251</v>
      </c>
      <c r="G83" s="126" t="s">
        <v>252</v>
      </c>
      <c r="H83" s="126" t="s">
        <v>253</v>
      </c>
      <c r="I83" s="126" t="s">
        <v>254</v>
      </c>
      <c r="J83" s="126" t="s">
        <v>255</v>
      </c>
      <c r="K83" s="126" t="s">
        <v>256</v>
      </c>
      <c r="L83" s="126" t="s">
        <v>257</v>
      </c>
      <c r="M83" s="126" t="s">
        <v>258</v>
      </c>
      <c r="N83" s="126" t="s">
        <v>259</v>
      </c>
      <c r="O83" s="126" t="s">
        <v>260</v>
      </c>
      <c r="P83" s="126" t="s">
        <v>261</v>
      </c>
      <c r="Q83" s="126"/>
      <c r="R83" s="126"/>
      <c r="S83" s="126"/>
      <c r="T83" s="126"/>
      <c r="U83" s="126"/>
    </row>
    <row r="84">
      <c r="A84" s="133">
        <v>46031.0</v>
      </c>
      <c r="B84" s="160" t="s">
        <v>131</v>
      </c>
      <c r="C84" s="159" t="s">
        <v>49</v>
      </c>
      <c r="D84" s="136">
        <f>SUM(E84:U84)</f>
        <v>611.4144</v>
      </c>
      <c r="E84" s="159">
        <v>115.1552</v>
      </c>
      <c r="F84" s="159">
        <v>73.8697</v>
      </c>
      <c r="G84" s="136">
        <v>59.3526</v>
      </c>
      <c r="H84" s="168">
        <v>46.6107</v>
      </c>
      <c r="I84" s="168">
        <v>132.2275</v>
      </c>
      <c r="J84" s="136">
        <v>74.2269</v>
      </c>
      <c r="K84" s="136">
        <v>17.9751</v>
      </c>
      <c r="L84" s="136">
        <v>67.8198</v>
      </c>
      <c r="M84" s="136">
        <v>2.288</v>
      </c>
      <c r="N84" s="136">
        <v>8.1986</v>
      </c>
      <c r="O84" s="136">
        <v>11.4983</v>
      </c>
      <c r="P84" s="136">
        <v>2.192</v>
      </c>
      <c r="Q84" s="136"/>
      <c r="R84" s="136"/>
      <c r="S84" s="136"/>
      <c r="T84" s="136"/>
      <c r="U84" s="138"/>
    </row>
    <row r="85">
      <c r="A85" s="133">
        <v>46062.0</v>
      </c>
      <c r="B85" s="160" t="s">
        <v>132</v>
      </c>
      <c r="C85" s="159" t="s">
        <v>133</v>
      </c>
      <c r="D85" s="136">
        <v>1.0</v>
      </c>
      <c r="E85" s="136">
        <v>1.0</v>
      </c>
      <c r="F85" s="138"/>
      <c r="G85" s="138"/>
      <c r="H85" s="138"/>
      <c r="I85" s="138"/>
      <c r="J85" s="138"/>
      <c r="K85" s="138"/>
      <c r="L85" s="138"/>
      <c r="M85" s="138"/>
      <c r="N85" s="138"/>
      <c r="O85" s="138"/>
      <c r="P85" s="138"/>
      <c r="Q85" s="138"/>
      <c r="R85" s="138"/>
      <c r="S85" s="138"/>
      <c r="T85" s="138"/>
      <c r="U85" s="138"/>
    </row>
    <row r="86">
      <c r="A86" s="133">
        <v>46090.0</v>
      </c>
      <c r="B86" s="134" t="str">
        <f>'ORÇA onerado'!D69</f>
        <v>PORTA DE ABRIR DE 01 FOLHA EM VENEZIANA PF-4 C/FERRAGENS</v>
      </c>
      <c r="C86" s="159" t="s">
        <v>49</v>
      </c>
      <c r="D86" s="136">
        <f>0.8*2.1*2</f>
        <v>3.36</v>
      </c>
      <c r="E86" s="159" t="s">
        <v>262</v>
      </c>
      <c r="F86" s="159"/>
      <c r="G86" s="136"/>
      <c r="H86" s="168"/>
      <c r="I86" s="168"/>
      <c r="J86" s="136"/>
      <c r="K86" s="136"/>
      <c r="L86" s="136"/>
      <c r="M86" s="136"/>
      <c r="N86" s="136"/>
      <c r="O86" s="136"/>
      <c r="P86" s="136"/>
      <c r="Q86" s="136"/>
      <c r="R86" s="136"/>
      <c r="S86" s="136"/>
      <c r="T86" s="136"/>
      <c r="U86" s="138"/>
    </row>
    <row r="87">
      <c r="A87" s="133">
        <v>46121.0</v>
      </c>
      <c r="B87" s="134" t="str">
        <f>'ORÇA onerado'!D70</f>
        <v>Tela de aço galvanizado fio 12 bwg, malha 2", ondulada, quadrada, fixada em moldura constituída de barra chata de 1 1/2 x 1/4"</v>
      </c>
      <c r="C87" s="159" t="s">
        <v>49</v>
      </c>
      <c r="D87" s="136">
        <f>3*0.7*1.3</f>
        <v>2.73</v>
      </c>
      <c r="E87" s="159" t="s">
        <v>263</v>
      </c>
      <c r="F87" s="159" t="s">
        <v>264</v>
      </c>
      <c r="G87" s="136"/>
      <c r="H87" s="168"/>
      <c r="I87" s="168"/>
      <c r="J87" s="136"/>
      <c r="K87" s="136"/>
      <c r="L87" s="136"/>
      <c r="M87" s="136"/>
      <c r="N87" s="136"/>
      <c r="O87" s="136"/>
      <c r="P87" s="136"/>
      <c r="Q87" s="136"/>
      <c r="R87" s="136"/>
      <c r="S87" s="136"/>
      <c r="T87" s="136"/>
      <c r="U87" s="138"/>
    </row>
    <row r="88">
      <c r="A88" s="133">
        <v>46151.0</v>
      </c>
      <c r="B88" s="134" t="str">
        <f>'ORÇA onerado'!D71</f>
        <v>Película insulfilm aplicada ou Similar</v>
      </c>
      <c r="C88" s="159" t="s">
        <v>49</v>
      </c>
      <c r="D88" s="136">
        <f>2*3.2896+3.465+18.8904</f>
        <v>28.9346</v>
      </c>
      <c r="E88" s="159" t="s">
        <v>265</v>
      </c>
      <c r="F88" s="173" t="s">
        <v>242</v>
      </c>
      <c r="G88" s="136"/>
      <c r="H88" s="168"/>
      <c r="I88" s="168"/>
      <c r="J88" s="136"/>
      <c r="K88" s="136"/>
      <c r="L88" s="136"/>
      <c r="M88" s="136"/>
      <c r="N88" s="136"/>
      <c r="O88" s="136"/>
      <c r="P88" s="136"/>
      <c r="Q88" s="136"/>
      <c r="R88" s="136"/>
      <c r="S88" s="136"/>
      <c r="T88" s="136"/>
      <c r="U88" s="138"/>
    </row>
    <row r="89">
      <c r="A89" s="133">
        <v>46182.0</v>
      </c>
      <c r="B89" s="134" t="str">
        <f>'ORÇA onerado'!D72</f>
        <v>Tampa de inspeção em chapa metálica de 1/4", inclusive tratamento e pintura em esmalte</v>
      </c>
      <c r="C89" s="159" t="s">
        <v>49</v>
      </c>
      <c r="D89" s="136">
        <v>3.1916</v>
      </c>
      <c r="E89" s="159" t="s">
        <v>266</v>
      </c>
      <c r="F89" s="159"/>
      <c r="G89" s="136"/>
      <c r="H89" s="168"/>
      <c r="I89" s="168"/>
      <c r="J89" s="136"/>
      <c r="K89" s="136"/>
      <c r="L89" s="136"/>
      <c r="M89" s="136"/>
      <c r="N89" s="136"/>
      <c r="O89" s="136"/>
      <c r="P89" s="136"/>
      <c r="Q89" s="136"/>
      <c r="R89" s="136"/>
      <c r="S89" s="136"/>
      <c r="T89" s="136"/>
      <c r="U89" s="138"/>
    </row>
    <row r="90">
      <c r="A90" s="133">
        <v>46212.0</v>
      </c>
      <c r="B90" s="160" t="str">
        <f>'COMP. onerado'!D23</f>
        <v>Tampa circular para esgoto e drenagem, em ferro fundido, diâmetro 900 mm</v>
      </c>
      <c r="C90" s="159" t="s">
        <v>267</v>
      </c>
      <c r="D90" s="136">
        <v>4.0</v>
      </c>
      <c r="E90" s="159" t="s">
        <v>268</v>
      </c>
      <c r="F90" s="159"/>
      <c r="G90" s="136"/>
      <c r="H90" s="168"/>
      <c r="I90" s="168"/>
      <c r="J90" s="136"/>
      <c r="K90" s="136"/>
      <c r="L90" s="136"/>
      <c r="M90" s="136"/>
      <c r="N90" s="136"/>
      <c r="O90" s="136"/>
      <c r="P90" s="136"/>
      <c r="Q90" s="136"/>
      <c r="R90" s="136"/>
      <c r="S90" s="136"/>
      <c r="T90" s="136"/>
      <c r="U90" s="138"/>
    </row>
    <row r="91">
      <c r="A91" s="161"/>
      <c r="B91" s="162"/>
      <c r="C91" s="163"/>
      <c r="D91" s="164"/>
      <c r="E91" s="163"/>
      <c r="F91" s="163"/>
      <c r="G91" s="164"/>
      <c r="H91" s="169"/>
      <c r="I91" s="169"/>
      <c r="J91" s="164"/>
      <c r="K91" s="164"/>
      <c r="L91" s="164"/>
      <c r="M91" s="164"/>
      <c r="N91" s="164"/>
      <c r="O91" s="164"/>
      <c r="P91" s="164"/>
      <c r="Q91" s="164"/>
      <c r="R91" s="164"/>
      <c r="S91" s="164"/>
      <c r="T91" s="164"/>
      <c r="U91" s="165"/>
    </row>
    <row r="92">
      <c r="A92" s="130">
        <v>10.0</v>
      </c>
      <c r="B92" s="71" t="s">
        <v>139</v>
      </c>
      <c r="C92" s="132"/>
      <c r="D92" s="132"/>
      <c r="E92" s="132"/>
      <c r="F92" s="132"/>
      <c r="G92" s="132"/>
      <c r="H92" s="132"/>
      <c r="I92" s="132"/>
      <c r="J92" s="132"/>
      <c r="K92" s="132"/>
      <c r="L92" s="132"/>
      <c r="M92" s="132"/>
      <c r="N92" s="132"/>
      <c r="O92" s="132"/>
      <c r="P92" s="132"/>
      <c r="Q92" s="167"/>
      <c r="R92" s="167"/>
      <c r="S92" s="167"/>
      <c r="T92" s="167"/>
      <c r="U92" s="167"/>
    </row>
    <row r="93">
      <c r="A93" s="126" t="s">
        <v>16</v>
      </c>
      <c r="B93" s="127" t="s">
        <v>193</v>
      </c>
      <c r="C93" s="126" t="s">
        <v>194</v>
      </c>
      <c r="D93" s="126" t="s">
        <v>195</v>
      </c>
      <c r="E93" s="126" t="s">
        <v>269</v>
      </c>
      <c r="F93" s="126" t="s">
        <v>270</v>
      </c>
      <c r="G93" s="128" t="s">
        <v>271</v>
      </c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</row>
    <row r="94">
      <c r="A94" s="133">
        <v>46032.0</v>
      </c>
      <c r="B94" s="160" t="s">
        <v>142</v>
      </c>
      <c r="C94" s="159" t="s">
        <v>49</v>
      </c>
      <c r="D94" s="136">
        <f>E94+F94+G94</f>
        <v>95.17544</v>
      </c>
      <c r="E94" s="136">
        <v>30.3384</v>
      </c>
      <c r="F94" s="136">
        <v>62.94704</v>
      </c>
      <c r="G94" s="171">
        <f>0.9*2.1</f>
        <v>1.89</v>
      </c>
      <c r="H94" s="171"/>
      <c r="I94" s="155"/>
      <c r="J94" s="171"/>
      <c r="K94" s="171"/>
      <c r="L94" s="171"/>
      <c r="M94" s="171"/>
      <c r="N94" s="171"/>
      <c r="O94" s="171"/>
      <c r="P94" s="171"/>
      <c r="Q94" s="171"/>
      <c r="R94" s="171"/>
      <c r="S94" s="171"/>
      <c r="T94" s="171"/>
      <c r="U94" s="171"/>
    </row>
    <row r="95">
      <c r="A95" s="126" t="s">
        <v>16</v>
      </c>
      <c r="B95" s="127" t="s">
        <v>193</v>
      </c>
      <c r="C95" s="126" t="s">
        <v>194</v>
      </c>
      <c r="D95" s="126" t="s">
        <v>195</v>
      </c>
      <c r="E95" s="126" t="s">
        <v>269</v>
      </c>
      <c r="F95" s="126" t="s">
        <v>270</v>
      </c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</row>
    <row r="96">
      <c r="A96" s="133">
        <v>46063.0</v>
      </c>
      <c r="B96" s="160" t="s">
        <v>140</v>
      </c>
      <c r="C96" s="159" t="s">
        <v>141</v>
      </c>
      <c r="D96" s="136">
        <v>137.0</v>
      </c>
      <c r="E96" s="136">
        <v>10.95</v>
      </c>
      <c r="F96" s="136">
        <v>52.35</v>
      </c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8"/>
      <c r="S96" s="138"/>
      <c r="T96" s="138"/>
      <c r="U96" s="138"/>
    </row>
    <row r="97" hidden="1">
      <c r="A97" s="133"/>
      <c r="B97" s="160"/>
      <c r="C97" s="159"/>
      <c r="D97" s="136"/>
      <c r="E97" s="159"/>
      <c r="F97" s="159"/>
      <c r="G97" s="136"/>
      <c r="H97" s="168"/>
      <c r="I97" s="168"/>
      <c r="J97" s="136"/>
      <c r="K97" s="136"/>
      <c r="L97" s="136"/>
      <c r="M97" s="136"/>
      <c r="N97" s="136"/>
      <c r="O97" s="136"/>
      <c r="P97" s="136"/>
      <c r="Q97" s="136"/>
      <c r="R97" s="136"/>
      <c r="S97" s="136"/>
      <c r="T97" s="136"/>
      <c r="U97" s="138"/>
    </row>
    <row r="98" hidden="1">
      <c r="A98" s="133"/>
      <c r="B98" s="160"/>
      <c r="C98" s="159"/>
      <c r="D98" s="136"/>
      <c r="E98" s="159"/>
      <c r="F98" s="159"/>
      <c r="G98" s="136"/>
      <c r="H98" s="168"/>
      <c r="I98" s="168"/>
      <c r="J98" s="136"/>
      <c r="K98" s="136"/>
      <c r="L98" s="136"/>
      <c r="M98" s="136"/>
      <c r="N98" s="136"/>
      <c r="O98" s="136"/>
      <c r="P98" s="136"/>
      <c r="Q98" s="136"/>
      <c r="R98" s="136"/>
      <c r="S98" s="136"/>
      <c r="T98" s="136"/>
      <c r="U98" s="138"/>
    </row>
    <row r="99" hidden="1">
      <c r="A99" s="133"/>
      <c r="B99" s="160"/>
      <c r="C99" s="159"/>
      <c r="D99" s="136"/>
      <c r="E99" s="159"/>
      <c r="F99" s="159"/>
      <c r="G99" s="136"/>
      <c r="H99" s="168"/>
      <c r="I99" s="168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8"/>
    </row>
    <row r="100" hidden="1">
      <c r="A100" s="133"/>
      <c r="B100" s="160"/>
      <c r="C100" s="159"/>
      <c r="D100" s="136"/>
      <c r="E100" s="159"/>
      <c r="F100" s="159"/>
      <c r="G100" s="136"/>
      <c r="H100" s="168"/>
      <c r="I100" s="168"/>
      <c r="J100" s="136"/>
      <c r="K100" s="136"/>
      <c r="L100" s="136"/>
      <c r="M100" s="136"/>
      <c r="N100" s="136"/>
      <c r="O100" s="136"/>
      <c r="P100" s="136"/>
      <c r="Q100" s="136"/>
      <c r="R100" s="136"/>
      <c r="S100" s="136"/>
      <c r="T100" s="136"/>
      <c r="U100" s="138"/>
    </row>
    <row r="101" hidden="1">
      <c r="A101" s="133"/>
      <c r="B101" s="160"/>
      <c r="C101" s="159"/>
      <c r="D101" s="136"/>
      <c r="E101" s="159"/>
      <c r="F101" s="159"/>
      <c r="G101" s="136"/>
      <c r="H101" s="168"/>
      <c r="I101" s="168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8"/>
    </row>
    <row r="102">
      <c r="A102" s="161"/>
      <c r="B102" s="162"/>
      <c r="C102" s="163"/>
      <c r="D102" s="164"/>
      <c r="E102" s="163"/>
      <c r="F102" s="163"/>
      <c r="G102" s="164"/>
      <c r="H102" s="169"/>
      <c r="I102" s="169"/>
      <c r="J102" s="164"/>
      <c r="K102" s="164"/>
      <c r="L102" s="164"/>
      <c r="M102" s="164"/>
      <c r="N102" s="164"/>
      <c r="O102" s="164"/>
      <c r="P102" s="164"/>
      <c r="Q102" s="164"/>
      <c r="R102" s="164"/>
      <c r="S102" s="164"/>
      <c r="T102" s="164"/>
      <c r="U102" s="165"/>
    </row>
    <row r="103">
      <c r="A103" s="130">
        <v>11.0</v>
      </c>
      <c r="B103" s="71" t="s">
        <v>144</v>
      </c>
      <c r="C103" s="132"/>
      <c r="D103" s="132"/>
      <c r="E103" s="132"/>
      <c r="F103" s="132"/>
      <c r="G103" s="132"/>
      <c r="H103" s="132"/>
      <c r="I103" s="132"/>
      <c r="J103" s="132"/>
      <c r="K103" s="132"/>
      <c r="L103" s="132"/>
      <c r="M103" s="132"/>
      <c r="N103" s="132"/>
      <c r="O103" s="132"/>
      <c r="P103" s="132"/>
      <c r="Q103" s="167"/>
      <c r="R103" s="167"/>
      <c r="S103" s="167"/>
      <c r="T103" s="167"/>
      <c r="U103" s="167"/>
    </row>
    <row r="104">
      <c r="A104" s="133" t="str">
        <f>'ORÇA onerado'!A78</f>
        <v>11.01</v>
      </c>
      <c r="B104" s="134" t="str">
        <f>'ORÇA onerado'!D78</f>
        <v>Revestimento cerâmico para piso ou parede, 50 x 50 cm, antiderrapante (porcelanato), Elizabeth ou similar, aplicado com argamassa industrializada ac-iii, rejuntado, exclusive regularização de base ou emboço</v>
      </c>
      <c r="C104" s="134" t="str">
        <f>'ORÇA onerado'!E78</f>
        <v>m2</v>
      </c>
      <c r="D104" s="136">
        <v>136.3626</v>
      </c>
      <c r="E104" s="159" t="s">
        <v>272</v>
      </c>
      <c r="F104" s="159"/>
      <c r="G104" s="136"/>
      <c r="H104" s="168"/>
      <c r="I104" s="168"/>
      <c r="J104" s="136"/>
      <c r="K104" s="136"/>
      <c r="L104" s="136"/>
      <c r="M104" s="136"/>
      <c r="N104" s="136"/>
      <c r="O104" s="136"/>
      <c r="P104" s="136"/>
      <c r="Q104" s="136"/>
      <c r="R104" s="136"/>
      <c r="S104" s="136"/>
      <c r="T104" s="136"/>
      <c r="U104" s="138"/>
    </row>
    <row r="105">
      <c r="A105" s="133" t="str">
        <f>'ORÇA onerado'!A79</f>
        <v>11.02</v>
      </c>
      <c r="B105" s="134" t="str">
        <f>'ORÇA onerado'!D79</f>
        <v>REGULARIZAÇÃO (1:3) E=2 CM</v>
      </c>
      <c r="C105" s="134" t="str">
        <f>'ORÇA onerado'!E79</f>
        <v>m2</v>
      </c>
      <c r="D105" s="136">
        <f>D104+D106</f>
        <v>201.6598</v>
      </c>
      <c r="E105" s="159" t="s">
        <v>273</v>
      </c>
      <c r="F105" s="159"/>
      <c r="G105" s="136"/>
      <c r="H105" s="168"/>
      <c r="I105" s="168"/>
      <c r="J105" s="136"/>
      <c r="K105" s="136"/>
      <c r="L105" s="136"/>
      <c r="M105" s="136"/>
      <c r="N105" s="136"/>
      <c r="O105" s="136"/>
      <c r="P105" s="136"/>
      <c r="Q105" s="136"/>
      <c r="R105" s="136"/>
      <c r="S105" s="136"/>
      <c r="T105" s="136"/>
      <c r="U105" s="138"/>
    </row>
    <row r="106">
      <c r="A106" s="133" t="str">
        <f>'ORÇA onerado'!A80</f>
        <v>11.03</v>
      </c>
      <c r="B106" s="134" t="str">
        <f>'ORÇA onerado'!D80</f>
        <v>PISO EM CONCRETO ARMADO E=20CM BAIA TERM.RODOVIARIO 30MPA(3X3 M)COMP./S.LEITO</v>
      </c>
      <c r="C106" s="134" t="str">
        <f>'ORÇA onerado'!E80</f>
        <v>m2</v>
      </c>
      <c r="D106" s="136">
        <v>65.2972</v>
      </c>
      <c r="E106" s="159" t="s">
        <v>274</v>
      </c>
      <c r="F106" s="159"/>
      <c r="G106" s="136"/>
      <c r="H106" s="168"/>
      <c r="I106" s="168"/>
      <c r="J106" s="136"/>
      <c r="K106" s="136"/>
      <c r="L106" s="136"/>
      <c r="M106" s="136"/>
      <c r="N106" s="136"/>
      <c r="O106" s="136"/>
      <c r="P106" s="136"/>
      <c r="Q106" s="136"/>
      <c r="R106" s="136"/>
      <c r="S106" s="136"/>
      <c r="T106" s="136"/>
      <c r="U106" s="138"/>
    </row>
    <row r="107">
      <c r="A107" s="133" t="str">
        <f>'ORÇA onerado'!A81</f>
        <v>11.04</v>
      </c>
      <c r="B107" s="134" t="str">
        <f>'ORÇA onerado'!D81</f>
        <v>RODAPÉ DE CERÂMICA ANTIDERRAPANTE COM ARGAMASSA COLANTE</v>
      </c>
      <c r="C107" s="134" t="str">
        <f>'ORÇA onerado'!E81</f>
        <v>m</v>
      </c>
      <c r="D107" s="136">
        <v>23.0</v>
      </c>
      <c r="E107" s="159" t="s">
        <v>275</v>
      </c>
      <c r="F107" s="159"/>
      <c r="G107" s="136"/>
      <c r="H107" s="168"/>
      <c r="I107" s="168"/>
      <c r="J107" s="136"/>
      <c r="K107" s="136"/>
      <c r="L107" s="136"/>
      <c r="M107" s="136"/>
      <c r="N107" s="136"/>
      <c r="O107" s="136"/>
      <c r="P107" s="136"/>
      <c r="Q107" s="136"/>
      <c r="R107" s="136"/>
      <c r="S107" s="136"/>
      <c r="T107" s="136"/>
      <c r="U107" s="138"/>
    </row>
    <row r="108">
      <c r="A108" s="133" t="str">
        <f>'ORÇA onerado'!A82</f>
        <v>11.05</v>
      </c>
      <c r="B108" s="134" t="str">
        <f>'ORÇA onerado'!D82</f>
        <v>MEIO FIO PD. GOINFRA EM CONC. PRÉ MOLD. RETO/CURVO (9v12X30X100CM), FC28=20MPA COM ARGAM.(1CI:3ARMLC) P/ARREMATE DO REJUNT. - INCLUSO ESCAV./APILOAM./REATERRO E CONC.FC28= 10MPA P/ ASSENTAM. E CHUMBAMENTO</v>
      </c>
      <c r="C108" s="134" t="str">
        <f>'ORÇA onerado'!E82</f>
        <v>m</v>
      </c>
      <c r="D108" s="136">
        <v>35.4226</v>
      </c>
      <c r="E108" s="159" t="s">
        <v>274</v>
      </c>
      <c r="F108" s="159"/>
      <c r="G108" s="136"/>
      <c r="H108" s="168"/>
      <c r="I108" s="168"/>
      <c r="J108" s="136"/>
      <c r="K108" s="136"/>
      <c r="L108" s="136"/>
      <c r="M108" s="136"/>
      <c r="N108" s="136"/>
      <c r="O108" s="136"/>
      <c r="P108" s="136"/>
      <c r="Q108" s="136"/>
      <c r="R108" s="136"/>
      <c r="S108" s="136"/>
      <c r="T108" s="136"/>
      <c r="U108" s="138"/>
    </row>
    <row r="109">
      <c r="A109" s="133" t="str">
        <f>'ORÇA onerado'!A83</f>
        <v>11.06</v>
      </c>
      <c r="B109" s="134" t="str">
        <f>'ORÇA onerado'!D83</f>
        <v>Pintura de piso com tinta acrílica, aplicação manual, 2 demãos, incluso fundo preparador. af_05/2021</v>
      </c>
      <c r="C109" s="134" t="str">
        <f>'ORÇA onerado'!E83</f>
        <v>m2</v>
      </c>
      <c r="D109" s="136">
        <f t="shared" ref="D109:D110" si="2">301.4126+60.5567+22.4089</f>
        <v>384.3782</v>
      </c>
      <c r="E109" s="159" t="s">
        <v>276</v>
      </c>
      <c r="F109" s="159"/>
      <c r="G109" s="136"/>
      <c r="H109" s="168"/>
      <c r="I109" s="168"/>
      <c r="J109" s="136"/>
      <c r="K109" s="136"/>
      <c r="L109" s="136"/>
      <c r="M109" s="136"/>
      <c r="N109" s="136"/>
      <c r="O109" s="136"/>
      <c r="P109" s="136"/>
      <c r="Q109" s="136"/>
      <c r="R109" s="136"/>
      <c r="S109" s="136"/>
      <c r="T109" s="136"/>
      <c r="U109" s="138"/>
    </row>
    <row r="110">
      <c r="A110" s="133" t="str">
        <f>'ORÇA onerado'!A84</f>
        <v>11.07</v>
      </c>
      <c r="B110" s="134" t="str">
        <f>'ORÇA onerado'!D84</f>
        <v>LIMPEZA DO SUBSTRATO COM APLICAÇÃO DE JATO DE ÁGUA FRIA</v>
      </c>
      <c r="C110" s="134" t="str">
        <f>'ORÇA onerado'!E84</f>
        <v>m2</v>
      </c>
      <c r="D110" s="136">
        <f t="shared" si="2"/>
        <v>384.3782</v>
      </c>
      <c r="E110" s="159" t="s">
        <v>276</v>
      </c>
      <c r="F110" s="159"/>
      <c r="G110" s="136"/>
      <c r="H110" s="168"/>
      <c r="I110" s="168"/>
      <c r="J110" s="136"/>
      <c r="K110" s="136"/>
      <c r="L110" s="136"/>
      <c r="M110" s="136"/>
      <c r="N110" s="136"/>
      <c r="O110" s="136"/>
      <c r="P110" s="136"/>
      <c r="Q110" s="136"/>
      <c r="R110" s="136"/>
      <c r="S110" s="136"/>
      <c r="T110" s="136"/>
      <c r="U110" s="138"/>
    </row>
    <row r="111">
      <c r="A111" s="133" t="str">
        <f>'ORÇA onerado'!A85</f>
        <v>11.08</v>
      </c>
      <c r="B111" s="134" t="str">
        <f>'ORÇA onerado'!D85</f>
        <v>REGULARIZAÇÃO DO TERRENO SEM APILOAMENTO COM TRANSPORTE MANUAL DA TERRA ESCAVADA</v>
      </c>
      <c r="C111" s="134" t="str">
        <f>'ORÇA onerado'!E85</f>
        <v>m2</v>
      </c>
      <c r="D111" s="136">
        <f t="shared" ref="D111:D112" si="3">87*1.5</f>
        <v>130.5</v>
      </c>
      <c r="E111" s="159" t="s">
        <v>277</v>
      </c>
      <c r="F111" s="159"/>
      <c r="G111" s="136"/>
      <c r="H111" s="168"/>
      <c r="I111" s="168"/>
      <c r="J111" s="136"/>
      <c r="K111" s="136"/>
      <c r="L111" s="136"/>
      <c r="M111" s="136"/>
      <c r="N111" s="136"/>
      <c r="O111" s="136"/>
      <c r="P111" s="136"/>
      <c r="Q111" s="136"/>
      <c r="R111" s="136"/>
      <c r="S111" s="136"/>
      <c r="T111" s="136"/>
      <c r="U111" s="138"/>
    </row>
    <row r="112">
      <c r="A112" s="133" t="str">
        <f>'ORÇA onerado'!A86</f>
        <v>11.09</v>
      </c>
      <c r="B112" s="134" t="str">
        <f>'ORÇA onerado'!D86</f>
        <v>APILOAMENTO MECÂNICO</v>
      </c>
      <c r="C112" s="134" t="str">
        <f>'ORÇA onerado'!E86</f>
        <v>m2</v>
      </c>
      <c r="D112" s="136">
        <f t="shared" si="3"/>
        <v>130.5</v>
      </c>
      <c r="E112" s="159" t="s">
        <v>277</v>
      </c>
      <c r="F112" s="159"/>
      <c r="G112" s="136"/>
      <c r="H112" s="168"/>
      <c r="I112" s="168"/>
      <c r="J112" s="136"/>
      <c r="K112" s="136"/>
      <c r="L112" s="136"/>
      <c r="M112" s="136"/>
      <c r="N112" s="136"/>
      <c r="O112" s="136"/>
      <c r="P112" s="136"/>
      <c r="Q112" s="136"/>
      <c r="R112" s="136"/>
      <c r="S112" s="136"/>
      <c r="T112" s="136"/>
      <c r="U112" s="138"/>
    </row>
    <row r="113">
      <c r="A113" s="133" t="str">
        <f>'ORÇA onerado'!A87</f>
        <v>11.10</v>
      </c>
      <c r="B113" s="134" t="str">
        <f>'ORÇA onerado'!D87</f>
        <v>DEMOLIÇÃO MANUAL DE PISO EM LADRILHO HIDRAULICO COM TRANSPORTE ATE CAÇAMBA E CARGA</v>
      </c>
      <c r="C113" s="134" t="str">
        <f>'ORÇA onerado'!E87</f>
        <v>m2</v>
      </c>
      <c r="D113" s="136">
        <f>D114</f>
        <v>11.8125</v>
      </c>
      <c r="E113" s="159" t="s">
        <v>278</v>
      </c>
      <c r="F113" s="159"/>
      <c r="G113" s="136"/>
      <c r="H113" s="168"/>
      <c r="I113" s="168"/>
      <c r="J113" s="136"/>
      <c r="K113" s="136"/>
      <c r="L113" s="136"/>
      <c r="M113" s="136"/>
      <c r="N113" s="136"/>
      <c r="O113" s="136"/>
      <c r="P113" s="136"/>
      <c r="Q113" s="136"/>
      <c r="R113" s="136"/>
      <c r="S113" s="136"/>
      <c r="T113" s="136"/>
      <c r="U113" s="138"/>
    </row>
    <row r="114">
      <c r="A114" s="133" t="str">
        <f>'ORÇA onerado'!A88</f>
        <v>11.11</v>
      </c>
      <c r="B114" s="134" t="str">
        <f>'ORÇA onerado'!D88</f>
        <v>PISO DE LADRILHO HIDRÁULICO COLORIDO MODELO TÁTIL ( ALERTA OU DIRECIONAL) SEM LASTRO</v>
      </c>
      <c r="C114" s="134" t="str">
        <f>'ORÇA onerado'!E88</f>
        <v>m²</v>
      </c>
      <c r="D114" s="136">
        <f t="shared" ref="D114:D115" si="4">0.25*0.25*189</f>
        <v>11.8125</v>
      </c>
      <c r="E114" s="159" t="s">
        <v>278</v>
      </c>
      <c r="F114" s="159"/>
      <c r="G114" s="136"/>
      <c r="H114" s="168"/>
      <c r="I114" s="168"/>
      <c r="J114" s="136"/>
      <c r="K114" s="136"/>
      <c r="L114" s="136"/>
      <c r="M114" s="136"/>
      <c r="N114" s="136"/>
      <c r="O114" s="136"/>
      <c r="P114" s="136"/>
      <c r="Q114" s="136"/>
      <c r="R114" s="136"/>
      <c r="S114" s="136"/>
      <c r="T114" s="136"/>
      <c r="U114" s="138"/>
    </row>
    <row r="115">
      <c r="A115" s="159" t="s">
        <v>279</v>
      </c>
      <c r="B115" s="160" t="s">
        <v>280</v>
      </c>
      <c r="C115" s="134" t="str">
        <f>'ORÇA onerado'!E89</f>
        <v>m2</v>
      </c>
      <c r="D115" s="136">
        <f t="shared" si="4"/>
        <v>11.8125</v>
      </c>
      <c r="E115" s="159" t="s">
        <v>278</v>
      </c>
      <c r="F115" s="159"/>
      <c r="G115" s="136"/>
      <c r="H115" s="168"/>
      <c r="I115" s="168"/>
      <c r="J115" s="136"/>
      <c r="K115" s="136"/>
      <c r="L115" s="136"/>
      <c r="M115" s="136"/>
      <c r="N115" s="136"/>
      <c r="O115" s="136"/>
      <c r="P115" s="136"/>
      <c r="Q115" s="136"/>
      <c r="R115" s="136"/>
      <c r="S115" s="136"/>
      <c r="T115" s="136"/>
      <c r="U115" s="138"/>
    </row>
    <row r="116">
      <c r="A116" s="161"/>
      <c r="B116" s="162"/>
      <c r="C116" s="163"/>
      <c r="D116" s="164"/>
      <c r="E116" s="163"/>
      <c r="F116" s="163"/>
      <c r="G116" s="164"/>
      <c r="H116" s="169"/>
      <c r="I116" s="169"/>
      <c r="J116" s="164"/>
      <c r="K116" s="164"/>
      <c r="L116" s="164"/>
      <c r="M116" s="164"/>
      <c r="N116" s="164"/>
      <c r="O116" s="164"/>
      <c r="P116" s="164"/>
      <c r="Q116" s="164"/>
      <c r="R116" s="164"/>
      <c r="S116" s="164"/>
      <c r="T116" s="164"/>
      <c r="U116" s="165"/>
    </row>
    <row r="117">
      <c r="A117" s="130">
        <v>12.0</v>
      </c>
      <c r="B117" s="71" t="s">
        <v>171</v>
      </c>
      <c r="C117" s="132"/>
      <c r="D117" s="132"/>
      <c r="E117" s="132"/>
      <c r="F117" s="132"/>
      <c r="G117" s="132"/>
      <c r="H117" s="132"/>
      <c r="I117" s="132"/>
      <c r="J117" s="132"/>
      <c r="K117" s="132"/>
      <c r="L117" s="132"/>
      <c r="M117" s="132"/>
      <c r="N117" s="132"/>
      <c r="O117" s="132"/>
      <c r="P117" s="132"/>
      <c r="Q117" s="167"/>
      <c r="R117" s="167"/>
      <c r="S117" s="167"/>
      <c r="T117" s="167"/>
      <c r="U117" s="167"/>
    </row>
    <row r="118">
      <c r="A118" s="126" t="s">
        <v>16</v>
      </c>
      <c r="B118" s="127" t="s">
        <v>193</v>
      </c>
      <c r="C118" s="126" t="s">
        <v>194</v>
      </c>
      <c r="D118" s="126" t="s">
        <v>195</v>
      </c>
      <c r="E118" s="128" t="s">
        <v>270</v>
      </c>
      <c r="F118" s="126" t="s">
        <v>281</v>
      </c>
      <c r="G118" s="128" t="s">
        <v>282</v>
      </c>
      <c r="H118" s="128" t="s">
        <v>271</v>
      </c>
      <c r="I118" s="128" t="s">
        <v>283</v>
      </c>
      <c r="J118" s="128" t="s">
        <v>269</v>
      </c>
      <c r="K118" s="128" t="s">
        <v>284</v>
      </c>
      <c r="L118" s="128" t="s">
        <v>285</v>
      </c>
      <c r="M118" s="128" t="s">
        <v>286</v>
      </c>
      <c r="N118" s="129"/>
      <c r="O118" s="129"/>
      <c r="P118" s="129"/>
      <c r="Q118" s="129"/>
      <c r="R118" s="129"/>
      <c r="S118" s="129"/>
      <c r="T118" s="129"/>
      <c r="U118" s="129"/>
    </row>
    <row r="119">
      <c r="A119" s="133">
        <v>46034.0</v>
      </c>
      <c r="B119" s="134" t="str">
        <f>'ORÇA onerado'!D91</f>
        <v>PINTURA TEXTURIZADA C/SELADOR ACRILICO (MANTER COR ORIGINAL: ELEFANTE E/OU CÉU CHUVOSO)</v>
      </c>
      <c r="C119" s="159" t="s">
        <v>49</v>
      </c>
      <c r="D119" s="144">
        <f>SUM(E119:M119)</f>
        <v>9215.73</v>
      </c>
      <c r="E119" s="145">
        <v>1215.64</v>
      </c>
      <c r="F119" s="145">
        <v>404.24</v>
      </c>
      <c r="G119" s="174">
        <v>2845.31</v>
      </c>
      <c r="H119" s="174">
        <v>422.08</v>
      </c>
      <c r="I119" s="174">
        <v>3975.84</v>
      </c>
      <c r="J119" s="174">
        <v>59.12</v>
      </c>
      <c r="K119" s="174">
        <v>92.89</v>
      </c>
      <c r="L119" s="174">
        <v>36.03</v>
      </c>
      <c r="M119" s="174">
        <v>164.58</v>
      </c>
      <c r="N119" s="175"/>
      <c r="O119" s="175"/>
      <c r="P119" s="175"/>
      <c r="Q119" s="175"/>
      <c r="R119" s="175"/>
      <c r="S119" s="175"/>
      <c r="T119" s="175"/>
      <c r="U119" s="175"/>
    </row>
    <row r="120">
      <c r="A120" s="126" t="s">
        <v>16</v>
      </c>
      <c r="B120" s="127" t="s">
        <v>193</v>
      </c>
      <c r="C120" s="126" t="s">
        <v>194</v>
      </c>
      <c r="D120" s="126" t="s">
        <v>195</v>
      </c>
      <c r="E120" s="126" t="s">
        <v>270</v>
      </c>
      <c r="F120" s="126" t="s">
        <v>281</v>
      </c>
      <c r="G120" s="128" t="s">
        <v>271</v>
      </c>
      <c r="H120" s="128" t="s">
        <v>283</v>
      </c>
      <c r="I120" s="128" t="s">
        <v>269</v>
      </c>
      <c r="J120" s="128" t="s">
        <v>287</v>
      </c>
      <c r="K120" s="128" t="s">
        <v>282</v>
      </c>
      <c r="L120" s="129"/>
      <c r="M120" s="129"/>
      <c r="N120" s="129"/>
      <c r="O120" s="129"/>
      <c r="P120" s="129"/>
      <c r="Q120" s="129"/>
      <c r="R120" s="129"/>
      <c r="S120" s="129"/>
      <c r="T120" s="129"/>
      <c r="U120" s="129"/>
    </row>
    <row r="121">
      <c r="A121" s="133">
        <f>'ORÇA onerado'!A92</f>
        <v>46065</v>
      </c>
      <c r="B121" s="134" t="str">
        <f>'ORÇA onerado'!D92</f>
        <v>PINTURA PVA LATEX 2 DEMAOS SEM SELADOR (REPINTAR TODO O TETOS DO BLOCOS)</v>
      </c>
      <c r="C121" s="135" t="str">
        <f>'ORÇA onerado'!E92</f>
        <v>m2</v>
      </c>
      <c r="D121" s="144">
        <f>E121+F121+G121+H121+I121+J121+K121</f>
        <v>3489.43</v>
      </c>
      <c r="E121" s="145">
        <v>549.84</v>
      </c>
      <c r="F121" s="145">
        <v>762.46</v>
      </c>
      <c r="G121" s="174">
        <v>708.29</v>
      </c>
      <c r="H121" s="174">
        <v>804.54</v>
      </c>
      <c r="I121" s="174">
        <v>62.25</v>
      </c>
      <c r="J121" s="174">
        <v>25.39</v>
      </c>
      <c r="K121" s="174">
        <v>576.66</v>
      </c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</row>
    <row r="122">
      <c r="A122" s="133">
        <f>'ORÇA onerado'!A93</f>
        <v>46093</v>
      </c>
      <c r="B122" s="134" t="str">
        <f>'ORÇA onerado'!D93</f>
        <v>PINTURA LATEX ACRILICA 2 DEMAOS C/SELADOR (REPINTAR TODAS AS PAREDES INTERNAS DO BLOCOS) </v>
      </c>
      <c r="C122" s="135" t="str">
        <f>'ORÇA onerado'!E93</f>
        <v>m2</v>
      </c>
      <c r="D122" s="144">
        <f>F122+G122+H122+I122+J122+K122+E122</f>
        <v>4979.486</v>
      </c>
      <c r="E122" s="159">
        <f>386-((5.1+5.1+2.84)*2.1+(1.6*0.6)+3*(3*1.7)+3*(0.8*2.1)+2*(0.9*2.1))</f>
        <v>333.536</v>
      </c>
      <c r="F122" s="159">
        <f>1134.69</f>
        <v>1134.69</v>
      </c>
      <c r="G122" s="136">
        <v>1173.49</v>
      </c>
      <c r="H122" s="168">
        <f>869.81+433.48+534.62</f>
        <v>1837.91</v>
      </c>
      <c r="I122" s="168">
        <v>45.74</v>
      </c>
      <c r="J122" s="136">
        <v>0.0</v>
      </c>
      <c r="K122" s="136">
        <v>454.12</v>
      </c>
      <c r="L122" s="136"/>
      <c r="M122" s="136"/>
      <c r="N122" s="136"/>
      <c r="O122" s="136"/>
      <c r="P122" s="136"/>
      <c r="Q122" s="136"/>
      <c r="R122" s="136"/>
      <c r="S122" s="136"/>
      <c r="T122" s="136"/>
      <c r="U122" s="138"/>
    </row>
    <row r="123">
      <c r="A123" s="133">
        <v>46124.0</v>
      </c>
      <c r="B123" s="134" t="str">
        <f>'ORÇA onerado'!D94</f>
        <v>EMASSAMENTO COM MASSA PVA DUAS DEMAOS ( TETO)</v>
      </c>
      <c r="C123" s="135" t="str">
        <f>'ORÇA onerado'!E94</f>
        <v>m2</v>
      </c>
      <c r="D123" s="136">
        <f t="shared" ref="D123:D124" si="5">D121*0.3</f>
        <v>1046.829</v>
      </c>
      <c r="E123" s="159" t="s">
        <v>288</v>
      </c>
      <c r="F123" s="159"/>
      <c r="G123" s="136"/>
      <c r="H123" s="168"/>
      <c r="I123" s="168"/>
      <c r="J123" s="136"/>
      <c r="K123" s="136"/>
      <c r="L123" s="136"/>
      <c r="M123" s="136"/>
      <c r="N123" s="136"/>
      <c r="O123" s="136"/>
      <c r="P123" s="136"/>
      <c r="Q123" s="136"/>
      <c r="R123" s="136"/>
      <c r="S123" s="136"/>
      <c r="T123" s="136"/>
      <c r="U123" s="138"/>
    </row>
    <row r="124">
      <c r="A124" s="133">
        <f>'ORÇA onerado'!A95</f>
        <v>46154</v>
      </c>
      <c r="B124" s="134" t="str">
        <f>'ORÇA onerado'!D95</f>
        <v>EMASSAMENTO ACRÍLICO 1 DEMÃO EM PAREDE</v>
      </c>
      <c r="C124" s="135" t="str">
        <f>'ORÇA onerado'!E95</f>
        <v>m2</v>
      </c>
      <c r="D124" s="136">
        <f t="shared" si="5"/>
        <v>1493.8458</v>
      </c>
      <c r="E124" s="159" t="s">
        <v>288</v>
      </c>
      <c r="F124" s="159"/>
      <c r="G124" s="136"/>
      <c r="H124" s="168"/>
      <c r="I124" s="168"/>
      <c r="J124" s="136"/>
      <c r="K124" s="136"/>
      <c r="L124" s="136"/>
      <c r="M124" s="136"/>
      <c r="N124" s="136"/>
      <c r="O124" s="136"/>
      <c r="P124" s="136"/>
      <c r="Q124" s="136"/>
      <c r="R124" s="136"/>
      <c r="S124" s="136"/>
      <c r="T124" s="136"/>
      <c r="U124" s="138"/>
    </row>
    <row r="125">
      <c r="A125" s="133">
        <v>46185.0</v>
      </c>
      <c r="B125" s="134" t="str">
        <f>'ORÇA onerado'!D96</f>
        <v>Pintura para exteriores, sobre paredes, com lixamento, aplicação de 01 demão de líquido selador acrílico e 01 demão de textura riscada em cores diversas, com uso de desempenadeira</v>
      </c>
      <c r="C125" s="135" t="str">
        <f>'ORÇA onerado'!E96</f>
        <v>m2</v>
      </c>
      <c r="D125" s="136">
        <f>16.4558*0.4+(2.9*7.01)+2*( 5.97+18.68*0.8)+6.98*3</f>
        <v>89.67932</v>
      </c>
      <c r="E125" s="159" t="s">
        <v>289</v>
      </c>
      <c r="F125" s="159" t="s">
        <v>290</v>
      </c>
      <c r="G125" s="136" t="s">
        <v>291</v>
      </c>
      <c r="H125" s="168" t="s">
        <v>292</v>
      </c>
      <c r="I125" s="168"/>
      <c r="J125" s="136"/>
      <c r="K125" s="136"/>
      <c r="L125" s="136"/>
      <c r="M125" s="136"/>
      <c r="N125" s="136"/>
      <c r="O125" s="136"/>
      <c r="P125" s="136"/>
      <c r="Q125" s="136"/>
      <c r="R125" s="136"/>
      <c r="S125" s="136"/>
      <c r="T125" s="136"/>
      <c r="U125" s="138"/>
    </row>
    <row r="126">
      <c r="A126" s="161"/>
      <c r="B126" s="162"/>
      <c r="C126" s="163"/>
      <c r="D126" s="164"/>
      <c r="E126" s="163"/>
      <c r="F126" s="163"/>
      <c r="G126" s="164"/>
      <c r="H126" s="169"/>
      <c r="I126" s="169"/>
      <c r="J126" s="164"/>
      <c r="K126" s="164"/>
      <c r="L126" s="164"/>
      <c r="M126" s="164"/>
      <c r="N126" s="164"/>
      <c r="O126" s="164"/>
      <c r="P126" s="164"/>
      <c r="Q126" s="164"/>
      <c r="R126" s="164"/>
      <c r="S126" s="164"/>
      <c r="T126" s="164"/>
      <c r="U126" s="165"/>
    </row>
    <row r="127">
      <c r="A127" s="130">
        <v>13.0</v>
      </c>
      <c r="B127" s="71" t="s">
        <v>179</v>
      </c>
      <c r="C127" s="132"/>
      <c r="D127" s="132"/>
      <c r="E127" s="132"/>
      <c r="F127" s="132"/>
      <c r="G127" s="132"/>
      <c r="H127" s="132"/>
      <c r="I127" s="132"/>
      <c r="J127" s="132"/>
      <c r="K127" s="132"/>
      <c r="L127" s="132"/>
      <c r="M127" s="132"/>
      <c r="N127" s="132"/>
      <c r="O127" s="132"/>
      <c r="P127" s="132"/>
      <c r="Q127" s="167"/>
      <c r="R127" s="167"/>
      <c r="S127" s="167"/>
      <c r="T127" s="167"/>
      <c r="U127" s="167"/>
    </row>
    <row r="128">
      <c r="A128" s="126" t="s">
        <v>16</v>
      </c>
      <c r="B128" s="127" t="s">
        <v>193</v>
      </c>
      <c r="C128" s="126" t="s">
        <v>194</v>
      </c>
      <c r="D128" s="126" t="s">
        <v>195</v>
      </c>
      <c r="E128" s="126" t="s">
        <v>233</v>
      </c>
      <c r="F128" s="126" t="s">
        <v>234</v>
      </c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9"/>
    </row>
    <row r="129">
      <c r="A129" s="133">
        <v>46035.0</v>
      </c>
      <c r="B129" s="160" t="s">
        <v>180</v>
      </c>
      <c r="C129" s="159" t="s">
        <v>71</v>
      </c>
      <c r="D129" s="136">
        <v>23.0</v>
      </c>
      <c r="E129" s="136">
        <v>14.82</v>
      </c>
      <c r="F129" s="136">
        <v>7.6</v>
      </c>
      <c r="G129" s="138"/>
      <c r="H129" s="138"/>
      <c r="I129" s="138"/>
      <c r="J129" s="138"/>
      <c r="K129" s="138"/>
      <c r="L129" s="138"/>
      <c r="M129" s="138"/>
      <c r="N129" s="138"/>
      <c r="O129" s="138"/>
      <c r="P129" s="138"/>
      <c r="Q129" s="138"/>
      <c r="R129" s="138"/>
      <c r="S129" s="138"/>
      <c r="T129" s="138"/>
      <c r="U129" s="138"/>
    </row>
    <row r="130">
      <c r="A130" s="126" t="s">
        <v>16</v>
      </c>
      <c r="B130" s="127" t="s">
        <v>193</v>
      </c>
      <c r="C130" s="126" t="s">
        <v>194</v>
      </c>
      <c r="D130" s="126" t="s">
        <v>195</v>
      </c>
      <c r="E130" s="126" t="s">
        <v>233</v>
      </c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9"/>
    </row>
    <row r="131">
      <c r="A131" s="133">
        <v>46066.0</v>
      </c>
      <c r="B131" s="160" t="s">
        <v>181</v>
      </c>
      <c r="C131" s="159" t="s">
        <v>71</v>
      </c>
      <c r="D131" s="136">
        <v>8.0</v>
      </c>
      <c r="E131" s="136">
        <v>7.44</v>
      </c>
      <c r="F131" s="138"/>
      <c r="G131" s="138"/>
      <c r="H131" s="138"/>
      <c r="I131" s="138"/>
      <c r="J131" s="138"/>
      <c r="K131" s="138"/>
      <c r="L131" s="138"/>
      <c r="M131" s="138"/>
      <c r="N131" s="138"/>
      <c r="O131" s="138"/>
      <c r="P131" s="138"/>
      <c r="Q131" s="138"/>
      <c r="R131" s="138"/>
      <c r="S131" s="138"/>
      <c r="T131" s="138"/>
      <c r="U131" s="138"/>
    </row>
    <row r="132" hidden="1">
      <c r="A132" s="126" t="s">
        <v>16</v>
      </c>
      <c r="B132" s="127" t="s">
        <v>193</v>
      </c>
      <c r="C132" s="126" t="s">
        <v>194</v>
      </c>
      <c r="D132" s="126" t="s">
        <v>195</v>
      </c>
      <c r="E132" s="126" t="s">
        <v>293</v>
      </c>
      <c r="F132" s="128" t="s">
        <v>294</v>
      </c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9"/>
    </row>
    <row r="133" hidden="1">
      <c r="A133" s="133">
        <v>46095.0</v>
      </c>
      <c r="B133" s="160" t="s">
        <v>295</v>
      </c>
      <c r="C133" s="159" t="s">
        <v>296</v>
      </c>
      <c r="D133" s="176">
        <v>32.0</v>
      </c>
      <c r="E133" s="145">
        <v>333.08</v>
      </c>
      <c r="F133" s="177" t="s">
        <v>297</v>
      </c>
      <c r="G133" s="178"/>
      <c r="H133" s="178"/>
      <c r="I133" s="178"/>
      <c r="J133" s="178"/>
      <c r="K133" s="178"/>
      <c r="L133" s="178"/>
      <c r="M133" s="178"/>
      <c r="N133" s="178"/>
      <c r="O133" s="178"/>
      <c r="P133" s="178"/>
      <c r="Q133" s="178"/>
      <c r="R133" s="178"/>
      <c r="S133" s="178"/>
      <c r="T133" s="178"/>
      <c r="U133" s="178"/>
    </row>
    <row r="134" hidden="1">
      <c r="A134" s="133">
        <v>46126.0</v>
      </c>
      <c r="B134" s="160" t="s">
        <v>298</v>
      </c>
      <c r="C134" s="159" t="s">
        <v>296</v>
      </c>
      <c r="D134" s="176">
        <v>32.0</v>
      </c>
      <c r="E134" s="145">
        <v>333.08</v>
      </c>
      <c r="F134" s="177" t="s">
        <v>297</v>
      </c>
      <c r="G134" s="178"/>
      <c r="H134" s="178"/>
      <c r="I134" s="178"/>
      <c r="J134" s="178"/>
      <c r="K134" s="178"/>
      <c r="L134" s="178"/>
      <c r="M134" s="178"/>
      <c r="N134" s="178"/>
      <c r="O134" s="178"/>
      <c r="P134" s="178"/>
      <c r="Q134" s="178"/>
      <c r="R134" s="178"/>
      <c r="S134" s="178"/>
      <c r="T134" s="178"/>
      <c r="U134" s="178"/>
    </row>
    <row r="135">
      <c r="A135" s="133">
        <v>46094.0</v>
      </c>
      <c r="B135" s="134" t="str">
        <f>'ORÇA onerado'!D100</f>
        <v>Bate rodas - Segregador para Sinalização Viária</v>
      </c>
      <c r="C135" s="159" t="s">
        <v>194</v>
      </c>
      <c r="D135" s="136">
        <v>6.0</v>
      </c>
      <c r="E135" s="159" t="s">
        <v>299</v>
      </c>
      <c r="F135" s="159"/>
      <c r="G135" s="136"/>
      <c r="H135" s="168"/>
      <c r="I135" s="168"/>
      <c r="J135" s="136"/>
      <c r="K135" s="136"/>
      <c r="L135" s="136"/>
      <c r="M135" s="136"/>
      <c r="N135" s="136"/>
      <c r="O135" s="136"/>
      <c r="P135" s="136"/>
      <c r="Q135" s="136"/>
      <c r="R135" s="136"/>
      <c r="S135" s="136"/>
      <c r="T135" s="136"/>
      <c r="U135" s="138"/>
    </row>
    <row r="136">
      <c r="A136" s="161"/>
      <c r="B136" s="162"/>
      <c r="C136" s="163"/>
      <c r="D136" s="164"/>
      <c r="E136" s="163"/>
      <c r="F136" s="163"/>
      <c r="G136" s="164"/>
      <c r="H136" s="169"/>
      <c r="I136" s="169"/>
      <c r="J136" s="164"/>
      <c r="K136" s="164"/>
      <c r="L136" s="164"/>
      <c r="M136" s="164"/>
      <c r="N136" s="164"/>
      <c r="O136" s="164"/>
      <c r="P136" s="164"/>
      <c r="Q136" s="164"/>
      <c r="R136" s="164"/>
      <c r="S136" s="164"/>
      <c r="T136" s="164"/>
      <c r="U136" s="165"/>
    </row>
    <row r="137">
      <c r="A137" s="130">
        <v>14.0</v>
      </c>
      <c r="B137" s="71" t="s">
        <v>184</v>
      </c>
      <c r="C137" s="132"/>
      <c r="D137" s="132"/>
      <c r="E137" s="132"/>
      <c r="F137" s="132"/>
      <c r="G137" s="132"/>
      <c r="H137" s="132"/>
      <c r="I137" s="132"/>
      <c r="J137" s="132"/>
      <c r="K137" s="132"/>
      <c r="L137" s="132"/>
      <c r="M137" s="132"/>
      <c r="N137" s="132"/>
      <c r="O137" s="132"/>
      <c r="P137" s="132"/>
      <c r="Q137" s="167"/>
      <c r="R137" s="167"/>
      <c r="S137" s="167"/>
      <c r="T137" s="167"/>
      <c r="U137" s="167"/>
    </row>
    <row r="138">
      <c r="A138" s="126" t="s">
        <v>16</v>
      </c>
      <c r="B138" s="127" t="s">
        <v>193</v>
      </c>
      <c r="C138" s="126" t="s">
        <v>194</v>
      </c>
      <c r="D138" s="126" t="s">
        <v>195</v>
      </c>
      <c r="E138" s="126" t="s">
        <v>300</v>
      </c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9"/>
    </row>
    <row r="139">
      <c r="A139" s="133">
        <v>46036.0</v>
      </c>
      <c r="B139" s="160" t="s">
        <v>185</v>
      </c>
      <c r="C139" s="159" t="s">
        <v>51</v>
      </c>
      <c r="D139" s="136">
        <f t="shared" ref="D139:D142" si="6">E139</f>
        <v>3</v>
      </c>
      <c r="E139" s="171">
        <v>3.0</v>
      </c>
      <c r="F139" s="138"/>
      <c r="G139" s="138"/>
      <c r="H139" s="138"/>
      <c r="I139" s="138"/>
      <c r="J139" s="138"/>
      <c r="K139" s="138"/>
      <c r="L139" s="138"/>
      <c r="M139" s="138"/>
      <c r="N139" s="138"/>
      <c r="O139" s="138"/>
      <c r="P139" s="138"/>
      <c r="Q139" s="138"/>
      <c r="R139" s="138"/>
      <c r="S139" s="138"/>
      <c r="T139" s="138"/>
      <c r="U139" s="138"/>
    </row>
    <row r="140">
      <c r="A140" s="133">
        <v>46067.0</v>
      </c>
      <c r="B140" s="160" t="s">
        <v>186</v>
      </c>
      <c r="C140" s="159" t="s">
        <v>51</v>
      </c>
      <c r="D140" s="136">
        <f t="shared" si="6"/>
        <v>3</v>
      </c>
      <c r="E140" s="171">
        <v>3.0</v>
      </c>
      <c r="F140" s="138"/>
      <c r="G140" s="138"/>
      <c r="H140" s="138"/>
      <c r="I140" s="138"/>
      <c r="J140" s="138"/>
      <c r="K140" s="138"/>
      <c r="L140" s="138"/>
      <c r="M140" s="138"/>
      <c r="N140" s="138"/>
      <c r="O140" s="138"/>
      <c r="P140" s="138"/>
      <c r="Q140" s="138"/>
      <c r="R140" s="138"/>
      <c r="S140" s="138"/>
      <c r="T140" s="138"/>
      <c r="U140" s="138"/>
    </row>
    <row r="141">
      <c r="A141" s="133">
        <v>46095.0</v>
      </c>
      <c r="B141" s="160" t="s">
        <v>187</v>
      </c>
      <c r="C141" s="159" t="s">
        <v>51</v>
      </c>
      <c r="D141" s="136">
        <f t="shared" si="6"/>
        <v>3</v>
      </c>
      <c r="E141" s="171">
        <v>3.0</v>
      </c>
      <c r="F141" s="138"/>
      <c r="G141" s="138"/>
      <c r="H141" s="138"/>
      <c r="I141" s="138"/>
      <c r="J141" s="138"/>
      <c r="K141" s="138"/>
      <c r="L141" s="138"/>
      <c r="M141" s="138"/>
      <c r="N141" s="138"/>
      <c r="O141" s="138"/>
      <c r="P141" s="138"/>
      <c r="Q141" s="138"/>
      <c r="R141" s="138"/>
      <c r="S141" s="138"/>
      <c r="T141" s="138"/>
      <c r="U141" s="138"/>
    </row>
    <row r="142">
      <c r="A142" s="133">
        <v>46126.0</v>
      </c>
      <c r="B142" s="160" t="s">
        <v>188</v>
      </c>
      <c r="C142" s="159" t="s">
        <v>51</v>
      </c>
      <c r="D142" s="136">
        <f t="shared" si="6"/>
        <v>3</v>
      </c>
      <c r="E142" s="171">
        <v>3.0</v>
      </c>
      <c r="F142" s="138"/>
      <c r="G142" s="138"/>
      <c r="H142" s="138"/>
      <c r="I142" s="138"/>
      <c r="J142" s="138"/>
      <c r="K142" s="138"/>
      <c r="L142" s="138"/>
      <c r="M142" s="138"/>
      <c r="N142" s="138"/>
      <c r="O142" s="138"/>
      <c r="P142" s="138"/>
      <c r="Q142" s="138"/>
      <c r="R142" s="138"/>
      <c r="S142" s="138"/>
      <c r="T142" s="138"/>
      <c r="U142" s="138"/>
    </row>
  </sheetData>
  <mergeCells count="1">
    <mergeCell ref="A6:D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2" max="2" width="61.75"/>
    <col customWidth="1" min="3" max="3" width="13.13"/>
  </cols>
  <sheetData>
    <row r="1">
      <c r="A1" s="179" t="s">
        <v>0</v>
      </c>
      <c r="B1" s="2" t="s">
        <v>1</v>
      </c>
      <c r="C1" s="180"/>
      <c r="D1" s="181" t="s">
        <v>301</v>
      </c>
      <c r="E1" s="182" t="s">
        <v>302</v>
      </c>
      <c r="F1" s="183"/>
      <c r="G1" s="183"/>
      <c r="H1" s="184" t="s">
        <v>23</v>
      </c>
      <c r="I1" s="185"/>
      <c r="J1" s="186">
        <f>'ORÇA onerado'!F1</f>
        <v>45992</v>
      </c>
    </row>
    <row r="2">
      <c r="A2" s="187" t="s">
        <v>3</v>
      </c>
      <c r="B2" s="2" t="s">
        <v>4</v>
      </c>
      <c r="C2" s="188"/>
      <c r="D2" s="189" t="s">
        <v>24</v>
      </c>
      <c r="E2" s="190" t="s">
        <v>10</v>
      </c>
      <c r="F2" s="53"/>
      <c r="G2" s="53"/>
      <c r="H2" s="53"/>
      <c r="I2" s="53"/>
      <c r="J2" s="53"/>
    </row>
    <row r="3">
      <c r="A3" s="187" t="s">
        <v>7</v>
      </c>
      <c r="B3" s="7" t="s">
        <v>8</v>
      </c>
      <c r="C3" s="188"/>
      <c r="D3" s="191"/>
      <c r="E3" s="183"/>
      <c r="F3" s="192"/>
      <c r="G3" s="183"/>
      <c r="H3" s="183"/>
      <c r="I3" s="183"/>
      <c r="J3" s="183"/>
    </row>
    <row r="4">
      <c r="A4" s="187" t="s">
        <v>11</v>
      </c>
      <c r="B4" s="8" t="s">
        <v>12</v>
      </c>
      <c r="C4" s="188"/>
      <c r="D4" s="193" t="s">
        <v>27</v>
      </c>
      <c r="E4" s="194"/>
      <c r="F4" s="188"/>
      <c r="G4" s="188"/>
      <c r="H4" s="188"/>
      <c r="I4" s="188"/>
      <c r="J4" s="188"/>
    </row>
    <row r="5">
      <c r="A5" s="195" t="s">
        <v>13</v>
      </c>
      <c r="B5" s="2" t="s">
        <v>14</v>
      </c>
      <c r="C5" s="180"/>
      <c r="D5" s="193" t="s">
        <v>28</v>
      </c>
      <c r="E5" s="194"/>
      <c r="F5" s="188"/>
      <c r="G5" s="188"/>
      <c r="H5" s="188"/>
      <c r="I5" s="188"/>
      <c r="J5" s="188"/>
    </row>
    <row r="6">
      <c r="A6" s="196"/>
      <c r="B6" s="5"/>
      <c r="C6" s="5"/>
      <c r="D6" s="5"/>
      <c r="E6" s="5"/>
      <c r="F6" s="197"/>
      <c r="G6" s="197"/>
      <c r="H6" s="197"/>
      <c r="I6" s="197"/>
      <c r="J6" s="198"/>
    </row>
    <row r="7">
      <c r="A7" s="199" t="s">
        <v>303</v>
      </c>
      <c r="B7" s="9"/>
      <c r="C7" s="9"/>
      <c r="D7" s="9"/>
      <c r="E7" s="9"/>
      <c r="F7" s="9"/>
      <c r="G7" s="9"/>
      <c r="H7" s="9"/>
      <c r="I7" s="9"/>
      <c r="J7" s="65"/>
    </row>
    <row r="8">
      <c r="A8" s="196"/>
      <c r="B8" s="5"/>
      <c r="C8" s="5"/>
      <c r="D8" s="5"/>
      <c r="E8" s="5"/>
      <c r="F8" s="5"/>
      <c r="G8" s="5"/>
      <c r="H8" s="5"/>
      <c r="I8" s="5"/>
      <c r="J8" s="5"/>
    </row>
    <row r="9">
      <c r="A9" s="200" t="s">
        <v>304</v>
      </c>
      <c r="B9" s="201" t="s">
        <v>305</v>
      </c>
      <c r="C9" s="202" t="s">
        <v>306</v>
      </c>
      <c r="D9" s="202" t="s">
        <v>307</v>
      </c>
      <c r="E9" s="203" t="s">
        <v>308</v>
      </c>
      <c r="F9" s="9"/>
      <c r="G9" s="9"/>
      <c r="H9" s="9"/>
      <c r="I9" s="9"/>
      <c r="J9" s="9"/>
    </row>
    <row r="10">
      <c r="A10" s="204"/>
      <c r="B10" s="205"/>
      <c r="C10" s="206" t="s">
        <v>309</v>
      </c>
      <c r="D10" s="207"/>
      <c r="E10" s="208" t="s">
        <v>310</v>
      </c>
      <c r="F10" s="209" t="s">
        <v>311</v>
      </c>
      <c r="G10" s="209" t="s">
        <v>312</v>
      </c>
      <c r="H10" s="209" t="s">
        <v>313</v>
      </c>
      <c r="I10" s="209" t="s">
        <v>314</v>
      </c>
      <c r="J10" s="209" t="s">
        <v>315</v>
      </c>
    </row>
    <row r="11">
      <c r="A11" s="210" t="s">
        <v>45</v>
      </c>
      <c r="B11" s="211" t="str">
        <f>RESUMO!B10</f>
        <v>SERVIÇOS PRELIMINARES</v>
      </c>
      <c r="C11" s="212">
        <f>RESUMO!D10</f>
        <v>93646.66023</v>
      </c>
      <c r="D11" s="213">
        <f>C11/$C$53</f>
        <v>0.04618017292</v>
      </c>
      <c r="E11" s="214"/>
      <c r="F11" s="214"/>
      <c r="G11" s="214"/>
      <c r="H11" s="215"/>
      <c r="I11" s="215"/>
      <c r="J11" s="215"/>
    </row>
    <row r="12">
      <c r="A12" s="216"/>
      <c r="B12" s="196"/>
      <c r="C12" s="217"/>
      <c r="D12" s="218"/>
      <c r="E12" s="219">
        <v>0.33</v>
      </c>
      <c r="F12" s="219">
        <v>0.33</v>
      </c>
      <c r="G12" s="219">
        <v>0.34</v>
      </c>
      <c r="H12" s="220"/>
      <c r="I12" s="220"/>
      <c r="J12" s="220"/>
    </row>
    <row r="13">
      <c r="A13" s="221"/>
      <c r="B13" s="222"/>
      <c r="C13" s="222"/>
      <c r="D13" s="222"/>
      <c r="E13" s="223">
        <f t="shared" ref="E13:G13" si="1">$C$11*E12</f>
        <v>30903.39788</v>
      </c>
      <c r="F13" s="223">
        <f t="shared" si="1"/>
        <v>30903.39788</v>
      </c>
      <c r="G13" s="223">
        <f t="shared" si="1"/>
        <v>31839.86448</v>
      </c>
      <c r="H13" s="224"/>
      <c r="I13" s="224"/>
      <c r="J13" s="224"/>
    </row>
    <row r="14">
      <c r="A14" s="225" t="s">
        <v>55</v>
      </c>
      <c r="B14" s="211" t="str">
        <f>RESUMO!B11</f>
        <v>TRANSPORTES</v>
      </c>
      <c r="C14" s="212">
        <f>RESUMO!D11</f>
        <v>13065.8625</v>
      </c>
      <c r="D14" s="213">
        <f>C14/$C$53</f>
        <v>0.006443196029</v>
      </c>
      <c r="E14" s="214"/>
      <c r="F14" s="214"/>
      <c r="G14" s="214"/>
      <c r="H14" s="226"/>
      <c r="I14" s="226"/>
      <c r="J14" s="226"/>
    </row>
    <row r="15">
      <c r="A15" s="216"/>
      <c r="B15" s="196"/>
      <c r="C15" s="217"/>
      <c r="D15" s="218"/>
      <c r="E15" s="219">
        <v>0.33</v>
      </c>
      <c r="F15" s="219">
        <v>0.33</v>
      </c>
      <c r="G15" s="219">
        <v>0.34</v>
      </c>
      <c r="H15" s="220"/>
      <c r="I15" s="220"/>
      <c r="J15" s="220"/>
    </row>
    <row r="16">
      <c r="A16" s="221"/>
      <c r="B16" s="222"/>
      <c r="C16" s="222"/>
      <c r="D16" s="222"/>
      <c r="E16" s="223">
        <f t="shared" ref="E16:G16" si="2">E15*$C$14</f>
        <v>4311.734623</v>
      </c>
      <c r="F16" s="223">
        <f t="shared" si="2"/>
        <v>4311.734623</v>
      </c>
      <c r="G16" s="223">
        <f t="shared" si="2"/>
        <v>4442.393248</v>
      </c>
      <c r="H16" s="224"/>
      <c r="I16" s="224"/>
      <c r="J16" s="224"/>
    </row>
    <row r="17">
      <c r="A17" s="225" t="s">
        <v>62</v>
      </c>
      <c r="B17" s="211" t="str">
        <f>RESUMO!B12</f>
        <v>PAISAGISMO</v>
      </c>
      <c r="C17" s="212">
        <f>RESUMO!D12</f>
        <v>1235.465546</v>
      </c>
      <c r="D17" s="213">
        <f>C17/$C$53</f>
        <v>0.0006092477022</v>
      </c>
      <c r="E17" s="215"/>
      <c r="F17" s="215"/>
      <c r="G17" s="214"/>
      <c r="H17" s="226"/>
      <c r="I17" s="226"/>
      <c r="J17" s="226"/>
    </row>
    <row r="18">
      <c r="A18" s="216"/>
      <c r="B18" s="196"/>
      <c r="C18" s="217"/>
      <c r="D18" s="218"/>
      <c r="E18" s="219">
        <v>0.0</v>
      </c>
      <c r="F18" s="219">
        <v>0.0</v>
      </c>
      <c r="G18" s="219">
        <v>1.0</v>
      </c>
      <c r="H18" s="220"/>
      <c r="I18" s="220"/>
      <c r="J18" s="220"/>
    </row>
    <row r="19">
      <c r="A19" s="221"/>
      <c r="B19" s="222"/>
      <c r="C19" s="222"/>
      <c r="D19" s="222"/>
      <c r="E19" s="223">
        <f t="shared" ref="E19:G19" si="3">E18*$C$17</f>
        <v>0</v>
      </c>
      <c r="F19" s="223">
        <f t="shared" si="3"/>
        <v>0</v>
      </c>
      <c r="G19" s="223">
        <f t="shared" si="3"/>
        <v>1235.465546</v>
      </c>
      <c r="H19" s="224"/>
      <c r="I19" s="224"/>
      <c r="J19" s="224"/>
    </row>
    <row r="20">
      <c r="A20" s="225" t="s">
        <v>68</v>
      </c>
      <c r="B20" s="211" t="str">
        <f>RESUMO!B13</f>
        <v>INST. ELÉT./TELEFÔNICA/CABEAMENTO ESTRUTURADO</v>
      </c>
      <c r="C20" s="212">
        <f>RESUMO!D13</f>
        <v>9197.869223</v>
      </c>
      <c r="D20" s="213">
        <f>C20/$C$53</f>
        <v>0.004535764438</v>
      </c>
      <c r="E20" s="215"/>
      <c r="F20" s="214"/>
      <c r="G20" s="214"/>
      <c r="H20" s="226"/>
      <c r="I20" s="226"/>
      <c r="J20" s="226"/>
    </row>
    <row r="21">
      <c r="A21" s="216"/>
      <c r="B21" s="196"/>
      <c r="C21" s="217"/>
      <c r="D21" s="218"/>
      <c r="E21" s="219">
        <v>0.0</v>
      </c>
      <c r="F21" s="219">
        <v>0.5</v>
      </c>
      <c r="G21" s="219">
        <v>0.5</v>
      </c>
      <c r="H21" s="220"/>
      <c r="I21" s="220"/>
      <c r="J21" s="220"/>
    </row>
    <row r="22">
      <c r="A22" s="221"/>
      <c r="B22" s="222"/>
      <c r="C22" s="222"/>
      <c r="D22" s="222"/>
      <c r="E22" s="224">
        <f t="shared" ref="E22:G22" si="4">E21*$C$20</f>
        <v>0</v>
      </c>
      <c r="F22" s="224">
        <f t="shared" si="4"/>
        <v>4598.934612</v>
      </c>
      <c r="G22" s="224">
        <f t="shared" si="4"/>
        <v>4598.934612</v>
      </c>
      <c r="H22" s="224"/>
      <c r="I22" s="224"/>
      <c r="J22" s="224"/>
    </row>
    <row r="23">
      <c r="A23" s="225" t="s">
        <v>102</v>
      </c>
      <c r="B23" s="211" t="str">
        <f>RESUMO!B14</f>
        <v>INSTALAÇÕES PLUVIAIS</v>
      </c>
      <c r="C23" s="212">
        <f>RESUMO!D14</f>
        <v>14797.42657</v>
      </c>
      <c r="D23" s="213">
        <f>C23/$C$53</f>
        <v>0.007297085834</v>
      </c>
      <c r="E23" s="214"/>
      <c r="F23" s="215"/>
      <c r="G23" s="215"/>
      <c r="H23" s="226"/>
      <c r="I23" s="226"/>
      <c r="J23" s="226"/>
    </row>
    <row r="24">
      <c r="A24" s="216"/>
      <c r="B24" s="196"/>
      <c r="C24" s="217"/>
      <c r="D24" s="218"/>
      <c r="E24" s="219">
        <v>1.0</v>
      </c>
      <c r="F24" s="219">
        <v>0.0</v>
      </c>
      <c r="G24" s="219">
        <v>0.0</v>
      </c>
      <c r="H24" s="220"/>
      <c r="I24" s="220"/>
      <c r="J24" s="220"/>
    </row>
    <row r="25">
      <c r="A25" s="221"/>
      <c r="B25" s="222"/>
      <c r="C25" s="222"/>
      <c r="D25" s="222"/>
      <c r="E25" s="223">
        <f t="shared" ref="E25:G25" si="5">E24*$C$23</f>
        <v>14797.42657</v>
      </c>
      <c r="F25" s="223">
        <f t="shared" si="5"/>
        <v>0</v>
      </c>
      <c r="G25" s="223">
        <f t="shared" si="5"/>
        <v>0</v>
      </c>
      <c r="H25" s="224"/>
      <c r="I25" s="224"/>
      <c r="J25" s="224"/>
    </row>
    <row r="26">
      <c r="A26" s="225" t="s">
        <v>111</v>
      </c>
      <c r="B26" s="211" t="str">
        <f>RESUMO!B15</f>
        <v>ALVENARIAS E DIVISÓRIAS</v>
      </c>
      <c r="C26" s="212">
        <f>RESUMO!D15</f>
        <v>5300.257355</v>
      </c>
      <c r="D26" s="213">
        <f>C26/$C$53</f>
        <v>0.002613726966</v>
      </c>
      <c r="E26" s="214"/>
      <c r="F26" s="215"/>
      <c r="G26" s="215"/>
      <c r="H26" s="226"/>
      <c r="I26" s="226"/>
      <c r="J26" s="226"/>
    </row>
    <row r="27">
      <c r="A27" s="216"/>
      <c r="B27" s="196"/>
      <c r="C27" s="217"/>
      <c r="D27" s="218"/>
      <c r="E27" s="219">
        <v>1.0</v>
      </c>
      <c r="F27" s="219">
        <v>0.0</v>
      </c>
      <c r="G27" s="219">
        <v>0.0</v>
      </c>
      <c r="H27" s="220"/>
      <c r="I27" s="220"/>
      <c r="J27" s="220"/>
    </row>
    <row r="28">
      <c r="A28" s="221"/>
      <c r="B28" s="222"/>
      <c r="C28" s="222"/>
      <c r="D28" s="222"/>
      <c r="E28" s="224">
        <f t="shared" ref="E28:G28" si="6">E27*$C$26</f>
        <v>5300.257355</v>
      </c>
      <c r="F28" s="224">
        <f t="shared" si="6"/>
        <v>0</v>
      </c>
      <c r="G28" s="224">
        <f t="shared" si="6"/>
        <v>0</v>
      </c>
      <c r="H28" s="224"/>
      <c r="I28" s="224"/>
      <c r="J28" s="224"/>
    </row>
    <row r="29">
      <c r="A29" s="225" t="s">
        <v>117</v>
      </c>
      <c r="B29" s="211" t="str">
        <f>RESUMO!B16</f>
        <v>ESTRUTURAS METÁLICAS</v>
      </c>
      <c r="C29" s="212">
        <f>RESUMO!D16</f>
        <v>53549.18358</v>
      </c>
      <c r="D29" s="213">
        <f>C29/$C$53</f>
        <v>0.02640682061</v>
      </c>
      <c r="E29" s="214"/>
      <c r="F29" s="214"/>
      <c r="G29" s="215"/>
      <c r="H29" s="226"/>
      <c r="I29" s="226"/>
      <c r="J29" s="226"/>
    </row>
    <row r="30">
      <c r="A30" s="216"/>
      <c r="B30" s="196"/>
      <c r="C30" s="217"/>
      <c r="D30" s="218"/>
      <c r="E30" s="219">
        <v>0.8</v>
      </c>
      <c r="F30" s="219">
        <v>0.2</v>
      </c>
      <c r="G30" s="219">
        <v>0.0</v>
      </c>
      <c r="H30" s="220"/>
      <c r="I30" s="220"/>
      <c r="J30" s="220"/>
    </row>
    <row r="31">
      <c r="A31" s="221"/>
      <c r="B31" s="222"/>
      <c r="C31" s="222"/>
      <c r="D31" s="222"/>
      <c r="E31" s="224">
        <f t="shared" ref="E31:G31" si="7">E30*$C$29</f>
        <v>42839.34686</v>
      </c>
      <c r="F31" s="224">
        <f t="shared" si="7"/>
        <v>10709.83672</v>
      </c>
      <c r="G31" s="224">
        <f t="shared" si="7"/>
        <v>0</v>
      </c>
      <c r="H31" s="224"/>
      <c r="I31" s="224"/>
      <c r="J31" s="224"/>
    </row>
    <row r="32">
      <c r="A32" s="225" t="s">
        <v>122</v>
      </c>
      <c r="B32" s="211" t="str">
        <f>RESUMO!B17</f>
        <v>COBERTURAS</v>
      </c>
      <c r="C32" s="212">
        <f>RESUMO!D17</f>
        <v>65521.4773</v>
      </c>
      <c r="D32" s="213">
        <f>C32/$C$53</f>
        <v>0.03231074279</v>
      </c>
      <c r="E32" s="214"/>
      <c r="F32" s="214"/>
      <c r="G32" s="215"/>
      <c r="H32" s="226"/>
      <c r="I32" s="226"/>
      <c r="J32" s="226"/>
    </row>
    <row r="33">
      <c r="A33" s="216"/>
      <c r="B33" s="196"/>
      <c r="C33" s="217"/>
      <c r="D33" s="218"/>
      <c r="E33" s="219">
        <v>0.2</v>
      </c>
      <c r="F33" s="219">
        <v>0.8</v>
      </c>
      <c r="G33" s="219">
        <v>0.0</v>
      </c>
      <c r="H33" s="220"/>
      <c r="I33" s="220"/>
      <c r="J33" s="220"/>
    </row>
    <row r="34">
      <c r="A34" s="221"/>
      <c r="B34" s="222"/>
      <c r="C34" s="222"/>
      <c r="D34" s="222"/>
      <c r="E34" s="224">
        <f t="shared" ref="E34:G34" si="8">E33*$C$32</f>
        <v>13104.29546</v>
      </c>
      <c r="F34" s="224">
        <f t="shared" si="8"/>
        <v>52417.18184</v>
      </c>
      <c r="G34" s="224">
        <f t="shared" si="8"/>
        <v>0</v>
      </c>
      <c r="H34" s="224"/>
      <c r="I34" s="224"/>
      <c r="J34" s="224"/>
    </row>
    <row r="35">
      <c r="A35" s="225" t="s">
        <v>128</v>
      </c>
      <c r="B35" s="211" t="str">
        <f>RESUMO!B18</f>
        <v>ESQUADRIAS MADEIRAS/ METÁLICAS </v>
      </c>
      <c r="C35" s="212">
        <f>RESUMO!D18</f>
        <v>1077866.239</v>
      </c>
      <c r="D35" s="213">
        <f>C35/$C$53</f>
        <v>0.5315304271</v>
      </c>
      <c r="E35" s="214"/>
      <c r="F35" s="214"/>
      <c r="G35" s="214"/>
      <c r="H35" s="226"/>
      <c r="I35" s="226"/>
      <c r="J35" s="226"/>
    </row>
    <row r="36">
      <c r="A36" s="216"/>
      <c r="B36" s="196"/>
      <c r="C36" s="217"/>
      <c r="D36" s="218"/>
      <c r="E36" s="219">
        <v>0.2</v>
      </c>
      <c r="F36" s="219">
        <v>0.4</v>
      </c>
      <c r="G36" s="219">
        <v>0.4</v>
      </c>
      <c r="H36" s="220"/>
      <c r="I36" s="220"/>
      <c r="J36" s="220"/>
    </row>
    <row r="37">
      <c r="A37" s="221"/>
      <c r="B37" s="222"/>
      <c r="C37" s="222"/>
      <c r="D37" s="222"/>
      <c r="E37" s="224">
        <f t="shared" ref="E37:G37" si="9">E36*$C$35</f>
        <v>215573.2479</v>
      </c>
      <c r="F37" s="224">
        <f t="shared" si="9"/>
        <v>431146.4957</v>
      </c>
      <c r="G37" s="224">
        <f t="shared" si="9"/>
        <v>431146.4957</v>
      </c>
      <c r="H37" s="224"/>
      <c r="I37" s="224"/>
      <c r="J37" s="224"/>
    </row>
    <row r="38">
      <c r="A38" s="225" t="s">
        <v>138</v>
      </c>
      <c r="B38" s="211" t="str">
        <f>RESUMO!B19</f>
        <v>REVESTIMENTO DE PAREDES</v>
      </c>
      <c r="C38" s="212">
        <f>RESUMO!D19</f>
        <v>39505.12698</v>
      </c>
      <c r="D38" s="213">
        <f>C38/$C$53</f>
        <v>0.01948124568</v>
      </c>
      <c r="E38" s="215"/>
      <c r="F38" s="214"/>
      <c r="G38" s="214"/>
      <c r="H38" s="226"/>
      <c r="I38" s="226"/>
      <c r="J38" s="226"/>
    </row>
    <row r="39">
      <c r="A39" s="216"/>
      <c r="B39" s="196"/>
      <c r="C39" s="217"/>
      <c r="D39" s="218"/>
      <c r="E39" s="219">
        <v>0.0</v>
      </c>
      <c r="F39" s="219">
        <v>0.2</v>
      </c>
      <c r="G39" s="219">
        <v>0.8</v>
      </c>
      <c r="H39" s="220"/>
      <c r="I39" s="220"/>
      <c r="J39" s="220"/>
    </row>
    <row r="40">
      <c r="A40" s="221"/>
      <c r="B40" s="222"/>
      <c r="C40" s="222"/>
      <c r="D40" s="222"/>
      <c r="E40" s="224">
        <f t="shared" ref="E40:G40" si="10">E39*$C$38</f>
        <v>0</v>
      </c>
      <c r="F40" s="224">
        <f t="shared" si="10"/>
        <v>7901.025396</v>
      </c>
      <c r="G40" s="224">
        <f t="shared" si="10"/>
        <v>31604.10158</v>
      </c>
      <c r="H40" s="224"/>
      <c r="I40" s="224"/>
      <c r="J40" s="224"/>
    </row>
    <row r="41">
      <c r="A41" s="225" t="s">
        <v>143</v>
      </c>
      <c r="B41" s="211" t="str">
        <f>RESUMO!B20</f>
        <v>REVESTIMENTO DE PISO</v>
      </c>
      <c r="C41" s="212">
        <f>RESUMO!D20</f>
        <v>59284.98033</v>
      </c>
      <c r="D41" s="213">
        <f>C41/$C$53</f>
        <v>0.02923532602</v>
      </c>
      <c r="E41" s="214"/>
      <c r="F41" s="214"/>
      <c r="G41" s="214"/>
      <c r="H41" s="226"/>
      <c r="I41" s="226"/>
      <c r="J41" s="226"/>
    </row>
    <row r="42">
      <c r="A42" s="216"/>
      <c r="B42" s="196"/>
      <c r="C42" s="217"/>
      <c r="D42" s="218"/>
      <c r="E42" s="219">
        <v>0.2</v>
      </c>
      <c r="F42" s="219">
        <v>0.4</v>
      </c>
      <c r="G42" s="219">
        <v>0.4</v>
      </c>
      <c r="H42" s="220"/>
      <c r="I42" s="220"/>
      <c r="J42" s="220"/>
    </row>
    <row r="43">
      <c r="A43" s="221"/>
      <c r="B43" s="222"/>
      <c r="C43" s="222"/>
      <c r="D43" s="222"/>
      <c r="E43" s="224">
        <f t="shared" ref="E43:G43" si="11">E42*$C$41</f>
        <v>11856.99607</v>
      </c>
      <c r="F43" s="224">
        <f t="shared" si="11"/>
        <v>23713.99213</v>
      </c>
      <c r="G43" s="224">
        <f t="shared" si="11"/>
        <v>23713.99213</v>
      </c>
      <c r="H43" s="224"/>
      <c r="I43" s="224"/>
      <c r="J43" s="224"/>
    </row>
    <row r="44">
      <c r="A44" s="225" t="s">
        <v>170</v>
      </c>
      <c r="B44" s="211" t="str">
        <f>RESUMO!B21</f>
        <v>PINTURA</v>
      </c>
      <c r="C44" s="212">
        <f>RESUMO!D21</f>
        <v>401170.4901</v>
      </c>
      <c r="D44" s="213">
        <f>C44/$C$53</f>
        <v>0.1978300406</v>
      </c>
      <c r="E44" s="214"/>
      <c r="F44" s="214"/>
      <c r="G44" s="214"/>
      <c r="H44" s="226"/>
      <c r="I44" s="226"/>
      <c r="J44" s="226"/>
    </row>
    <row r="45">
      <c r="A45" s="216"/>
      <c r="B45" s="196"/>
      <c r="C45" s="217"/>
      <c r="D45" s="218"/>
      <c r="E45" s="219">
        <v>0.33</v>
      </c>
      <c r="F45" s="219">
        <v>0.33</v>
      </c>
      <c r="G45" s="219">
        <v>0.34</v>
      </c>
      <c r="H45" s="220"/>
      <c r="I45" s="220"/>
      <c r="J45" s="220"/>
    </row>
    <row r="46">
      <c r="A46" s="221"/>
      <c r="B46" s="222"/>
      <c r="C46" s="222"/>
      <c r="D46" s="222"/>
      <c r="E46" s="224">
        <f t="shared" ref="E46:G46" si="12">E45*$C$44</f>
        <v>132386.2617</v>
      </c>
      <c r="F46" s="224">
        <f t="shared" si="12"/>
        <v>132386.2617</v>
      </c>
      <c r="G46" s="224">
        <f t="shared" si="12"/>
        <v>136397.9666</v>
      </c>
      <c r="H46" s="224"/>
      <c r="I46" s="224"/>
      <c r="J46" s="224"/>
    </row>
    <row r="47">
      <c r="A47" s="225" t="s">
        <v>178</v>
      </c>
      <c r="B47" s="211" t="str">
        <f>RESUMO!B22</f>
        <v>DIVERSOS</v>
      </c>
      <c r="C47" s="212">
        <f>RESUMO!D22</f>
        <v>28178.35745</v>
      </c>
      <c r="D47" s="213">
        <f>C47/$C$53</f>
        <v>0.01389565219</v>
      </c>
      <c r="E47" s="215"/>
      <c r="F47" s="214"/>
      <c r="G47" s="214"/>
      <c r="H47" s="226"/>
      <c r="I47" s="226"/>
      <c r="J47" s="226"/>
    </row>
    <row r="48">
      <c r="A48" s="216"/>
      <c r="B48" s="196"/>
      <c r="C48" s="217"/>
      <c r="D48" s="218"/>
      <c r="E48" s="219">
        <v>0.0</v>
      </c>
      <c r="F48" s="219">
        <v>0.2</v>
      </c>
      <c r="G48" s="219">
        <v>0.8</v>
      </c>
      <c r="H48" s="220"/>
      <c r="I48" s="220"/>
      <c r="J48" s="220"/>
    </row>
    <row r="49">
      <c r="A49" s="221"/>
      <c r="B49" s="222"/>
      <c r="C49" s="222"/>
      <c r="D49" s="222"/>
      <c r="E49" s="224">
        <f t="shared" ref="E49:G49" si="13">E48*$C$47</f>
        <v>0</v>
      </c>
      <c r="F49" s="224">
        <f t="shared" si="13"/>
        <v>5635.67149</v>
      </c>
      <c r="G49" s="224">
        <f t="shared" si="13"/>
        <v>22542.68596</v>
      </c>
      <c r="H49" s="224"/>
      <c r="I49" s="224"/>
      <c r="J49" s="224"/>
    </row>
    <row r="50">
      <c r="A50" s="225" t="s">
        <v>183</v>
      </c>
      <c r="B50" s="211" t="str">
        <f>RESUMO!B23</f>
        <v>ADMINISTRAÇÃO - MENSALISTAS</v>
      </c>
      <c r="C50" s="212">
        <f>RESUMO!D23</f>
        <v>165534.8604</v>
      </c>
      <c r="D50" s="213">
        <f>C50/$C$53</f>
        <v>0.08163055104</v>
      </c>
      <c r="E50" s="214"/>
      <c r="F50" s="214"/>
      <c r="G50" s="214"/>
      <c r="H50" s="226"/>
      <c r="I50" s="226"/>
      <c r="J50" s="226"/>
    </row>
    <row r="51">
      <c r="A51" s="216"/>
      <c r="B51" s="196"/>
      <c r="C51" s="217"/>
      <c r="D51" s="218"/>
      <c r="E51" s="219">
        <v>0.33</v>
      </c>
      <c r="F51" s="219">
        <v>0.33</v>
      </c>
      <c r="G51" s="219">
        <v>0.34</v>
      </c>
      <c r="H51" s="220"/>
      <c r="I51" s="220"/>
      <c r="J51" s="220"/>
    </row>
    <row r="52">
      <c r="A52" s="221"/>
      <c r="B52" s="222"/>
      <c r="C52" s="222"/>
      <c r="D52" s="222"/>
      <c r="E52" s="224">
        <f t="shared" ref="E52:G52" si="14">E51*$C$50</f>
        <v>54626.50394</v>
      </c>
      <c r="F52" s="224">
        <f t="shared" si="14"/>
        <v>54626.50394</v>
      </c>
      <c r="G52" s="224">
        <f t="shared" si="14"/>
        <v>56281.85254</v>
      </c>
      <c r="H52" s="224"/>
      <c r="I52" s="224"/>
      <c r="J52" s="224"/>
    </row>
    <row r="53">
      <c r="A53" s="227"/>
      <c r="B53" s="228"/>
      <c r="C53" s="229">
        <f t="shared" ref="C53:D53" si="15">SUM(C11:C50)</f>
        <v>2027854.257</v>
      </c>
      <c r="D53" s="230">
        <f t="shared" si="15"/>
        <v>1</v>
      </c>
      <c r="E53" s="231"/>
      <c r="F53" s="231"/>
      <c r="G53" s="231"/>
      <c r="H53" s="232"/>
      <c r="I53" s="232"/>
      <c r="J53" s="232"/>
    </row>
    <row r="54">
      <c r="A54" s="233"/>
      <c r="B54" s="234" t="s">
        <v>316</v>
      </c>
      <c r="C54" s="233"/>
      <c r="D54" s="233"/>
      <c r="E54" s="235">
        <f t="shared" ref="E54:G54" si="16">E13+E16+E19+E22+E25+E28+E31+E34+E37+E40+E43+E46+E49+E52</f>
        <v>525699.4683</v>
      </c>
      <c r="F54" s="235">
        <f t="shared" si="16"/>
        <v>758351.0361</v>
      </c>
      <c r="G54" s="235">
        <f t="shared" si="16"/>
        <v>743803.7524</v>
      </c>
      <c r="H54" s="236"/>
      <c r="I54" s="236"/>
      <c r="J54" s="236"/>
    </row>
    <row r="55">
      <c r="A55" s="233"/>
      <c r="B55" s="234" t="s">
        <v>317</v>
      </c>
      <c r="C55" s="237">
        <f t="shared" ref="C55:D55" si="17">C11+C14+C17+C20+C23+C26+C29+C32+C35+C38+C41+C44+C47+C50</f>
        <v>2027854.257</v>
      </c>
      <c r="D55" s="238">
        <f t="shared" si="17"/>
        <v>1</v>
      </c>
      <c r="E55" s="239">
        <f>E54</f>
        <v>525699.4683</v>
      </c>
      <c r="F55" s="239">
        <f t="shared" ref="F55:G55" si="18">F54+E55</f>
        <v>1284050.504</v>
      </c>
      <c r="G55" s="239">
        <f t="shared" si="18"/>
        <v>2027854.257</v>
      </c>
      <c r="H55" s="23"/>
      <c r="I55" s="23"/>
      <c r="J55" s="23"/>
    </row>
    <row r="56">
      <c r="A56" s="240"/>
      <c r="B56" s="241" t="s">
        <v>318</v>
      </c>
      <c r="C56" s="240"/>
      <c r="D56" s="240"/>
      <c r="E56" s="242">
        <f t="shared" ref="E56:G56" si="19">E54/$C$55</f>
        <v>0.2592392755</v>
      </c>
      <c r="F56" s="242">
        <f t="shared" si="19"/>
        <v>0.3739672284</v>
      </c>
      <c r="G56" s="242">
        <f t="shared" si="19"/>
        <v>0.3667934961</v>
      </c>
      <c r="H56" s="243"/>
      <c r="I56" s="243"/>
      <c r="J56" s="243"/>
    </row>
    <row r="57">
      <c r="A57" s="240"/>
      <c r="B57" s="241" t="s">
        <v>319</v>
      </c>
      <c r="C57" s="240"/>
      <c r="D57" s="240"/>
      <c r="E57" s="244">
        <f t="shared" ref="E57:G57" si="20">E55/$C$55</f>
        <v>0.2592392755</v>
      </c>
      <c r="F57" s="244">
        <f t="shared" si="20"/>
        <v>0.6332065039</v>
      </c>
      <c r="G57" s="244">
        <f t="shared" si="20"/>
        <v>1</v>
      </c>
      <c r="H57" s="245"/>
      <c r="I57" s="245"/>
      <c r="J57" s="245"/>
    </row>
    <row r="58">
      <c r="A58" s="196"/>
      <c r="B58" s="5"/>
      <c r="C58" s="5"/>
      <c r="D58" s="5"/>
      <c r="E58" s="5"/>
      <c r="F58" s="5"/>
      <c r="G58" s="5"/>
      <c r="H58" s="5"/>
      <c r="I58" s="5"/>
      <c r="J58" s="5"/>
    </row>
  </sheetData>
  <mergeCells count="3">
    <mergeCell ref="A7:J7"/>
    <mergeCell ref="E9:J9"/>
    <mergeCell ref="E2:J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9.63"/>
    <col customWidth="1" min="2" max="2" width="56.75"/>
    <col customWidth="1" min="3" max="3" width="19.88"/>
    <col customWidth="1" min="4" max="5" width="14.25"/>
  </cols>
  <sheetData>
    <row r="1">
      <c r="A1" s="246" t="s">
        <v>0</v>
      </c>
      <c r="B1" s="247" t="s">
        <v>1</v>
      </c>
      <c r="C1" s="246" t="s">
        <v>2</v>
      </c>
      <c r="D1" s="248">
        <f>TODAY()</f>
        <v>46056</v>
      </c>
      <c r="E1" s="249"/>
    </row>
    <row r="2">
      <c r="A2" s="246" t="s">
        <v>3</v>
      </c>
      <c r="B2" s="247" t="s">
        <v>4</v>
      </c>
      <c r="C2" s="246" t="s">
        <v>5</v>
      </c>
      <c r="D2" s="247" t="s">
        <v>320</v>
      </c>
      <c r="E2" s="250"/>
    </row>
    <row r="3">
      <c r="A3" s="246" t="s">
        <v>7</v>
      </c>
      <c r="B3" s="251" t="s">
        <v>8</v>
      </c>
      <c r="C3" s="246" t="s">
        <v>9</v>
      </c>
      <c r="D3" s="252"/>
      <c r="E3" s="253"/>
    </row>
    <row r="4">
      <c r="A4" s="246" t="s">
        <v>11</v>
      </c>
      <c r="B4" s="254" t="s">
        <v>12</v>
      </c>
      <c r="C4" s="252"/>
      <c r="D4" s="255"/>
      <c r="E4" s="256"/>
    </row>
    <row r="5">
      <c r="A5" s="246" t="s">
        <v>13</v>
      </c>
      <c r="B5" s="247" t="s">
        <v>14</v>
      </c>
      <c r="C5" s="257"/>
      <c r="D5" s="258"/>
      <c r="E5" s="256"/>
    </row>
    <row r="6">
      <c r="A6" s="123" t="s">
        <v>321</v>
      </c>
      <c r="B6" s="9"/>
      <c r="C6" s="9"/>
      <c r="D6" s="9"/>
      <c r="E6" s="259"/>
    </row>
    <row r="8">
      <c r="A8" s="260" t="s">
        <v>322</v>
      </c>
      <c r="B8" s="9"/>
      <c r="C8" s="9"/>
      <c r="D8" s="9"/>
      <c r="E8" s="65"/>
    </row>
    <row r="9">
      <c r="A9" s="261" t="s">
        <v>323</v>
      </c>
      <c r="B9" s="261">
        <v>2023.0</v>
      </c>
      <c r="C9" s="261">
        <v>2024.0</v>
      </c>
      <c r="D9" s="261">
        <v>2025.0</v>
      </c>
      <c r="E9" s="262">
        <v>2026.0</v>
      </c>
    </row>
    <row r="10">
      <c r="A10" s="261" t="s">
        <v>324</v>
      </c>
      <c r="B10" s="263">
        <v>1056.418</v>
      </c>
      <c r="C10" s="263">
        <v>1091.25</v>
      </c>
      <c r="D10" s="263">
        <v>1169.116</v>
      </c>
      <c r="E10" s="263"/>
    </row>
    <row r="11">
      <c r="A11" s="261" t="s">
        <v>325</v>
      </c>
      <c r="B11" s="263">
        <v>1056.896</v>
      </c>
      <c r="C11" s="263">
        <v>1092.685</v>
      </c>
      <c r="D11" s="263">
        <v>1173.775</v>
      </c>
      <c r="E11" s="263"/>
    </row>
    <row r="12">
      <c r="A12" s="261" t="s">
        <v>326</v>
      </c>
      <c r="B12" s="263">
        <v>1060.116</v>
      </c>
      <c r="C12" s="263">
        <v>1095.738</v>
      </c>
      <c r="D12" s="263">
        <v>1178.386</v>
      </c>
      <c r="E12" s="263"/>
    </row>
    <row r="13">
      <c r="A13" s="261" t="s">
        <v>327</v>
      </c>
      <c r="B13" s="263">
        <v>1061.635</v>
      </c>
      <c r="C13" s="263">
        <v>1101.389</v>
      </c>
      <c r="D13" s="263">
        <v>1184.462</v>
      </c>
      <c r="E13" s="263"/>
    </row>
    <row r="14">
      <c r="A14" s="261" t="s">
        <v>328</v>
      </c>
      <c r="B14" s="264">
        <v>1067.919</v>
      </c>
      <c r="C14" s="263">
        <v>1110.887</v>
      </c>
      <c r="D14" s="263">
        <v>1191.327</v>
      </c>
      <c r="E14" s="263"/>
    </row>
    <row r="15">
      <c r="A15" s="261" t="s">
        <v>329</v>
      </c>
      <c r="B15" s="263">
        <v>1075.54</v>
      </c>
      <c r="C15" s="263">
        <v>1118.827</v>
      </c>
      <c r="D15" s="263">
        <v>1199.509</v>
      </c>
      <c r="E15" s="263"/>
    </row>
    <row r="16">
      <c r="A16" s="261" t="s">
        <v>330</v>
      </c>
      <c r="B16" s="264">
        <v>1076.626</v>
      </c>
      <c r="C16" s="263">
        <v>1126.916</v>
      </c>
      <c r="D16" s="263">
        <v>1210.471</v>
      </c>
      <c r="E16" s="263"/>
    </row>
    <row r="17">
      <c r="A17" s="261" t="s">
        <v>331</v>
      </c>
      <c r="B17" s="263">
        <v>1078.412</v>
      </c>
      <c r="C17" s="263">
        <v>1134.775</v>
      </c>
      <c r="D17" s="263">
        <v>1216.706</v>
      </c>
      <c r="E17" s="263"/>
    </row>
    <row r="18">
      <c r="A18" s="261" t="s">
        <v>332</v>
      </c>
      <c r="B18" s="263">
        <v>1082.104</v>
      </c>
      <c r="C18" s="263">
        <v>1141.398</v>
      </c>
      <c r="D18" s="263">
        <v>1218.747</v>
      </c>
      <c r="E18" s="263"/>
    </row>
    <row r="19">
      <c r="A19" s="261" t="s">
        <v>333</v>
      </c>
      <c r="B19" s="263">
        <v>1084.242</v>
      </c>
      <c r="C19" s="263">
        <v>1149.17</v>
      </c>
      <c r="D19" s="263">
        <v>1222.356</v>
      </c>
      <c r="E19" s="265"/>
    </row>
    <row r="20">
      <c r="A20" s="261" t="s">
        <v>334</v>
      </c>
      <c r="B20" s="266">
        <v>1084.986</v>
      </c>
      <c r="C20" s="264">
        <v>1153.725</v>
      </c>
      <c r="D20" s="263">
        <v>1225.633</v>
      </c>
      <c r="E20" s="265"/>
    </row>
    <row r="21">
      <c r="A21" s="261" t="s">
        <v>335</v>
      </c>
      <c r="B21" s="266">
        <v>1088.312</v>
      </c>
      <c r="C21" s="264">
        <v>1159.536</v>
      </c>
      <c r="D21" s="263">
        <v>1228.161</v>
      </c>
      <c r="E21" s="265"/>
    </row>
    <row r="22">
      <c r="A22" s="260" t="s">
        <v>336</v>
      </c>
      <c r="B22" s="9"/>
      <c r="C22" s="9"/>
      <c r="D22" s="9"/>
      <c r="E22" s="65"/>
    </row>
    <row r="23">
      <c r="A23" s="267"/>
      <c r="B23" s="267"/>
      <c r="C23" s="267"/>
      <c r="D23" s="267"/>
      <c r="E23" s="267"/>
    </row>
    <row r="24">
      <c r="A24" s="267"/>
      <c r="B24" s="267"/>
      <c r="C24" s="267"/>
      <c r="D24" s="267"/>
      <c r="E24" s="267"/>
    </row>
    <row r="25">
      <c r="A25" s="268" t="s">
        <v>337</v>
      </c>
      <c r="B25" s="268" t="s">
        <v>338</v>
      </c>
      <c r="C25" s="269" t="s">
        <v>339</v>
      </c>
    </row>
    <row r="26">
      <c r="A26" s="268" t="s">
        <v>47</v>
      </c>
      <c r="B26" s="270">
        <v>45931.0</v>
      </c>
      <c r="C26" s="271">
        <f>$D$21/D19-1</f>
        <v>0.004749025652</v>
      </c>
    </row>
    <row r="27">
      <c r="A27" s="268" t="s">
        <v>125</v>
      </c>
      <c r="B27" s="272">
        <v>45992.0</v>
      </c>
      <c r="C27" s="271">
        <f>D21/D21-1</f>
        <v>0</v>
      </c>
    </row>
    <row r="28">
      <c r="A28" s="268" t="s">
        <v>340</v>
      </c>
      <c r="B28" s="273">
        <v>45200.0</v>
      </c>
      <c r="C28" s="271">
        <f>$D$21/B19-1</f>
        <v>0.132736972</v>
      </c>
    </row>
    <row r="29">
      <c r="A29" s="268" t="s">
        <v>341</v>
      </c>
      <c r="B29" s="272">
        <v>45962.0</v>
      </c>
      <c r="C29" s="271">
        <f>$D$21/D20-1</f>
        <v>0.002062607648</v>
      </c>
    </row>
    <row r="30">
      <c r="A30" s="267"/>
      <c r="B30" s="267"/>
      <c r="C30" s="274"/>
      <c r="D30" s="275"/>
      <c r="E30" s="275"/>
    </row>
    <row r="33">
      <c r="A33" s="276" t="s">
        <v>342</v>
      </c>
      <c r="B33" s="277" t="s">
        <v>343</v>
      </c>
    </row>
  </sheetData>
  <mergeCells count="3">
    <mergeCell ref="A6:D6"/>
    <mergeCell ref="A8:E8"/>
    <mergeCell ref="A22:E22"/>
  </mergeCells>
  <hyperlinks>
    <hyperlink r:id="rId1" ref="B33"/>
  </hyperlin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7.88"/>
    <col customWidth="1" min="2" max="2" width="25.75"/>
    <col customWidth="1" min="3" max="3" width="14.0"/>
    <col customWidth="1" min="4" max="4" width="14.5"/>
    <col customWidth="1" min="5" max="5" width="14.75"/>
    <col customWidth="1" min="6" max="6" width="4.75"/>
    <col customWidth="1" min="7" max="7" width="15.0"/>
    <col customWidth="1" min="8" max="8" width="21.25"/>
    <col customWidth="1" min="9" max="10" width="14.5"/>
    <col customWidth="1" min="11" max="11" width="14.75"/>
  </cols>
  <sheetData>
    <row r="1">
      <c r="A1" s="278" t="s">
        <v>0</v>
      </c>
      <c r="B1" s="279" t="s">
        <v>1</v>
      </c>
      <c r="C1" s="280"/>
      <c r="D1" s="280"/>
      <c r="E1" s="281"/>
      <c r="F1" s="281"/>
      <c r="G1" s="282"/>
      <c r="H1" s="283" t="s">
        <v>23</v>
      </c>
      <c r="I1" s="246" t="s">
        <v>344</v>
      </c>
      <c r="J1" s="284"/>
      <c r="K1" s="285"/>
      <c r="L1" s="286"/>
    </row>
    <row r="2">
      <c r="A2" s="278" t="s">
        <v>3</v>
      </c>
      <c r="B2" s="279" t="s">
        <v>4</v>
      </c>
      <c r="C2" s="280"/>
      <c r="D2" s="280"/>
      <c r="E2" s="281"/>
      <c r="F2" s="281"/>
      <c r="G2" s="282"/>
      <c r="H2" s="287" t="s">
        <v>24</v>
      </c>
      <c r="I2" s="288" t="s">
        <v>25</v>
      </c>
      <c r="J2" s="289"/>
      <c r="K2" s="290"/>
      <c r="L2" s="286"/>
    </row>
    <row r="3">
      <c r="A3" s="278" t="s">
        <v>7</v>
      </c>
      <c r="B3" s="291" t="s">
        <v>8</v>
      </c>
      <c r="C3" s="280"/>
      <c r="D3" s="280"/>
      <c r="E3" s="281"/>
      <c r="F3" s="281"/>
      <c r="G3" s="282"/>
      <c r="H3" s="292"/>
      <c r="I3" s="293"/>
      <c r="J3" s="294"/>
      <c r="K3" s="295"/>
      <c r="L3" s="286"/>
    </row>
    <row r="4">
      <c r="A4" s="278" t="s">
        <v>11</v>
      </c>
      <c r="B4" s="279" t="s">
        <v>12</v>
      </c>
      <c r="C4" s="280"/>
      <c r="D4" s="280"/>
      <c r="E4" s="281"/>
      <c r="F4" s="281"/>
      <c r="G4" s="282"/>
      <c r="H4" s="296"/>
      <c r="I4" s="297" t="s">
        <v>345</v>
      </c>
      <c r="J4" s="298"/>
      <c r="K4" s="299" t="str">
        <f>I1</f>
        <v>xxx</v>
      </c>
      <c r="L4" s="286"/>
    </row>
    <row r="5">
      <c r="A5" s="300" t="s">
        <v>13</v>
      </c>
      <c r="B5" s="279" t="s">
        <v>14</v>
      </c>
      <c r="C5" s="280"/>
      <c r="D5" s="280"/>
      <c r="E5" s="281"/>
      <c r="F5" s="281"/>
      <c r="G5" s="282"/>
      <c r="H5" s="283"/>
      <c r="I5" s="301"/>
      <c r="J5" s="117"/>
      <c r="K5" s="301"/>
      <c r="L5" s="286"/>
    </row>
    <row r="6">
      <c r="A6" s="302" t="s">
        <v>346</v>
      </c>
      <c r="B6" s="9"/>
      <c r="C6" s="9"/>
      <c r="D6" s="9"/>
      <c r="E6" s="9"/>
      <c r="F6" s="9"/>
      <c r="G6" s="9"/>
      <c r="H6" s="9"/>
      <c r="I6" s="9"/>
      <c r="J6" s="9"/>
      <c r="K6" s="65"/>
      <c r="L6" s="286"/>
    </row>
    <row r="7">
      <c r="A7" s="286"/>
      <c r="B7" s="267"/>
      <c r="C7" s="267"/>
      <c r="D7" s="267"/>
      <c r="E7" s="267"/>
      <c r="F7" s="267"/>
      <c r="G7" s="286"/>
      <c r="H7" s="267"/>
      <c r="I7" s="267"/>
      <c r="J7" s="267"/>
      <c r="K7" s="267"/>
      <c r="L7" s="286"/>
    </row>
    <row r="8">
      <c r="A8" s="303" t="s">
        <v>347</v>
      </c>
      <c r="B8" s="9"/>
      <c r="C8" s="9"/>
      <c r="D8" s="9"/>
      <c r="E8" s="65"/>
      <c r="F8" s="267"/>
      <c r="G8" s="303" t="s">
        <v>348</v>
      </c>
      <c r="H8" s="9"/>
      <c r="I8" s="9"/>
      <c r="J8" s="9"/>
      <c r="K8" s="65"/>
      <c r="L8" s="286"/>
    </row>
    <row r="9">
      <c r="A9" s="304" t="s">
        <v>30</v>
      </c>
      <c r="B9" s="305" t="s">
        <v>33</v>
      </c>
      <c r="C9" s="305" t="s">
        <v>349</v>
      </c>
      <c r="D9" s="305" t="s">
        <v>350</v>
      </c>
      <c r="E9" s="305" t="s">
        <v>351</v>
      </c>
      <c r="F9" s="267"/>
      <c r="G9" s="304" t="s">
        <v>30</v>
      </c>
      <c r="H9" s="305" t="s">
        <v>33</v>
      </c>
      <c r="I9" s="305" t="s">
        <v>349</v>
      </c>
      <c r="J9" s="305" t="s">
        <v>350</v>
      </c>
      <c r="K9" s="305" t="s">
        <v>351</v>
      </c>
      <c r="L9" s="286"/>
    </row>
    <row r="10">
      <c r="A10" s="306" t="s">
        <v>352</v>
      </c>
      <c r="B10" s="307" t="s">
        <v>353</v>
      </c>
      <c r="C10" s="308"/>
      <c r="D10" s="308"/>
      <c r="E10" s="309">
        <v>0.0618</v>
      </c>
      <c r="F10" s="267"/>
      <c r="G10" s="306" t="s">
        <v>352</v>
      </c>
      <c r="H10" s="307" t="s">
        <v>353</v>
      </c>
      <c r="I10" s="308"/>
      <c r="J10" s="308"/>
      <c r="K10" s="309">
        <v>0.0516</v>
      </c>
      <c r="L10" s="286"/>
    </row>
    <row r="11">
      <c r="A11" s="310" t="s">
        <v>354</v>
      </c>
      <c r="B11" s="311" t="s">
        <v>355</v>
      </c>
      <c r="C11" s="125"/>
      <c r="D11" s="312"/>
      <c r="E11" s="313">
        <v>0.04</v>
      </c>
      <c r="F11" s="267"/>
      <c r="G11" s="310" t="s">
        <v>354</v>
      </c>
      <c r="H11" s="311" t="s">
        <v>355</v>
      </c>
      <c r="I11" s="125"/>
      <c r="J11" s="312"/>
      <c r="K11" s="313">
        <v>0.0345</v>
      </c>
      <c r="L11" s="286"/>
    </row>
    <row r="12">
      <c r="A12" s="310" t="s">
        <v>356</v>
      </c>
      <c r="B12" s="311" t="s">
        <v>357</v>
      </c>
      <c r="C12" s="125"/>
      <c r="D12" s="312"/>
      <c r="E12" s="313">
        <v>0.0123</v>
      </c>
      <c r="F12" s="267"/>
      <c r="G12" s="310" t="s">
        <v>356</v>
      </c>
      <c r="H12" s="311" t="s">
        <v>357</v>
      </c>
      <c r="I12" s="125"/>
      <c r="J12" s="312"/>
      <c r="K12" s="313">
        <v>0.0123</v>
      </c>
      <c r="L12" s="286"/>
    </row>
    <row r="13">
      <c r="A13" s="310" t="s">
        <v>358</v>
      </c>
      <c r="B13" s="311" t="s">
        <v>359</v>
      </c>
      <c r="C13" s="125"/>
      <c r="D13" s="312"/>
      <c r="E13" s="313">
        <v>0.0097</v>
      </c>
      <c r="F13" s="267"/>
      <c r="G13" s="310" t="s">
        <v>358</v>
      </c>
      <c r="H13" s="311" t="s">
        <v>359</v>
      </c>
      <c r="I13" s="125"/>
      <c r="J13" s="312"/>
      <c r="K13" s="313">
        <v>0.0056</v>
      </c>
      <c r="L13" s="286"/>
    </row>
    <row r="14">
      <c r="A14" s="310" t="s">
        <v>360</v>
      </c>
      <c r="B14" s="311" t="s">
        <v>361</v>
      </c>
      <c r="C14" s="125"/>
      <c r="D14" s="312"/>
      <c r="E14" s="313">
        <v>0.0012</v>
      </c>
      <c r="F14" s="267"/>
      <c r="G14" s="310" t="s">
        <v>360</v>
      </c>
      <c r="H14" s="311" t="s">
        <v>361</v>
      </c>
      <c r="I14" s="125"/>
      <c r="J14" s="312"/>
      <c r="K14" s="313">
        <v>6.0E-4</v>
      </c>
      <c r="L14" s="286"/>
    </row>
    <row r="15">
      <c r="A15" s="306" t="s">
        <v>362</v>
      </c>
      <c r="B15" s="307" t="s">
        <v>363</v>
      </c>
      <c r="C15" s="308"/>
      <c r="D15" s="314"/>
      <c r="E15" s="309">
        <v>0.074</v>
      </c>
      <c r="F15" s="267"/>
      <c r="G15" s="306" t="s">
        <v>362</v>
      </c>
      <c r="H15" s="307" t="s">
        <v>363</v>
      </c>
      <c r="I15" s="308"/>
      <c r="J15" s="314"/>
      <c r="K15" s="309">
        <v>0.048</v>
      </c>
      <c r="L15" s="286"/>
    </row>
    <row r="16">
      <c r="A16" s="310" t="s">
        <v>354</v>
      </c>
      <c r="B16" s="311" t="s">
        <v>364</v>
      </c>
      <c r="C16" s="125"/>
      <c r="D16" s="312"/>
      <c r="E16" s="313">
        <v>0.074</v>
      </c>
      <c r="F16" s="267"/>
      <c r="G16" s="310" t="s">
        <v>354</v>
      </c>
      <c r="H16" s="311" t="s">
        <v>364</v>
      </c>
      <c r="I16" s="125"/>
      <c r="J16" s="312"/>
      <c r="K16" s="313">
        <v>0.048</v>
      </c>
      <c r="L16" s="286"/>
    </row>
    <row r="17">
      <c r="A17" s="306" t="s">
        <v>365</v>
      </c>
      <c r="B17" s="307" t="s">
        <v>366</v>
      </c>
      <c r="C17" s="308"/>
      <c r="D17" s="309">
        <f>SUM(D18:D21)</f>
        <v>0.0665</v>
      </c>
      <c r="E17" s="314"/>
      <c r="F17" s="267"/>
      <c r="G17" s="306" t="s">
        <v>365</v>
      </c>
      <c r="H17" s="307" t="s">
        <v>366</v>
      </c>
      <c r="I17" s="308"/>
      <c r="J17" s="309">
        <f>SUM(J18:J21)</f>
        <v>0.0665</v>
      </c>
      <c r="K17" s="314"/>
      <c r="L17" s="286"/>
    </row>
    <row r="18">
      <c r="A18" s="310" t="s">
        <v>354</v>
      </c>
      <c r="B18" s="311" t="s">
        <v>367</v>
      </c>
      <c r="C18" s="125"/>
      <c r="D18" s="313">
        <v>0.0065</v>
      </c>
      <c r="E18" s="312"/>
      <c r="F18" s="267"/>
      <c r="G18" s="310" t="s">
        <v>354</v>
      </c>
      <c r="H18" s="311" t="s">
        <v>367</v>
      </c>
      <c r="I18" s="125"/>
      <c r="J18" s="313">
        <v>0.0065</v>
      </c>
      <c r="K18" s="312"/>
      <c r="L18" s="286"/>
    </row>
    <row r="19">
      <c r="A19" s="310" t="s">
        <v>356</v>
      </c>
      <c r="B19" s="311" t="s">
        <v>368</v>
      </c>
      <c r="C19" s="125"/>
      <c r="D19" s="313">
        <v>0.03</v>
      </c>
      <c r="E19" s="312"/>
      <c r="F19" s="267"/>
      <c r="G19" s="310" t="s">
        <v>356</v>
      </c>
      <c r="H19" s="311" t="s">
        <v>368</v>
      </c>
      <c r="I19" s="125"/>
      <c r="J19" s="313">
        <v>0.03</v>
      </c>
      <c r="K19" s="312"/>
      <c r="L19" s="286"/>
    </row>
    <row r="20">
      <c r="A20" s="310" t="s">
        <v>358</v>
      </c>
      <c r="B20" s="311" t="s">
        <v>369</v>
      </c>
      <c r="C20" s="125"/>
      <c r="D20" s="313">
        <v>0.0</v>
      </c>
      <c r="E20" s="312"/>
      <c r="F20" s="267"/>
      <c r="G20" s="310" t="s">
        <v>358</v>
      </c>
      <c r="H20" s="311" t="s">
        <v>369</v>
      </c>
      <c r="I20" s="125"/>
      <c r="J20" s="315">
        <v>0.0</v>
      </c>
      <c r="K20" s="312"/>
      <c r="L20" s="286"/>
    </row>
    <row r="21">
      <c r="A21" s="310" t="s">
        <v>360</v>
      </c>
      <c r="B21" s="311" t="s">
        <v>370</v>
      </c>
      <c r="C21" s="125"/>
      <c r="D21" s="313">
        <v>0.03</v>
      </c>
      <c r="E21" s="312"/>
      <c r="F21" s="267"/>
      <c r="G21" s="310" t="s">
        <v>360</v>
      </c>
      <c r="H21" s="311" t="s">
        <v>370</v>
      </c>
      <c r="I21" s="125"/>
      <c r="J21" s="315">
        <v>0.03</v>
      </c>
      <c r="K21" s="312"/>
      <c r="L21" s="286"/>
    </row>
    <row r="22">
      <c r="A22" s="316" t="s">
        <v>371</v>
      </c>
      <c r="B22" s="9"/>
      <c r="C22" s="9"/>
      <c r="D22" s="65"/>
      <c r="E22" s="309">
        <f>ROUND((((1+E11+E14+E13)*(1+E12)*(1+E16))/(1-D17))-1,4)</f>
        <v>0.2239</v>
      </c>
      <c r="F22" s="267"/>
      <c r="G22" s="316" t="s">
        <v>371</v>
      </c>
      <c r="H22" s="9"/>
      <c r="I22" s="9"/>
      <c r="J22" s="65"/>
      <c r="K22" s="309">
        <f>ROUND((((1+K11+K14+K13)*(1+K12)*(1+K16))/(1-J17))-1,4)</f>
        <v>0.1827</v>
      </c>
      <c r="L22" s="286"/>
    </row>
    <row r="23">
      <c r="A23" s="286"/>
      <c r="B23" s="267"/>
      <c r="C23" s="267"/>
      <c r="D23" s="267"/>
      <c r="E23" s="267"/>
      <c r="F23" s="267"/>
      <c r="G23" s="286"/>
      <c r="H23" s="267"/>
      <c r="I23" s="267"/>
      <c r="J23" s="267"/>
      <c r="K23" s="267"/>
      <c r="L23" s="286"/>
    </row>
    <row r="24">
      <c r="A24" s="316" t="s">
        <v>372</v>
      </c>
      <c r="B24" s="317"/>
      <c r="C24" s="317"/>
      <c r="D24" s="317"/>
      <c r="E24" s="318"/>
      <c r="F24" s="267"/>
      <c r="G24" s="316" t="s">
        <v>372</v>
      </c>
      <c r="H24" s="317"/>
      <c r="I24" s="317"/>
      <c r="J24" s="317"/>
      <c r="K24" s="318"/>
      <c r="L24" s="286"/>
    </row>
    <row r="25">
      <c r="A25" s="319" t="s">
        <v>373</v>
      </c>
      <c r="B25" s="320" t="s">
        <v>374</v>
      </c>
      <c r="C25" s="321"/>
      <c r="D25" s="321"/>
      <c r="E25" s="322"/>
      <c r="F25" s="267"/>
      <c r="G25" s="319" t="s">
        <v>373</v>
      </c>
      <c r="H25" s="320" t="s">
        <v>374</v>
      </c>
      <c r="I25" s="321"/>
      <c r="J25" s="321"/>
      <c r="K25" s="322"/>
      <c r="L25" s="286"/>
    </row>
    <row r="26">
      <c r="A26" s="323" t="s">
        <v>375</v>
      </c>
      <c r="B26" s="324" t="s">
        <v>376</v>
      </c>
      <c r="C26" s="325"/>
      <c r="D26" s="325"/>
      <c r="E26" s="326"/>
      <c r="F26" s="267"/>
      <c r="G26" s="323" t="s">
        <v>375</v>
      </c>
      <c r="H26" s="324" t="s">
        <v>376</v>
      </c>
      <c r="I26" s="325"/>
      <c r="J26" s="325"/>
      <c r="K26" s="326"/>
      <c r="L26" s="286"/>
    </row>
    <row r="27">
      <c r="A27" s="286"/>
      <c r="B27" s="286"/>
      <c r="C27" s="286"/>
      <c r="D27" s="286"/>
      <c r="E27" s="286"/>
      <c r="F27" s="286"/>
      <c r="G27" s="286"/>
      <c r="H27" s="286"/>
      <c r="I27" s="286"/>
      <c r="J27" s="286"/>
      <c r="K27" s="286"/>
      <c r="L27" s="286"/>
    </row>
  </sheetData>
  <mergeCells count="5">
    <mergeCell ref="A6:K6"/>
    <mergeCell ref="A8:E8"/>
    <mergeCell ref="G8:K8"/>
    <mergeCell ref="A22:D22"/>
    <mergeCell ref="G22:J22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9.63"/>
    <col customWidth="1" min="2" max="2" width="93.38"/>
    <col customWidth="1" min="3" max="3" width="19.75"/>
    <col customWidth="1" min="4" max="4" width="20.0"/>
    <col customWidth="1" min="5" max="5" width="19.75"/>
    <col customWidth="1" min="6" max="6" width="20.0"/>
  </cols>
  <sheetData>
    <row r="1">
      <c r="A1" s="246" t="s">
        <v>0</v>
      </c>
      <c r="B1" s="247" t="s">
        <v>1</v>
      </c>
      <c r="C1" s="246" t="s">
        <v>2</v>
      </c>
      <c r="D1" s="248">
        <f>TODAY()</f>
        <v>46056</v>
      </c>
      <c r="E1" s="327"/>
      <c r="F1" s="327"/>
      <c r="G1" s="286"/>
    </row>
    <row r="2">
      <c r="A2" s="246" t="s">
        <v>3</v>
      </c>
      <c r="B2" s="247" t="s">
        <v>4</v>
      </c>
      <c r="C2" s="246" t="s">
        <v>5</v>
      </c>
      <c r="D2" s="247" t="s">
        <v>320</v>
      </c>
      <c r="E2" s="257"/>
      <c r="F2" s="257"/>
      <c r="G2" s="286"/>
    </row>
    <row r="3">
      <c r="A3" s="246" t="s">
        <v>7</v>
      </c>
      <c r="B3" s="251" t="s">
        <v>8</v>
      </c>
      <c r="C3" s="246" t="s">
        <v>9</v>
      </c>
      <c r="D3" s="252"/>
      <c r="E3" s="252"/>
      <c r="F3" s="252"/>
      <c r="G3" s="286"/>
    </row>
    <row r="4">
      <c r="A4" s="246" t="s">
        <v>11</v>
      </c>
      <c r="B4" s="254" t="s">
        <v>12</v>
      </c>
      <c r="C4" s="252"/>
      <c r="D4" s="255"/>
      <c r="E4" s="328"/>
      <c r="F4" s="328"/>
      <c r="G4" s="286"/>
    </row>
    <row r="5">
      <c r="A5" s="246" t="s">
        <v>13</v>
      </c>
      <c r="B5" s="247" t="s">
        <v>14</v>
      </c>
      <c r="C5" s="257"/>
      <c r="D5" s="258"/>
      <c r="E5" s="329"/>
      <c r="F5" s="329"/>
      <c r="G5" s="286"/>
    </row>
    <row r="6">
      <c r="A6" s="123" t="s">
        <v>321</v>
      </c>
      <c r="B6" s="9"/>
      <c r="C6" s="9"/>
      <c r="D6" s="9"/>
      <c r="E6" s="9"/>
      <c r="F6" s="9"/>
      <c r="G6" s="286"/>
    </row>
    <row r="7">
      <c r="A7" s="286"/>
      <c r="B7" s="286"/>
      <c r="C7" s="286"/>
      <c r="D7" s="286"/>
      <c r="E7" s="286"/>
      <c r="F7" s="286"/>
      <c r="G7" s="286"/>
    </row>
    <row r="8">
      <c r="A8" s="330" t="s">
        <v>32</v>
      </c>
      <c r="B8" s="330" t="s">
        <v>33</v>
      </c>
      <c r="C8" s="331" t="s">
        <v>377</v>
      </c>
      <c r="D8" s="332"/>
      <c r="E8" s="331" t="s">
        <v>378</v>
      </c>
      <c r="F8" s="332"/>
      <c r="G8" s="286"/>
    </row>
    <row r="9">
      <c r="A9" s="333"/>
      <c r="B9" s="333"/>
      <c r="C9" s="334" t="s">
        <v>379</v>
      </c>
      <c r="D9" s="334" t="s">
        <v>380</v>
      </c>
      <c r="E9" s="334" t="s">
        <v>379</v>
      </c>
      <c r="F9" s="334" t="s">
        <v>380</v>
      </c>
      <c r="G9" s="286"/>
    </row>
    <row r="10">
      <c r="A10" s="335" t="s">
        <v>381</v>
      </c>
      <c r="B10" s="336"/>
      <c r="C10" s="336"/>
      <c r="D10" s="336"/>
      <c r="E10" s="336"/>
      <c r="F10" s="336"/>
      <c r="G10" s="286"/>
    </row>
    <row r="11">
      <c r="A11" s="337" t="s">
        <v>382</v>
      </c>
      <c r="B11" s="338" t="s">
        <v>383</v>
      </c>
      <c r="C11" s="339">
        <v>0.2</v>
      </c>
      <c r="D11" s="339">
        <v>0.05</v>
      </c>
      <c r="E11" s="339">
        <v>0.2</v>
      </c>
      <c r="F11" s="339">
        <v>0.05</v>
      </c>
      <c r="G11" s="286"/>
    </row>
    <row r="12">
      <c r="A12" s="337" t="s">
        <v>384</v>
      </c>
      <c r="B12" s="338" t="s">
        <v>385</v>
      </c>
      <c r="C12" s="339">
        <v>0.08</v>
      </c>
      <c r="D12" s="339">
        <v>0.08</v>
      </c>
      <c r="E12" s="339">
        <v>0.08</v>
      </c>
      <c r="F12" s="339">
        <v>0.08</v>
      </c>
      <c r="G12" s="286"/>
    </row>
    <row r="13">
      <c r="A13" s="337" t="s">
        <v>386</v>
      </c>
      <c r="B13" s="338" t="s">
        <v>387</v>
      </c>
      <c r="C13" s="339">
        <v>0.015</v>
      </c>
      <c r="D13" s="339">
        <v>0.015</v>
      </c>
      <c r="E13" s="339">
        <v>0.015</v>
      </c>
      <c r="F13" s="339">
        <v>0.015</v>
      </c>
      <c r="G13" s="286"/>
    </row>
    <row r="14">
      <c r="A14" s="337" t="s">
        <v>388</v>
      </c>
      <c r="B14" s="338" t="s">
        <v>389</v>
      </c>
      <c r="C14" s="339">
        <v>0.01</v>
      </c>
      <c r="D14" s="339">
        <v>0.01</v>
      </c>
      <c r="E14" s="339">
        <v>0.01</v>
      </c>
      <c r="F14" s="339">
        <v>0.01</v>
      </c>
      <c r="G14" s="286"/>
    </row>
    <row r="15">
      <c r="A15" s="337" t="s">
        <v>390</v>
      </c>
      <c r="B15" s="338" t="s">
        <v>391</v>
      </c>
      <c r="C15" s="339">
        <v>0.002</v>
      </c>
      <c r="D15" s="339">
        <v>0.002</v>
      </c>
      <c r="E15" s="339">
        <v>0.002</v>
      </c>
      <c r="F15" s="339">
        <v>0.002</v>
      </c>
      <c r="G15" s="286"/>
    </row>
    <row r="16">
      <c r="A16" s="337" t="s">
        <v>392</v>
      </c>
      <c r="B16" s="338" t="s">
        <v>393</v>
      </c>
      <c r="C16" s="339">
        <v>0.025</v>
      </c>
      <c r="D16" s="339">
        <v>0.025</v>
      </c>
      <c r="E16" s="339">
        <v>0.025</v>
      </c>
      <c r="F16" s="339">
        <v>0.025</v>
      </c>
      <c r="G16" s="286"/>
    </row>
    <row r="17">
      <c r="A17" s="337" t="s">
        <v>394</v>
      </c>
      <c r="B17" s="338" t="s">
        <v>395</v>
      </c>
      <c r="C17" s="339">
        <v>0.03</v>
      </c>
      <c r="D17" s="339">
        <v>0.03</v>
      </c>
      <c r="E17" s="339">
        <v>0.03</v>
      </c>
      <c r="F17" s="339">
        <v>0.03</v>
      </c>
      <c r="G17" s="286"/>
    </row>
    <row r="18">
      <c r="A18" s="337" t="s">
        <v>396</v>
      </c>
      <c r="B18" s="338" t="s">
        <v>397</v>
      </c>
      <c r="C18" s="339">
        <v>0.006</v>
      </c>
      <c r="D18" s="339">
        <v>0.006</v>
      </c>
      <c r="E18" s="339">
        <v>0.006</v>
      </c>
      <c r="F18" s="339">
        <v>0.006</v>
      </c>
      <c r="G18" s="286"/>
    </row>
    <row r="19">
      <c r="A19" s="337" t="s">
        <v>398</v>
      </c>
      <c r="B19" s="338" t="s">
        <v>399</v>
      </c>
      <c r="C19" s="339">
        <v>0.01</v>
      </c>
      <c r="D19" s="339">
        <v>0.01</v>
      </c>
      <c r="E19" s="339">
        <v>0.01</v>
      </c>
      <c r="F19" s="339">
        <v>0.01</v>
      </c>
      <c r="G19" s="286"/>
    </row>
    <row r="20">
      <c r="A20" s="340" t="s">
        <v>352</v>
      </c>
      <c r="B20" s="341" t="s">
        <v>195</v>
      </c>
      <c r="C20" s="342">
        <v>0.378</v>
      </c>
      <c r="D20" s="342">
        <v>0.228</v>
      </c>
      <c r="E20" s="342">
        <v>0.378</v>
      </c>
      <c r="F20" s="342">
        <v>0.228</v>
      </c>
      <c r="G20" s="286"/>
    </row>
    <row r="21">
      <c r="A21" s="335" t="s">
        <v>400</v>
      </c>
      <c r="B21" s="336"/>
      <c r="C21" s="336"/>
      <c r="D21" s="336"/>
      <c r="E21" s="336"/>
      <c r="F21" s="336"/>
      <c r="G21" s="286"/>
    </row>
    <row r="22">
      <c r="A22" s="337" t="s">
        <v>401</v>
      </c>
      <c r="B22" s="338" t="s">
        <v>402</v>
      </c>
      <c r="C22" s="339">
        <v>0.1816</v>
      </c>
      <c r="D22" s="339">
        <v>0.1816</v>
      </c>
      <c r="E22" s="339">
        <v>0.0</v>
      </c>
      <c r="F22" s="339">
        <v>0.0</v>
      </c>
      <c r="G22" s="286"/>
    </row>
    <row r="23">
      <c r="A23" s="337" t="s">
        <v>403</v>
      </c>
      <c r="B23" s="338" t="s">
        <v>404</v>
      </c>
      <c r="C23" s="339">
        <v>0.0417</v>
      </c>
      <c r="D23" s="339">
        <v>0.0417</v>
      </c>
      <c r="E23" s="339">
        <v>0.0</v>
      </c>
      <c r="F23" s="339">
        <v>0.0</v>
      </c>
      <c r="G23" s="286"/>
    </row>
    <row r="24">
      <c r="A24" s="337" t="s">
        <v>405</v>
      </c>
      <c r="B24" s="338" t="s">
        <v>406</v>
      </c>
      <c r="C24" s="339">
        <v>0.0094</v>
      </c>
      <c r="D24" s="339">
        <v>0.0094</v>
      </c>
      <c r="E24" s="339">
        <v>0.007</v>
      </c>
      <c r="F24" s="339">
        <v>0.007</v>
      </c>
      <c r="G24" s="286"/>
    </row>
    <row r="25">
      <c r="A25" s="337" t="s">
        <v>407</v>
      </c>
      <c r="B25" s="338" t="s">
        <v>408</v>
      </c>
      <c r="C25" s="339">
        <v>5.0E-4</v>
      </c>
      <c r="D25" s="339">
        <v>5.0E-4</v>
      </c>
      <c r="E25" s="339">
        <v>4.0E-4</v>
      </c>
      <c r="F25" s="339">
        <v>4.0E-4</v>
      </c>
      <c r="G25" s="286"/>
    </row>
    <row r="26">
      <c r="A26" s="337" t="s">
        <v>409</v>
      </c>
      <c r="B26" s="338" t="s">
        <v>410</v>
      </c>
      <c r="C26" s="339">
        <v>6.0E-4</v>
      </c>
      <c r="D26" s="339">
        <v>6.0E-4</v>
      </c>
      <c r="E26" s="339">
        <v>5.0E-4</v>
      </c>
      <c r="F26" s="339">
        <v>5.0E-4</v>
      </c>
      <c r="G26" s="286"/>
    </row>
    <row r="27">
      <c r="A27" s="337" t="s">
        <v>411</v>
      </c>
      <c r="B27" s="338" t="s">
        <v>412</v>
      </c>
      <c r="C27" s="339">
        <v>0.0075</v>
      </c>
      <c r="D27" s="339">
        <v>0.0075</v>
      </c>
      <c r="E27" s="339">
        <v>0.0056</v>
      </c>
      <c r="F27" s="339">
        <v>0.0056</v>
      </c>
      <c r="G27" s="286"/>
    </row>
    <row r="28">
      <c r="A28" s="337" t="s">
        <v>413</v>
      </c>
      <c r="B28" s="338" t="s">
        <v>414</v>
      </c>
      <c r="C28" s="339">
        <v>0.119</v>
      </c>
      <c r="D28" s="339">
        <v>0.119</v>
      </c>
      <c r="E28" s="339">
        <v>0.0888</v>
      </c>
      <c r="F28" s="339">
        <v>0.0888</v>
      </c>
      <c r="G28" s="286"/>
    </row>
    <row r="29">
      <c r="A29" s="337" t="s">
        <v>415</v>
      </c>
      <c r="B29" s="338" t="s">
        <v>416</v>
      </c>
      <c r="C29" s="339">
        <v>1.0E-4</v>
      </c>
      <c r="D29" s="339">
        <v>1.0E-4</v>
      </c>
      <c r="E29" s="339">
        <v>1.0E-4</v>
      </c>
      <c r="F29" s="339">
        <v>1.0E-4</v>
      </c>
      <c r="G29" s="286"/>
    </row>
    <row r="30">
      <c r="A30" s="337" t="s">
        <v>417</v>
      </c>
      <c r="B30" s="338" t="s">
        <v>418</v>
      </c>
      <c r="C30" s="339">
        <v>0.1117</v>
      </c>
      <c r="D30" s="339">
        <v>0.1117</v>
      </c>
      <c r="E30" s="339">
        <v>0.0833</v>
      </c>
      <c r="F30" s="339">
        <v>0.0833</v>
      </c>
      <c r="G30" s="286"/>
    </row>
    <row r="31">
      <c r="A31" s="340" t="s">
        <v>362</v>
      </c>
      <c r="B31" s="341" t="s">
        <v>195</v>
      </c>
      <c r="C31" s="342">
        <v>0.4721</v>
      </c>
      <c r="D31" s="342">
        <v>0.4721</v>
      </c>
      <c r="E31" s="342">
        <v>0.1857</v>
      </c>
      <c r="F31" s="342">
        <v>0.1857</v>
      </c>
      <c r="G31" s="286"/>
    </row>
    <row r="32">
      <c r="A32" s="335" t="s">
        <v>419</v>
      </c>
      <c r="B32" s="336"/>
      <c r="C32" s="336"/>
      <c r="D32" s="336"/>
      <c r="E32" s="336"/>
      <c r="F32" s="336"/>
      <c r="G32" s="286"/>
    </row>
    <row r="33">
      <c r="A33" s="337" t="s">
        <v>420</v>
      </c>
      <c r="B33" s="338" t="s">
        <v>421</v>
      </c>
      <c r="C33" s="339">
        <v>0.0698</v>
      </c>
      <c r="D33" s="339">
        <v>0.0698</v>
      </c>
      <c r="E33" s="339">
        <v>0.052</v>
      </c>
      <c r="F33" s="339">
        <v>0.052</v>
      </c>
      <c r="G33" s="286"/>
    </row>
    <row r="34">
      <c r="A34" s="337" t="s">
        <v>422</v>
      </c>
      <c r="B34" s="338" t="s">
        <v>423</v>
      </c>
      <c r="C34" s="339">
        <v>0.0016</v>
      </c>
      <c r="D34" s="339">
        <v>0.0016</v>
      </c>
      <c r="E34" s="339">
        <v>0.0012</v>
      </c>
      <c r="F34" s="339">
        <v>0.0012</v>
      </c>
      <c r="G34" s="286"/>
    </row>
    <row r="35">
      <c r="A35" s="337" t="s">
        <v>424</v>
      </c>
      <c r="B35" s="338" t="s">
        <v>425</v>
      </c>
      <c r="C35" s="339">
        <v>0.0235</v>
      </c>
      <c r="D35" s="339">
        <v>0.0235</v>
      </c>
      <c r="E35" s="339">
        <v>0.0174</v>
      </c>
      <c r="F35" s="339">
        <v>0.0174</v>
      </c>
      <c r="G35" s="286"/>
    </row>
    <row r="36">
      <c r="A36" s="337" t="s">
        <v>426</v>
      </c>
      <c r="B36" s="338" t="s">
        <v>427</v>
      </c>
      <c r="C36" s="339">
        <v>0.0381</v>
      </c>
      <c r="D36" s="339">
        <v>0.0381</v>
      </c>
      <c r="E36" s="339">
        <v>0.0283</v>
      </c>
      <c r="F36" s="339">
        <v>0.0283</v>
      </c>
      <c r="G36" s="286"/>
    </row>
    <row r="37">
      <c r="A37" s="337" t="s">
        <v>428</v>
      </c>
      <c r="B37" s="338" t="s">
        <v>429</v>
      </c>
      <c r="C37" s="339">
        <v>0.0059</v>
      </c>
      <c r="D37" s="339">
        <v>0.0059</v>
      </c>
      <c r="E37" s="339">
        <v>0.0044</v>
      </c>
      <c r="F37" s="339">
        <v>0.0044</v>
      </c>
      <c r="G37" s="286"/>
    </row>
    <row r="38">
      <c r="A38" s="340" t="s">
        <v>365</v>
      </c>
      <c r="B38" s="341" t="s">
        <v>195</v>
      </c>
      <c r="C38" s="342">
        <v>0.1389</v>
      </c>
      <c r="D38" s="342">
        <v>0.1389</v>
      </c>
      <c r="E38" s="342">
        <v>0.1033</v>
      </c>
      <c r="F38" s="342">
        <v>0.1033</v>
      </c>
      <c r="G38" s="286"/>
    </row>
    <row r="39">
      <c r="A39" s="335" t="s">
        <v>430</v>
      </c>
      <c r="B39" s="336"/>
      <c r="C39" s="336"/>
      <c r="D39" s="336"/>
      <c r="E39" s="336"/>
      <c r="F39" s="336"/>
      <c r="G39" s="286"/>
    </row>
    <row r="40">
      <c r="A40" s="337" t="s">
        <v>431</v>
      </c>
      <c r="B40" s="338" t="s">
        <v>432</v>
      </c>
      <c r="C40" s="339">
        <v>0.1785</v>
      </c>
      <c r="D40" s="339">
        <v>0.1021</v>
      </c>
      <c r="E40" s="339">
        <v>0.0702</v>
      </c>
      <c r="F40" s="339">
        <v>0.0382</v>
      </c>
      <c r="G40" s="286"/>
    </row>
    <row r="41">
      <c r="A41" s="337" t="s">
        <v>433</v>
      </c>
      <c r="B41" s="338" t="s">
        <v>434</v>
      </c>
      <c r="C41" s="339">
        <v>6.0E-4</v>
      </c>
      <c r="D41" s="339">
        <v>4.0E-4</v>
      </c>
      <c r="E41" s="339">
        <v>5.0E-4</v>
      </c>
      <c r="F41" s="339">
        <v>3.0E-4</v>
      </c>
      <c r="G41" s="286"/>
    </row>
    <row r="42">
      <c r="A42" s="337" t="s">
        <v>435</v>
      </c>
      <c r="B42" s="338" t="s">
        <v>436</v>
      </c>
      <c r="C42" s="339">
        <v>0.0056</v>
      </c>
      <c r="D42" s="339">
        <v>0.0056</v>
      </c>
      <c r="E42" s="339">
        <v>0.0042</v>
      </c>
      <c r="F42" s="339">
        <v>0.0042</v>
      </c>
      <c r="G42" s="286"/>
    </row>
    <row r="43">
      <c r="A43" s="340" t="s">
        <v>437</v>
      </c>
      <c r="B43" s="341" t="s">
        <v>195</v>
      </c>
      <c r="C43" s="342">
        <v>0.1847</v>
      </c>
      <c r="D43" s="342">
        <v>0.1081</v>
      </c>
      <c r="E43" s="342">
        <v>0.0749</v>
      </c>
      <c r="F43" s="342">
        <v>0.0427</v>
      </c>
      <c r="G43" s="286"/>
    </row>
    <row r="44">
      <c r="A44" s="335" t="s">
        <v>438</v>
      </c>
      <c r="B44" s="336"/>
      <c r="C44" s="343">
        <v>1.1737</v>
      </c>
      <c r="D44" s="343">
        <v>0.9471</v>
      </c>
      <c r="E44" s="343">
        <v>0.7419</v>
      </c>
      <c r="F44" s="343">
        <v>0.5597</v>
      </c>
      <c r="G44" s="286"/>
    </row>
    <row r="45">
      <c r="A45" s="344"/>
      <c r="B45" s="345"/>
      <c r="C45" s="345"/>
      <c r="D45" s="345"/>
      <c r="E45" s="345"/>
      <c r="F45" s="345"/>
      <c r="G45" s="286"/>
    </row>
    <row r="46">
      <c r="A46" s="346" t="s">
        <v>439</v>
      </c>
      <c r="B46" s="347" t="s">
        <v>440</v>
      </c>
      <c r="C46" s="286"/>
      <c r="D46" s="286"/>
      <c r="E46" s="286"/>
      <c r="F46" s="286"/>
      <c r="G46" s="286"/>
    </row>
    <row r="47">
      <c r="A47" s="346" t="s">
        <v>439</v>
      </c>
      <c r="B47" s="347" t="s">
        <v>441</v>
      </c>
      <c r="C47" s="286"/>
      <c r="D47" s="286"/>
      <c r="E47" s="286"/>
      <c r="F47" s="286"/>
      <c r="G47" s="286"/>
    </row>
    <row r="48">
      <c r="A48" s="348"/>
      <c r="B48" s="349"/>
      <c r="C48" s="349"/>
      <c r="D48" s="349"/>
      <c r="E48" s="349"/>
      <c r="F48" s="349"/>
      <c r="G48" s="286"/>
    </row>
    <row r="49">
      <c r="A49" s="286"/>
      <c r="B49" s="286"/>
      <c r="C49" s="286"/>
      <c r="D49" s="286"/>
      <c r="E49" s="286"/>
      <c r="F49" s="286"/>
      <c r="G49" s="286"/>
    </row>
  </sheetData>
  <mergeCells count="1">
    <mergeCell ref="A6:F6"/>
  </mergeCells>
  <hyperlinks>
    <hyperlink r:id="rId1" ref="B46"/>
    <hyperlink r:id="rId2" ref="B47"/>
  </hyperlinks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0.25"/>
    <col customWidth="1" min="2" max="2" width="23.88"/>
    <col customWidth="1" min="3" max="3" width="6.75"/>
    <col customWidth="1" min="4" max="4" width="78.25"/>
    <col customWidth="1" min="5" max="5" width="13.5"/>
    <col customWidth="1" min="6" max="6" width="10.63"/>
    <col customWidth="1" min="7" max="7" width="14.25"/>
    <col customWidth="1" min="8" max="8" width="11.25"/>
    <col customWidth="1" min="9" max="9" width="11.88"/>
    <col customWidth="1" min="10" max="10" width="11.25"/>
    <col customWidth="1" min="11" max="11" width="10.25"/>
  </cols>
  <sheetData>
    <row r="1">
      <c r="A1" s="350" t="s">
        <v>0</v>
      </c>
      <c r="B1" s="2" t="s">
        <v>1</v>
      </c>
      <c r="C1" s="188"/>
      <c r="D1" s="188"/>
      <c r="E1" s="1" t="s">
        <v>2</v>
      </c>
      <c r="F1" s="351">
        <f>TODAY()</f>
        <v>46056</v>
      </c>
      <c r="G1" s="351"/>
      <c r="H1" s="352"/>
      <c r="I1" s="352"/>
      <c r="J1" s="352"/>
      <c r="K1" s="353"/>
      <c r="L1" s="5"/>
      <c r="M1" s="5"/>
      <c r="N1" s="5"/>
      <c r="O1" s="5"/>
    </row>
    <row r="2">
      <c r="A2" s="350" t="s">
        <v>3</v>
      </c>
      <c r="B2" s="354" t="s">
        <v>4</v>
      </c>
      <c r="C2" s="183"/>
      <c r="D2" s="183"/>
      <c r="E2" s="355" t="s">
        <v>5</v>
      </c>
      <c r="F2" s="2" t="s">
        <v>6</v>
      </c>
      <c r="G2" s="2"/>
      <c r="H2" s="188"/>
      <c r="I2" s="188"/>
      <c r="J2" s="188"/>
      <c r="K2" s="180"/>
      <c r="L2" s="5"/>
      <c r="M2" s="5"/>
      <c r="N2" s="5"/>
      <c r="O2" s="5"/>
    </row>
    <row r="3">
      <c r="A3" s="350" t="s">
        <v>7</v>
      </c>
      <c r="B3" s="356" t="s">
        <v>8</v>
      </c>
      <c r="C3" s="183"/>
      <c r="D3" s="183"/>
      <c r="E3" s="10" t="s">
        <v>10</v>
      </c>
      <c r="F3" s="53"/>
      <c r="G3" s="53"/>
      <c r="H3" s="53"/>
      <c r="I3" s="53"/>
      <c r="J3" s="53"/>
      <c r="K3" s="54"/>
      <c r="L3" s="5"/>
      <c r="M3" s="5"/>
      <c r="N3" s="5"/>
      <c r="O3" s="5"/>
    </row>
    <row r="4">
      <c r="A4" s="350" t="s">
        <v>11</v>
      </c>
      <c r="B4" s="354" t="s">
        <v>12</v>
      </c>
      <c r="C4" s="183"/>
      <c r="D4" s="183"/>
      <c r="E4" s="357"/>
      <c r="F4" s="358"/>
      <c r="G4" s="359"/>
      <c r="H4" s="360"/>
      <c r="I4" s="360"/>
      <c r="J4" s="360"/>
      <c r="K4" s="361"/>
      <c r="L4" s="5"/>
      <c r="M4" s="5"/>
      <c r="N4" s="5"/>
      <c r="O4" s="5"/>
    </row>
    <row r="5">
      <c r="A5" s="350" t="s">
        <v>13</v>
      </c>
      <c r="B5" s="354" t="s">
        <v>14</v>
      </c>
      <c r="C5" s="183"/>
      <c r="D5" s="183"/>
      <c r="E5" s="362"/>
      <c r="F5" s="363"/>
      <c r="G5" s="364"/>
      <c r="H5" s="365"/>
      <c r="I5" s="365"/>
      <c r="J5" s="365"/>
      <c r="K5" s="366"/>
      <c r="L5" s="5"/>
      <c r="M5" s="5"/>
      <c r="N5" s="5"/>
      <c r="O5" s="5"/>
    </row>
    <row r="6">
      <c r="A6" s="14" t="s">
        <v>442</v>
      </c>
      <c r="B6" s="9"/>
      <c r="C6" s="9"/>
      <c r="D6" s="9"/>
      <c r="E6" s="9"/>
      <c r="F6" s="9"/>
      <c r="G6" s="9"/>
      <c r="H6" s="9"/>
      <c r="I6" s="9"/>
      <c r="J6" s="9"/>
      <c r="K6" s="65"/>
      <c r="L6" s="5"/>
      <c r="M6" s="5"/>
      <c r="N6" s="5"/>
      <c r="O6" s="5"/>
    </row>
    <row r="7">
      <c r="A7" s="367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>
      <c r="A8" s="368" t="s">
        <v>443</v>
      </c>
      <c r="B8" s="368" t="s">
        <v>444</v>
      </c>
      <c r="C8" s="368" t="s">
        <v>445</v>
      </c>
      <c r="D8" s="368" t="s">
        <v>446</v>
      </c>
      <c r="E8" s="368" t="s">
        <v>194</v>
      </c>
      <c r="F8" s="368" t="s">
        <v>447</v>
      </c>
      <c r="G8" s="368" t="s">
        <v>448</v>
      </c>
      <c r="H8" s="368" t="s">
        <v>449</v>
      </c>
      <c r="I8" s="368" t="s">
        <v>450</v>
      </c>
      <c r="J8" s="368" t="s">
        <v>451</v>
      </c>
      <c r="K8" s="369" t="s">
        <v>452</v>
      </c>
      <c r="L8" s="68" t="s">
        <v>42</v>
      </c>
      <c r="M8" s="68" t="s">
        <v>453</v>
      </c>
      <c r="N8" s="66" t="s">
        <v>454</v>
      </c>
      <c r="O8" s="369" t="s">
        <v>455</v>
      </c>
    </row>
    <row r="9">
      <c r="A9" s="42">
        <v>1.0</v>
      </c>
      <c r="B9" s="370"/>
      <c r="C9" s="370"/>
      <c r="D9" s="33" t="s">
        <v>456</v>
      </c>
      <c r="E9" s="66" t="s">
        <v>71</v>
      </c>
      <c r="F9" s="371"/>
      <c r="G9" s="372"/>
      <c r="H9" s="372"/>
      <c r="I9" s="372">
        <f t="shared" ref="I9:K9" si="1">SUM(I10:I13)</f>
        <v>139.02</v>
      </c>
      <c r="J9" s="372">
        <f t="shared" si="1"/>
        <v>7.869</v>
      </c>
      <c r="K9" s="372">
        <f t="shared" si="1"/>
        <v>146.889</v>
      </c>
      <c r="L9" s="373"/>
      <c r="M9" s="372">
        <f t="shared" ref="M9:N9" si="2">SUM(M10:M13)</f>
        <v>139.02</v>
      </c>
      <c r="N9" s="372">
        <f t="shared" si="2"/>
        <v>7.878654769</v>
      </c>
      <c r="O9" s="374">
        <f t="shared" ref="O9:O13" si="3">N9+M9</f>
        <v>146.8986548</v>
      </c>
    </row>
    <row r="10">
      <c r="A10" s="375"/>
      <c r="B10" s="91" t="s">
        <v>130</v>
      </c>
      <c r="C10" s="91">
        <v>2.0</v>
      </c>
      <c r="D10" s="376" t="s">
        <v>457</v>
      </c>
      <c r="E10" s="91" t="s">
        <v>194</v>
      </c>
      <c r="F10" s="377">
        <v>1.0</v>
      </c>
      <c r="G10" s="378">
        <f>'COTAÇÕES'!I15</f>
        <v>127.69</v>
      </c>
      <c r="H10" s="378">
        <v>0.0</v>
      </c>
      <c r="I10" s="378">
        <f t="shared" ref="I10:I13" si="4">G10*F10</f>
        <v>127.69</v>
      </c>
      <c r="J10" s="378">
        <f t="shared" ref="J10:J13" si="5">F10*H10</f>
        <v>0</v>
      </c>
      <c r="K10" s="378">
        <f t="shared" ref="K10:K13" si="6">I10+J10</f>
        <v>127.69</v>
      </c>
      <c r="L10" s="379">
        <v>0.0</v>
      </c>
      <c r="M10" s="80">
        <f t="shared" ref="M10:M13" si="7">(1+L10)*I10</f>
        <v>127.69</v>
      </c>
      <c r="N10" s="80">
        <f t="shared" ref="N10:N13" si="8">(1+L10)*J10</f>
        <v>0</v>
      </c>
      <c r="O10" s="374">
        <f t="shared" si="3"/>
        <v>127.69</v>
      </c>
    </row>
    <row r="11">
      <c r="A11" s="375"/>
      <c r="B11" s="91" t="s">
        <v>125</v>
      </c>
      <c r="C11" s="380">
        <v>131.0</v>
      </c>
      <c r="D11" s="381" t="s">
        <v>458</v>
      </c>
      <c r="E11" s="91" t="s">
        <v>133</v>
      </c>
      <c r="F11" s="377">
        <v>0.25</v>
      </c>
      <c r="G11" s="378">
        <v>45.32</v>
      </c>
      <c r="H11" s="382">
        <v>0.0</v>
      </c>
      <c r="I11" s="378">
        <f t="shared" si="4"/>
        <v>11.33</v>
      </c>
      <c r="J11" s="378">
        <f t="shared" si="5"/>
        <v>0</v>
      </c>
      <c r="K11" s="378">
        <f t="shared" si="6"/>
        <v>11.33</v>
      </c>
      <c r="L11" s="240">
        <f>INCC!C27</f>
        <v>0</v>
      </c>
      <c r="M11" s="80">
        <f t="shared" si="7"/>
        <v>11.33</v>
      </c>
      <c r="N11" s="80">
        <f t="shared" si="8"/>
        <v>0</v>
      </c>
      <c r="O11" s="374">
        <f t="shared" si="3"/>
        <v>11.33</v>
      </c>
    </row>
    <row r="12">
      <c r="A12" s="375"/>
      <c r="B12" s="91" t="s">
        <v>47</v>
      </c>
      <c r="C12" s="380">
        <v>5.0</v>
      </c>
      <c r="D12" s="381" t="s">
        <v>459</v>
      </c>
      <c r="E12" s="91" t="s">
        <v>460</v>
      </c>
      <c r="F12" s="377">
        <v>0.1</v>
      </c>
      <c r="G12" s="382">
        <v>0.0</v>
      </c>
      <c r="H12" s="378">
        <v>20.33</v>
      </c>
      <c r="I12" s="378">
        <f t="shared" si="4"/>
        <v>0</v>
      </c>
      <c r="J12" s="378">
        <f t="shared" si="5"/>
        <v>2.033</v>
      </c>
      <c r="K12" s="378">
        <f t="shared" si="6"/>
        <v>2.033</v>
      </c>
      <c r="L12" s="240">
        <f>INCC!$C$26</f>
        <v>0.004749025652</v>
      </c>
      <c r="M12" s="80">
        <f t="shared" si="7"/>
        <v>0</v>
      </c>
      <c r="N12" s="80">
        <f t="shared" si="8"/>
        <v>2.042654769</v>
      </c>
      <c r="O12" s="374">
        <f t="shared" si="3"/>
        <v>2.042654769</v>
      </c>
    </row>
    <row r="13">
      <c r="A13" s="383"/>
      <c r="B13" s="91" t="s">
        <v>47</v>
      </c>
      <c r="C13" s="91">
        <v>33.0</v>
      </c>
      <c r="D13" s="384" t="s">
        <v>461</v>
      </c>
      <c r="E13" s="91" t="s">
        <v>460</v>
      </c>
      <c r="F13" s="377">
        <v>0.2</v>
      </c>
      <c r="G13" s="382">
        <v>0.0</v>
      </c>
      <c r="H13" s="378">
        <v>29.18</v>
      </c>
      <c r="I13" s="378">
        <f t="shared" si="4"/>
        <v>0</v>
      </c>
      <c r="J13" s="378">
        <f t="shared" si="5"/>
        <v>5.836</v>
      </c>
      <c r="K13" s="378">
        <f t="shared" si="6"/>
        <v>5.836</v>
      </c>
      <c r="L13" s="240">
        <f>INCC!C27</f>
        <v>0</v>
      </c>
      <c r="M13" s="80">
        <f t="shared" si="7"/>
        <v>0</v>
      </c>
      <c r="N13" s="80">
        <f t="shared" si="8"/>
        <v>5.836</v>
      </c>
      <c r="O13" s="374">
        <f t="shared" si="3"/>
        <v>5.836</v>
      </c>
    </row>
    <row r="14">
      <c r="A14" s="385"/>
      <c r="B14" s="25"/>
      <c r="C14" s="25"/>
      <c r="D14" s="25"/>
      <c r="E14" s="25"/>
      <c r="F14" s="386"/>
      <c r="G14" s="386"/>
      <c r="H14" s="386"/>
      <c r="I14" s="386"/>
      <c r="J14" s="386"/>
      <c r="K14" s="386"/>
      <c r="L14" s="5"/>
      <c r="M14" s="5"/>
      <c r="N14" s="5"/>
      <c r="O14" s="5"/>
    </row>
    <row r="15">
      <c r="A15" s="368" t="s">
        <v>443</v>
      </c>
      <c r="B15" s="368" t="s">
        <v>444</v>
      </c>
      <c r="C15" s="368" t="s">
        <v>445</v>
      </c>
      <c r="D15" s="368" t="s">
        <v>446</v>
      </c>
      <c r="E15" s="368" t="s">
        <v>194</v>
      </c>
      <c r="F15" s="368" t="s">
        <v>447</v>
      </c>
      <c r="G15" s="368" t="s">
        <v>448</v>
      </c>
      <c r="H15" s="368" t="s">
        <v>449</v>
      </c>
      <c r="I15" s="368" t="s">
        <v>450</v>
      </c>
      <c r="J15" s="368" t="s">
        <v>451</v>
      </c>
      <c r="K15" s="369" t="s">
        <v>452</v>
      </c>
      <c r="L15" s="68" t="s">
        <v>42</v>
      </c>
      <c r="M15" s="68" t="s">
        <v>453</v>
      </c>
      <c r="N15" s="66" t="s">
        <v>454</v>
      </c>
      <c r="O15" s="369" t="s">
        <v>455</v>
      </c>
    </row>
    <row r="16">
      <c r="A16" s="42">
        <v>2.0</v>
      </c>
      <c r="B16" s="370"/>
      <c r="C16" s="370"/>
      <c r="D16" s="33" t="s">
        <v>180</v>
      </c>
      <c r="E16" s="66" t="s">
        <v>462</v>
      </c>
      <c r="F16" s="371"/>
      <c r="G16" s="372"/>
      <c r="H16" s="372"/>
      <c r="I16" s="372">
        <f t="shared" ref="I16:K16" si="9">SUM(I17:I19)</f>
        <v>652.4</v>
      </c>
      <c r="J16" s="372">
        <f t="shared" si="9"/>
        <v>209.8063</v>
      </c>
      <c r="K16" s="372">
        <f t="shared" si="9"/>
        <v>862.2063</v>
      </c>
      <c r="L16" s="373"/>
      <c r="M16" s="372">
        <f t="shared" ref="M16:N16" si="10">SUM(M17:M20)</f>
        <v>653.7456452</v>
      </c>
      <c r="N16" s="372">
        <f t="shared" si="10"/>
        <v>210.8026755</v>
      </c>
      <c r="O16" s="374">
        <f t="shared" ref="O16:O19" si="11">N16+M16</f>
        <v>864.5483207</v>
      </c>
    </row>
    <row r="17">
      <c r="A17" s="375"/>
      <c r="B17" s="91" t="s">
        <v>65</v>
      </c>
      <c r="C17" s="91">
        <v>7309.0</v>
      </c>
      <c r="D17" s="376" t="s">
        <v>463</v>
      </c>
      <c r="E17" s="91" t="s">
        <v>71</v>
      </c>
      <c r="F17" s="377">
        <v>1.0</v>
      </c>
      <c r="G17" s="378">
        <v>652.4</v>
      </c>
      <c r="H17" s="378">
        <v>0.0</v>
      </c>
      <c r="I17" s="378">
        <f t="shared" ref="I17:I19" si="12">G17*F17</f>
        <v>652.4</v>
      </c>
      <c r="J17" s="378">
        <f t="shared" ref="J17:J19" si="13">F17*H17</f>
        <v>0</v>
      </c>
      <c r="K17" s="378">
        <f t="shared" ref="K17:K19" si="14">I17+J17</f>
        <v>652.4</v>
      </c>
      <c r="L17" s="218">
        <f>INCC!$C$29</f>
        <v>0.002062607648</v>
      </c>
      <c r="M17" s="80">
        <f t="shared" ref="M17:M19" si="15">(1+L17)*I17</f>
        <v>653.7456452</v>
      </c>
      <c r="N17" s="80">
        <f t="shared" ref="N17:N19" si="16">(1+L17)*J17</f>
        <v>0</v>
      </c>
      <c r="O17" s="374">
        <f t="shared" si="11"/>
        <v>653.7456452</v>
      </c>
    </row>
    <row r="18">
      <c r="A18" s="375"/>
      <c r="B18" s="91" t="s">
        <v>47</v>
      </c>
      <c r="C18" s="380">
        <v>21.0</v>
      </c>
      <c r="D18" s="381" t="s">
        <v>464</v>
      </c>
      <c r="E18" s="91" t="s">
        <v>460</v>
      </c>
      <c r="F18" s="377">
        <v>4.51</v>
      </c>
      <c r="G18" s="382">
        <v>0.0</v>
      </c>
      <c r="H18" s="378">
        <v>29.17</v>
      </c>
      <c r="I18" s="378">
        <f t="shared" si="12"/>
        <v>0</v>
      </c>
      <c r="J18" s="378">
        <f t="shared" si="13"/>
        <v>131.5567</v>
      </c>
      <c r="K18" s="378">
        <f t="shared" si="14"/>
        <v>131.5567</v>
      </c>
      <c r="L18" s="240">
        <f>INCC!$C$26</f>
        <v>0.004749025652</v>
      </c>
      <c r="M18" s="80">
        <f t="shared" si="15"/>
        <v>0</v>
      </c>
      <c r="N18" s="80">
        <f t="shared" si="16"/>
        <v>132.1814661</v>
      </c>
      <c r="O18" s="374">
        <f t="shared" si="11"/>
        <v>132.1814661</v>
      </c>
    </row>
    <row r="19">
      <c r="A19" s="383"/>
      <c r="B19" s="91" t="s">
        <v>47</v>
      </c>
      <c r="C19" s="91">
        <v>8.0</v>
      </c>
      <c r="D19" s="384" t="s">
        <v>465</v>
      </c>
      <c r="E19" s="91" t="s">
        <v>460</v>
      </c>
      <c r="F19" s="377">
        <v>3.52</v>
      </c>
      <c r="G19" s="382">
        <v>0.0</v>
      </c>
      <c r="H19" s="378">
        <v>22.23</v>
      </c>
      <c r="I19" s="378">
        <f t="shared" si="12"/>
        <v>0</v>
      </c>
      <c r="J19" s="378">
        <f t="shared" si="13"/>
        <v>78.2496</v>
      </c>
      <c r="K19" s="378">
        <f t="shared" si="14"/>
        <v>78.2496</v>
      </c>
      <c r="L19" s="240">
        <f>INCC!$C$26</f>
        <v>0.004749025652</v>
      </c>
      <c r="M19" s="80">
        <f t="shared" si="15"/>
        <v>0</v>
      </c>
      <c r="N19" s="80">
        <f t="shared" si="16"/>
        <v>78.62120936</v>
      </c>
      <c r="O19" s="374">
        <f t="shared" si="11"/>
        <v>78.62120936</v>
      </c>
    </row>
    <row r="20">
      <c r="A20" s="385"/>
      <c r="B20" s="387" t="s">
        <v>466</v>
      </c>
      <c r="C20" s="388"/>
      <c r="D20" s="388"/>
      <c r="E20" s="388"/>
      <c r="F20" s="388"/>
      <c r="G20" s="388"/>
      <c r="H20" s="388"/>
      <c r="I20" s="388"/>
      <c r="J20" s="388"/>
      <c r="K20" s="388"/>
      <c r="L20" s="5"/>
      <c r="M20" s="5"/>
      <c r="N20" s="5"/>
      <c r="O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>
      <c r="A22" s="368" t="s">
        <v>443</v>
      </c>
      <c r="B22" s="368" t="s">
        <v>444</v>
      </c>
      <c r="C22" s="368" t="s">
        <v>445</v>
      </c>
      <c r="D22" s="368" t="s">
        <v>446</v>
      </c>
      <c r="E22" s="368" t="s">
        <v>194</v>
      </c>
      <c r="F22" s="368" t="s">
        <v>447</v>
      </c>
      <c r="G22" s="368" t="s">
        <v>448</v>
      </c>
      <c r="H22" s="368" t="s">
        <v>449</v>
      </c>
      <c r="I22" s="368" t="s">
        <v>450</v>
      </c>
      <c r="J22" s="368" t="s">
        <v>451</v>
      </c>
      <c r="K22" s="369" t="s">
        <v>452</v>
      </c>
      <c r="L22" s="68" t="s">
        <v>42</v>
      </c>
      <c r="M22" s="68" t="s">
        <v>453</v>
      </c>
      <c r="N22" s="66" t="s">
        <v>454</v>
      </c>
      <c r="O22" s="369" t="s">
        <v>455</v>
      </c>
    </row>
    <row r="23">
      <c r="A23" s="42">
        <v>3.0</v>
      </c>
      <c r="B23" s="370"/>
      <c r="C23" s="370"/>
      <c r="D23" s="33" t="s">
        <v>467</v>
      </c>
      <c r="E23" s="66" t="s">
        <v>194</v>
      </c>
      <c r="F23" s="389">
        <v>1.0</v>
      </c>
      <c r="G23" s="372"/>
      <c r="H23" s="372"/>
      <c r="I23" s="372">
        <f t="shared" ref="I23:K23" si="17">SUM(I24:I27)</f>
        <v>1786.640056</v>
      </c>
      <c r="J23" s="372">
        <f t="shared" si="17"/>
        <v>33.452892</v>
      </c>
      <c r="K23" s="372">
        <f t="shared" si="17"/>
        <v>1820.092948</v>
      </c>
      <c r="L23" s="373"/>
      <c r="M23" s="372">
        <f t="shared" ref="M23:N23" si="18">SUM(M24:M27)</f>
        <v>1786.640056</v>
      </c>
      <c r="N23" s="372">
        <f t="shared" si="18"/>
        <v>33.61176064</v>
      </c>
      <c r="O23" s="374">
        <f t="shared" ref="O23:O27" si="19">N23+M23</f>
        <v>1820.251817</v>
      </c>
    </row>
    <row r="24">
      <c r="A24" s="375"/>
      <c r="B24" s="91" t="s">
        <v>125</v>
      </c>
      <c r="C24" s="91">
        <v>11296.0</v>
      </c>
      <c r="D24" s="376" t="s">
        <v>468</v>
      </c>
      <c r="E24" s="91" t="s">
        <v>133</v>
      </c>
      <c r="F24" s="377">
        <v>1.0</v>
      </c>
      <c r="G24" s="378">
        <v>1771.81</v>
      </c>
      <c r="H24" s="378">
        <v>0.0</v>
      </c>
      <c r="I24" s="378">
        <f t="shared" ref="I24:I25" si="20">G24*F24</f>
        <v>1771.81</v>
      </c>
      <c r="J24" s="378">
        <f t="shared" ref="J24:J25" si="21">F24*H24</f>
        <v>0</v>
      </c>
      <c r="K24" s="378">
        <f t="shared" ref="K24:K25" si="22">I24+J24</f>
        <v>1771.81</v>
      </c>
      <c r="L24" s="379">
        <f>INCC!$C$27</f>
        <v>0</v>
      </c>
      <c r="M24" s="80">
        <f t="shared" ref="M24:M27" si="23">(1+L24)*I24</f>
        <v>1771.81</v>
      </c>
      <c r="N24" s="80">
        <f t="shared" ref="N24:N27" si="24">(1+L24)*J24</f>
        <v>0</v>
      </c>
      <c r="O24" s="374">
        <f t="shared" si="19"/>
        <v>1771.81</v>
      </c>
    </row>
    <row r="25">
      <c r="A25" s="375"/>
      <c r="B25" s="91" t="s">
        <v>125</v>
      </c>
      <c r="C25" s="380">
        <v>94970.0</v>
      </c>
      <c r="D25" s="376" t="s">
        <v>469</v>
      </c>
      <c r="E25" s="91" t="s">
        <v>470</v>
      </c>
      <c r="F25" s="377">
        <v>0.0281</v>
      </c>
      <c r="G25" s="382">
        <v>527.76</v>
      </c>
      <c r="H25" s="378">
        <v>0.0</v>
      </c>
      <c r="I25" s="378">
        <f t="shared" si="20"/>
        <v>14.830056</v>
      </c>
      <c r="J25" s="378">
        <f t="shared" si="21"/>
        <v>0</v>
      </c>
      <c r="K25" s="378">
        <f t="shared" si="22"/>
        <v>14.830056</v>
      </c>
      <c r="L25" s="379">
        <f>INCC!$C$27</f>
        <v>0</v>
      </c>
      <c r="M25" s="80">
        <f t="shared" si="23"/>
        <v>14.830056</v>
      </c>
      <c r="N25" s="80">
        <f t="shared" si="24"/>
        <v>0</v>
      </c>
      <c r="O25" s="374">
        <f t="shared" si="19"/>
        <v>14.830056</v>
      </c>
    </row>
    <row r="26">
      <c r="A26" s="375"/>
      <c r="B26" s="91" t="s">
        <v>47</v>
      </c>
      <c r="C26" s="380">
        <v>5.0</v>
      </c>
      <c r="D26" s="381" t="s">
        <v>459</v>
      </c>
      <c r="E26" s="91" t="s">
        <v>460</v>
      </c>
      <c r="F26" s="377">
        <v>0.9023</v>
      </c>
      <c r="G26" s="382">
        <v>0.0</v>
      </c>
      <c r="H26" s="378">
        <v>20.33</v>
      </c>
      <c r="I26" s="378"/>
      <c r="J26" s="378"/>
      <c r="K26" s="378"/>
      <c r="L26" s="240">
        <f>INCC!$C$26</f>
        <v>0.004749025652</v>
      </c>
      <c r="M26" s="80">
        <f t="shared" si="23"/>
        <v>0</v>
      </c>
      <c r="N26" s="80">
        <f t="shared" si="24"/>
        <v>0</v>
      </c>
      <c r="O26" s="374">
        <f t="shared" si="19"/>
        <v>0</v>
      </c>
    </row>
    <row r="27">
      <c r="A27" s="383"/>
      <c r="B27" s="91" t="s">
        <v>47</v>
      </c>
      <c r="C27" s="91">
        <v>4.0</v>
      </c>
      <c r="D27" s="381" t="s">
        <v>471</v>
      </c>
      <c r="E27" s="91" t="s">
        <v>460</v>
      </c>
      <c r="F27" s="377">
        <v>1.1484</v>
      </c>
      <c r="G27" s="382">
        <v>0.0</v>
      </c>
      <c r="H27" s="378">
        <v>29.13</v>
      </c>
      <c r="I27" s="378">
        <f>G27*F27</f>
        <v>0</v>
      </c>
      <c r="J27" s="378">
        <f>F27*H27</f>
        <v>33.452892</v>
      </c>
      <c r="K27" s="378">
        <f>I27+J27</f>
        <v>33.452892</v>
      </c>
      <c r="L27" s="240">
        <f>INCC!$C$26</f>
        <v>0.004749025652</v>
      </c>
      <c r="M27" s="80">
        <f t="shared" si="23"/>
        <v>0</v>
      </c>
      <c r="N27" s="80">
        <f t="shared" si="24"/>
        <v>33.61176064</v>
      </c>
      <c r="O27" s="374">
        <f t="shared" si="19"/>
        <v>33.61176064</v>
      </c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>
      <c r="A29" s="368" t="s">
        <v>443</v>
      </c>
      <c r="B29" s="368" t="s">
        <v>444</v>
      </c>
      <c r="C29" s="368" t="s">
        <v>445</v>
      </c>
      <c r="D29" s="368" t="s">
        <v>446</v>
      </c>
      <c r="E29" s="368" t="s">
        <v>194</v>
      </c>
      <c r="F29" s="368" t="s">
        <v>447</v>
      </c>
      <c r="G29" s="368" t="s">
        <v>448</v>
      </c>
      <c r="H29" s="368" t="s">
        <v>449</v>
      </c>
      <c r="I29" s="368" t="s">
        <v>450</v>
      </c>
      <c r="J29" s="368" t="s">
        <v>451</v>
      </c>
      <c r="K29" s="369" t="s">
        <v>452</v>
      </c>
      <c r="L29" s="68" t="s">
        <v>42</v>
      </c>
      <c r="M29" s="68" t="s">
        <v>453</v>
      </c>
      <c r="N29" s="66" t="s">
        <v>454</v>
      </c>
      <c r="O29" s="369" t="s">
        <v>455</v>
      </c>
    </row>
    <row r="30">
      <c r="A30" s="42">
        <v>4.0</v>
      </c>
      <c r="B30" s="370"/>
      <c r="C30" s="370"/>
      <c r="D30" s="33" t="s">
        <v>472</v>
      </c>
      <c r="E30" s="66" t="s">
        <v>71</v>
      </c>
      <c r="F30" s="389">
        <v>1.0</v>
      </c>
      <c r="G30" s="372"/>
      <c r="H30" s="372"/>
      <c r="I30" s="372">
        <f t="shared" ref="I30:K30" si="25">SUM(I31:I34)</f>
        <v>176.85</v>
      </c>
      <c r="J30" s="372">
        <f t="shared" si="25"/>
        <v>37.1832</v>
      </c>
      <c r="K30" s="372">
        <f t="shared" si="25"/>
        <v>214.0332</v>
      </c>
      <c r="L30" s="373"/>
      <c r="M30" s="372">
        <f t="shared" ref="M30:N30" si="26">SUM(M31:M34)</f>
        <v>177.2380365</v>
      </c>
      <c r="N30" s="372">
        <f t="shared" si="26"/>
        <v>37.35978397</v>
      </c>
      <c r="O30" s="374">
        <f t="shared" ref="O30:O34" si="27">N30+M30</f>
        <v>214.5978205</v>
      </c>
    </row>
    <row r="31">
      <c r="A31" s="375"/>
      <c r="B31" s="91" t="s">
        <v>65</v>
      </c>
      <c r="C31" s="91">
        <v>14618.0</v>
      </c>
      <c r="D31" s="390" t="s">
        <v>473</v>
      </c>
      <c r="E31" s="91" t="s">
        <v>71</v>
      </c>
      <c r="F31" s="377">
        <v>1.0</v>
      </c>
      <c r="G31" s="378">
        <v>168.19</v>
      </c>
      <c r="H31" s="378">
        <v>0.0</v>
      </c>
      <c r="I31" s="378">
        <f t="shared" ref="I31:I34" si="28">G31*F31</f>
        <v>168.19</v>
      </c>
      <c r="J31" s="378">
        <f t="shared" ref="J31:J34" si="29">F31*H31</f>
        <v>0</v>
      </c>
      <c r="K31" s="378">
        <f t="shared" ref="K31:K34" si="30">I31+J31</f>
        <v>168.19</v>
      </c>
      <c r="L31" s="218">
        <f>INCC!$C$29</f>
        <v>0.002062607648</v>
      </c>
      <c r="M31" s="80">
        <f t="shared" ref="M31:M34" si="31">(1+L31)*I31</f>
        <v>168.53691</v>
      </c>
      <c r="N31" s="80">
        <f t="shared" ref="N31:N34" si="32">(1+L31)*J31</f>
        <v>0</v>
      </c>
      <c r="O31" s="374">
        <f t="shared" si="27"/>
        <v>168.53691</v>
      </c>
    </row>
    <row r="32">
      <c r="A32" s="375"/>
      <c r="B32" s="91" t="s">
        <v>47</v>
      </c>
      <c r="C32" s="91">
        <v>8.0</v>
      </c>
      <c r="D32" s="384" t="s">
        <v>465</v>
      </c>
      <c r="E32" s="91" t="s">
        <v>460</v>
      </c>
      <c r="F32" s="377">
        <v>0.62</v>
      </c>
      <c r="G32" s="382">
        <v>0.0</v>
      </c>
      <c r="H32" s="378">
        <v>22.23</v>
      </c>
      <c r="I32" s="378">
        <f t="shared" si="28"/>
        <v>0</v>
      </c>
      <c r="J32" s="378">
        <f t="shared" si="29"/>
        <v>13.7826</v>
      </c>
      <c r="K32" s="378">
        <f t="shared" si="30"/>
        <v>13.7826</v>
      </c>
      <c r="L32" s="218">
        <f>INCC!$C$26</f>
        <v>0.004749025652</v>
      </c>
      <c r="M32" s="80">
        <f t="shared" si="31"/>
        <v>0</v>
      </c>
      <c r="N32" s="80">
        <f t="shared" si="32"/>
        <v>13.84805392</v>
      </c>
      <c r="O32" s="374">
        <f t="shared" si="27"/>
        <v>13.84805392</v>
      </c>
    </row>
    <row r="33">
      <c r="A33" s="375"/>
      <c r="B33" s="91" t="s">
        <v>47</v>
      </c>
      <c r="C33" s="91">
        <v>4.0</v>
      </c>
      <c r="D33" s="381" t="s">
        <v>471</v>
      </c>
      <c r="E33" s="91" t="s">
        <v>460</v>
      </c>
      <c r="F33" s="377">
        <v>0.62</v>
      </c>
      <c r="G33" s="382">
        <v>0.0</v>
      </c>
      <c r="H33" s="378">
        <v>29.13</v>
      </c>
      <c r="I33" s="378">
        <f t="shared" si="28"/>
        <v>0</v>
      </c>
      <c r="J33" s="378">
        <f t="shared" si="29"/>
        <v>18.0606</v>
      </c>
      <c r="K33" s="378">
        <f t="shared" si="30"/>
        <v>18.0606</v>
      </c>
      <c r="L33" s="218">
        <f>INCC!$C$26</f>
        <v>0.004749025652</v>
      </c>
      <c r="M33" s="80">
        <f t="shared" si="31"/>
        <v>0</v>
      </c>
      <c r="N33" s="80">
        <f t="shared" si="32"/>
        <v>18.14637025</v>
      </c>
      <c r="O33" s="374">
        <f t="shared" si="27"/>
        <v>18.14637025</v>
      </c>
    </row>
    <row r="34">
      <c r="A34" s="383"/>
      <c r="B34" s="91" t="s">
        <v>47</v>
      </c>
      <c r="C34" s="91">
        <v>261609.0</v>
      </c>
      <c r="D34" s="381" t="s">
        <v>121</v>
      </c>
      <c r="E34" s="91" t="s">
        <v>49</v>
      </c>
      <c r="F34" s="377">
        <v>1.0</v>
      </c>
      <c r="G34" s="382">
        <v>8.66</v>
      </c>
      <c r="H34" s="378">
        <v>5.34</v>
      </c>
      <c r="I34" s="378">
        <f t="shared" si="28"/>
        <v>8.66</v>
      </c>
      <c r="J34" s="378">
        <f t="shared" si="29"/>
        <v>5.34</v>
      </c>
      <c r="K34" s="378">
        <f t="shared" si="30"/>
        <v>14</v>
      </c>
      <c r="L34" s="218">
        <f>INCC!$C$26</f>
        <v>0.004749025652</v>
      </c>
      <c r="M34" s="80">
        <f t="shared" si="31"/>
        <v>8.701126562</v>
      </c>
      <c r="N34" s="80">
        <f t="shared" si="32"/>
        <v>5.365359797</v>
      </c>
      <c r="O34" s="374">
        <f t="shared" si="27"/>
        <v>14.06648636</v>
      </c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>
      <c r="A36" s="368" t="s">
        <v>443</v>
      </c>
      <c r="B36" s="368" t="s">
        <v>444</v>
      </c>
      <c r="C36" s="368" t="s">
        <v>445</v>
      </c>
      <c r="D36" s="368" t="s">
        <v>446</v>
      </c>
      <c r="E36" s="368" t="s">
        <v>194</v>
      </c>
      <c r="F36" s="368" t="s">
        <v>447</v>
      </c>
      <c r="G36" s="368" t="s">
        <v>448</v>
      </c>
      <c r="H36" s="368" t="s">
        <v>449</v>
      </c>
      <c r="I36" s="368" t="s">
        <v>450</v>
      </c>
      <c r="J36" s="368" t="s">
        <v>451</v>
      </c>
      <c r="K36" s="369" t="s">
        <v>452</v>
      </c>
      <c r="L36" s="68" t="s">
        <v>42</v>
      </c>
      <c r="M36" s="68" t="s">
        <v>453</v>
      </c>
      <c r="N36" s="66" t="s">
        <v>454</v>
      </c>
      <c r="O36" s="369" t="s">
        <v>455</v>
      </c>
    </row>
    <row r="37">
      <c r="A37" s="42">
        <v>5.0</v>
      </c>
      <c r="B37" s="370"/>
      <c r="C37" s="370"/>
      <c r="D37" s="33" t="s">
        <v>474</v>
      </c>
      <c r="E37" s="66" t="s">
        <v>71</v>
      </c>
      <c r="F37" s="389">
        <v>1.0</v>
      </c>
      <c r="G37" s="372"/>
      <c r="H37" s="372"/>
      <c r="I37" s="372">
        <f t="shared" ref="I37:K37" si="33">SUM(I38:I40)</f>
        <v>54.610919</v>
      </c>
      <c r="J37" s="372">
        <f t="shared" si="33"/>
        <v>82.632424</v>
      </c>
      <c r="K37" s="372">
        <f t="shared" si="33"/>
        <v>137.243343</v>
      </c>
      <c r="L37" s="373"/>
      <c r="M37" s="372">
        <f t="shared" ref="M37:N37" si="34">SUM(M38:M41)</f>
        <v>54.87026766</v>
      </c>
      <c r="N37" s="372">
        <f t="shared" si="34"/>
        <v>83.0248475</v>
      </c>
      <c r="O37" s="374">
        <f t="shared" ref="O37:O40" si="35">N37+M37</f>
        <v>137.8951152</v>
      </c>
    </row>
    <row r="38">
      <c r="A38" s="375"/>
      <c r="B38" s="91" t="s">
        <v>47</v>
      </c>
      <c r="C38" s="91">
        <v>1234.0</v>
      </c>
      <c r="D38" s="390" t="s">
        <v>475</v>
      </c>
      <c r="E38" s="91" t="s">
        <v>71</v>
      </c>
      <c r="F38" s="377">
        <v>1.6667</v>
      </c>
      <c r="G38" s="378">
        <v>27.57</v>
      </c>
      <c r="H38" s="378">
        <v>0.0</v>
      </c>
      <c r="I38" s="378">
        <f t="shared" ref="I38:I40" si="36">G38*F38</f>
        <v>45.950919</v>
      </c>
      <c r="J38" s="378">
        <f t="shared" ref="J38:J40" si="37">F38*H38</f>
        <v>0</v>
      </c>
      <c r="K38" s="378">
        <f t="shared" ref="K38:K40" si="38">I38+J38</f>
        <v>45.950919</v>
      </c>
      <c r="L38" s="218">
        <f>INCC!$C$26</f>
        <v>0.004749025652</v>
      </c>
      <c r="M38" s="80">
        <f t="shared" ref="M38:M40" si="39">(1+L38)*I38</f>
        <v>46.16914109</v>
      </c>
      <c r="N38" s="80">
        <f t="shared" ref="N38:N40" si="40">(1+L38)*J38</f>
        <v>0</v>
      </c>
      <c r="O38" s="374">
        <f t="shared" si="35"/>
        <v>46.16914109</v>
      </c>
    </row>
    <row r="39">
      <c r="A39" s="375"/>
      <c r="B39" s="91" t="s">
        <v>47</v>
      </c>
      <c r="C39" s="91">
        <v>20.0</v>
      </c>
      <c r="D39" s="384" t="s">
        <v>476</v>
      </c>
      <c r="E39" s="91" t="s">
        <v>460</v>
      </c>
      <c r="F39" s="377">
        <v>2.8333</v>
      </c>
      <c r="G39" s="382">
        <v>0.0</v>
      </c>
      <c r="H39" s="378">
        <v>27.28</v>
      </c>
      <c r="I39" s="378">
        <f t="shared" si="36"/>
        <v>0</v>
      </c>
      <c r="J39" s="378">
        <f t="shared" si="37"/>
        <v>77.292424</v>
      </c>
      <c r="K39" s="378">
        <f t="shared" si="38"/>
        <v>77.292424</v>
      </c>
      <c r="L39" s="218">
        <f>INCC!$C$26</f>
        <v>0.004749025652</v>
      </c>
      <c r="M39" s="80">
        <f t="shared" si="39"/>
        <v>0</v>
      </c>
      <c r="N39" s="80">
        <f t="shared" si="40"/>
        <v>77.6594877</v>
      </c>
      <c r="O39" s="374">
        <f t="shared" si="35"/>
        <v>77.6594877</v>
      </c>
    </row>
    <row r="40">
      <c r="A40" s="383"/>
      <c r="B40" s="91" t="s">
        <v>47</v>
      </c>
      <c r="C40" s="91">
        <v>261609.0</v>
      </c>
      <c r="D40" s="381" t="s">
        <v>121</v>
      </c>
      <c r="E40" s="91" t="s">
        <v>49</v>
      </c>
      <c r="F40" s="377">
        <v>1.0</v>
      </c>
      <c r="G40" s="382">
        <v>8.66</v>
      </c>
      <c r="H40" s="378">
        <v>5.34</v>
      </c>
      <c r="I40" s="378">
        <f t="shared" si="36"/>
        <v>8.66</v>
      </c>
      <c r="J40" s="378">
        <f t="shared" si="37"/>
        <v>5.34</v>
      </c>
      <c r="K40" s="378">
        <f t="shared" si="38"/>
        <v>14</v>
      </c>
      <c r="L40" s="218">
        <f>INCC!$C$26</f>
        <v>0.004749025652</v>
      </c>
      <c r="M40" s="80">
        <f t="shared" si="39"/>
        <v>8.701126562</v>
      </c>
      <c r="N40" s="80">
        <f t="shared" si="40"/>
        <v>5.365359797</v>
      </c>
      <c r="O40" s="374">
        <f t="shared" si="35"/>
        <v>14.06648636</v>
      </c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>
      <c r="A42" s="368" t="s">
        <v>443</v>
      </c>
      <c r="B42" s="368" t="s">
        <v>444</v>
      </c>
      <c r="C42" s="368" t="s">
        <v>445</v>
      </c>
      <c r="D42" s="368" t="s">
        <v>446</v>
      </c>
      <c r="E42" s="368" t="s">
        <v>194</v>
      </c>
      <c r="F42" s="368" t="s">
        <v>447</v>
      </c>
      <c r="G42" s="368" t="s">
        <v>448</v>
      </c>
      <c r="H42" s="368" t="s">
        <v>449</v>
      </c>
      <c r="I42" s="368" t="s">
        <v>450</v>
      </c>
      <c r="J42" s="368" t="s">
        <v>451</v>
      </c>
      <c r="K42" s="369" t="s">
        <v>452</v>
      </c>
      <c r="L42" s="68" t="s">
        <v>42</v>
      </c>
      <c r="M42" s="68" t="s">
        <v>453</v>
      </c>
      <c r="N42" s="66" t="s">
        <v>454</v>
      </c>
      <c r="O42" s="369" t="s">
        <v>455</v>
      </c>
    </row>
    <row r="43">
      <c r="A43" s="42">
        <v>6.0</v>
      </c>
      <c r="B43" s="370"/>
      <c r="C43" s="370"/>
      <c r="D43" s="33" t="s">
        <v>477</v>
      </c>
      <c r="E43" s="66" t="s">
        <v>168</v>
      </c>
      <c r="F43" s="389">
        <v>1.0</v>
      </c>
      <c r="G43" s="372"/>
      <c r="H43" s="372"/>
      <c r="I43" s="372">
        <f t="shared" ref="I43:K43" si="41">SUM(I44:I47)</f>
        <v>59.92</v>
      </c>
      <c r="J43" s="372">
        <f t="shared" si="41"/>
        <v>69.54</v>
      </c>
      <c r="K43" s="372">
        <f t="shared" si="41"/>
        <v>129.46</v>
      </c>
      <c r="L43" s="373"/>
      <c r="M43" s="372">
        <f t="shared" ref="M43:N43" si="42">SUM(M44:M47)</f>
        <v>60.20456162</v>
      </c>
      <c r="N43" s="372">
        <f t="shared" si="42"/>
        <v>69.87024724</v>
      </c>
      <c r="O43" s="374">
        <f t="shared" ref="O43:O47" si="43">N43+M43</f>
        <v>130.0748089</v>
      </c>
    </row>
    <row r="44">
      <c r="A44" s="375"/>
      <c r="B44" s="91" t="s">
        <v>47</v>
      </c>
      <c r="C44" s="91">
        <v>2379.0</v>
      </c>
      <c r="D44" s="390" t="s">
        <v>478</v>
      </c>
      <c r="E44" s="91" t="s">
        <v>71</v>
      </c>
      <c r="F44" s="377">
        <v>2.75</v>
      </c>
      <c r="G44" s="378">
        <v>18.64</v>
      </c>
      <c r="H44" s="378">
        <v>0.0</v>
      </c>
      <c r="I44" s="378">
        <f t="shared" ref="I44:I47" si="44">G44*F44</f>
        <v>51.26</v>
      </c>
      <c r="J44" s="378">
        <f t="shared" ref="J44:J47" si="45">F44*H44</f>
        <v>0</v>
      </c>
      <c r="K44" s="378">
        <f t="shared" ref="K44:K47" si="46">I44+J44</f>
        <v>51.26</v>
      </c>
      <c r="L44" s="218">
        <f>INCC!$C$26</f>
        <v>0.004749025652</v>
      </c>
      <c r="M44" s="80">
        <f t="shared" ref="M44:M47" si="47">(1+L44)*I44</f>
        <v>51.50343505</v>
      </c>
      <c r="N44" s="80">
        <f t="shared" ref="N44:N47" si="48">(1+L44)*J44</f>
        <v>0</v>
      </c>
      <c r="O44" s="374">
        <f t="shared" si="43"/>
        <v>51.50343505</v>
      </c>
    </row>
    <row r="45">
      <c r="A45" s="375"/>
      <c r="B45" s="91" t="s">
        <v>47</v>
      </c>
      <c r="C45" s="91">
        <v>8.0</v>
      </c>
      <c r="D45" s="384" t="s">
        <v>465</v>
      </c>
      <c r="E45" s="91" t="s">
        <v>460</v>
      </c>
      <c r="F45" s="377">
        <v>1.25</v>
      </c>
      <c r="G45" s="382">
        <v>0.0</v>
      </c>
      <c r="H45" s="378">
        <v>22.23</v>
      </c>
      <c r="I45" s="378">
        <f t="shared" si="44"/>
        <v>0</v>
      </c>
      <c r="J45" s="378">
        <f t="shared" si="45"/>
        <v>27.7875</v>
      </c>
      <c r="K45" s="378">
        <f t="shared" si="46"/>
        <v>27.7875</v>
      </c>
      <c r="L45" s="218">
        <f>INCC!$C$26</f>
        <v>0.004749025652</v>
      </c>
      <c r="M45" s="80">
        <f t="shared" si="47"/>
        <v>0</v>
      </c>
      <c r="N45" s="80">
        <f t="shared" si="48"/>
        <v>27.91946355</v>
      </c>
      <c r="O45" s="374">
        <f t="shared" si="43"/>
        <v>27.91946355</v>
      </c>
    </row>
    <row r="46">
      <c r="A46" s="375"/>
      <c r="B46" s="91" t="s">
        <v>47</v>
      </c>
      <c r="C46" s="91">
        <v>4.0</v>
      </c>
      <c r="D46" s="381" t="s">
        <v>471</v>
      </c>
      <c r="E46" s="91" t="s">
        <v>460</v>
      </c>
      <c r="F46" s="377">
        <v>1.25</v>
      </c>
      <c r="G46" s="382">
        <v>0.0</v>
      </c>
      <c r="H46" s="378">
        <v>29.13</v>
      </c>
      <c r="I46" s="378">
        <f t="shared" si="44"/>
        <v>0</v>
      </c>
      <c r="J46" s="378">
        <f t="shared" si="45"/>
        <v>36.4125</v>
      </c>
      <c r="K46" s="378">
        <f t="shared" si="46"/>
        <v>36.4125</v>
      </c>
      <c r="L46" s="218">
        <f>INCC!$C$26</f>
        <v>0.004749025652</v>
      </c>
      <c r="M46" s="80">
        <f t="shared" si="47"/>
        <v>0</v>
      </c>
      <c r="N46" s="80">
        <f t="shared" si="48"/>
        <v>36.5854239</v>
      </c>
      <c r="O46" s="374">
        <f t="shared" si="43"/>
        <v>36.5854239</v>
      </c>
    </row>
    <row r="47">
      <c r="A47" s="383"/>
      <c r="B47" s="91" t="s">
        <v>47</v>
      </c>
      <c r="C47" s="91">
        <v>261609.0</v>
      </c>
      <c r="D47" s="381" t="s">
        <v>121</v>
      </c>
      <c r="E47" s="91" t="s">
        <v>49</v>
      </c>
      <c r="F47" s="377">
        <v>1.0</v>
      </c>
      <c r="G47" s="382">
        <v>8.66</v>
      </c>
      <c r="H47" s="378">
        <v>5.34</v>
      </c>
      <c r="I47" s="378">
        <f t="shared" si="44"/>
        <v>8.66</v>
      </c>
      <c r="J47" s="378">
        <f t="shared" si="45"/>
        <v>5.34</v>
      </c>
      <c r="K47" s="378">
        <f t="shared" si="46"/>
        <v>14</v>
      </c>
      <c r="L47" s="218">
        <f>INCC!$C$26</f>
        <v>0.004749025652</v>
      </c>
      <c r="M47" s="80">
        <f t="shared" si="47"/>
        <v>8.701126562</v>
      </c>
      <c r="N47" s="80">
        <f t="shared" si="48"/>
        <v>5.365359797</v>
      </c>
      <c r="O47" s="374">
        <f t="shared" si="43"/>
        <v>14.06648636</v>
      </c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>
      <c r="A49" s="368" t="s">
        <v>443</v>
      </c>
      <c r="B49" s="368" t="s">
        <v>444</v>
      </c>
      <c r="C49" s="368" t="s">
        <v>445</v>
      </c>
      <c r="D49" s="368" t="s">
        <v>446</v>
      </c>
      <c r="E49" s="368" t="s">
        <v>194</v>
      </c>
      <c r="F49" s="368" t="s">
        <v>447</v>
      </c>
      <c r="G49" s="368" t="s">
        <v>448</v>
      </c>
      <c r="H49" s="368" t="s">
        <v>449</v>
      </c>
      <c r="I49" s="368" t="s">
        <v>450</v>
      </c>
      <c r="J49" s="368" t="s">
        <v>451</v>
      </c>
      <c r="K49" s="369" t="s">
        <v>452</v>
      </c>
      <c r="L49" s="68" t="s">
        <v>42</v>
      </c>
      <c r="M49" s="68" t="s">
        <v>453</v>
      </c>
      <c r="N49" s="66" t="s">
        <v>454</v>
      </c>
      <c r="O49" s="369" t="s">
        <v>455</v>
      </c>
    </row>
    <row r="50">
      <c r="A50" s="42">
        <v>7.0</v>
      </c>
      <c r="B50" s="370"/>
      <c r="C50" s="370"/>
      <c r="D50" s="33" t="s">
        <v>479</v>
      </c>
      <c r="E50" s="66" t="s">
        <v>71</v>
      </c>
      <c r="F50" s="389">
        <v>1.0</v>
      </c>
      <c r="G50" s="372"/>
      <c r="H50" s="372"/>
      <c r="I50" s="372">
        <f t="shared" ref="I50:K50" si="49">SUM(I51:I52)</f>
        <v>10.68666667</v>
      </c>
      <c r="J50" s="372">
        <f t="shared" si="49"/>
        <v>6.775</v>
      </c>
      <c r="K50" s="372">
        <f t="shared" si="49"/>
        <v>17.46166667</v>
      </c>
      <c r="L50" s="373"/>
      <c r="M50" s="372">
        <f t="shared" ref="M50:N50" si="50">SUM(M51:M54)</f>
        <v>10.68666667</v>
      </c>
      <c r="N50" s="372">
        <f t="shared" si="50"/>
        <v>6.775</v>
      </c>
      <c r="O50" s="374">
        <f t="shared" ref="O50:O52" si="51">N50+M50</f>
        <v>17.46166667</v>
      </c>
    </row>
    <row r="51">
      <c r="A51" s="375"/>
      <c r="B51" s="91" t="s">
        <v>130</v>
      </c>
      <c r="C51" s="91">
        <v>2379.0</v>
      </c>
      <c r="D51" s="390" t="s">
        <v>480</v>
      </c>
      <c r="E51" s="91" t="s">
        <v>71</v>
      </c>
      <c r="F51" s="377">
        <v>1.0</v>
      </c>
      <c r="G51" s="378">
        <f>'COTAÇÕES'!I24</f>
        <v>10.68666667</v>
      </c>
      <c r="H51" s="378">
        <v>0.0</v>
      </c>
      <c r="I51" s="378">
        <f t="shared" ref="I51:I52" si="52">G51*F51</f>
        <v>10.68666667</v>
      </c>
      <c r="J51" s="378">
        <f t="shared" ref="J51:J52" si="53">F51*H51</f>
        <v>0</v>
      </c>
      <c r="K51" s="378">
        <f t="shared" ref="K51:K52" si="54">I51+J51</f>
        <v>10.68666667</v>
      </c>
      <c r="L51" s="391">
        <v>0.0</v>
      </c>
      <c r="M51" s="80">
        <f t="shared" ref="M51:M52" si="55">(1+L51)*I51</f>
        <v>10.68666667</v>
      </c>
      <c r="N51" s="80">
        <f t="shared" ref="N51:N52" si="56">(1+L51)*J51</f>
        <v>0</v>
      </c>
      <c r="O51" s="374">
        <f t="shared" si="51"/>
        <v>10.68666667</v>
      </c>
    </row>
    <row r="52">
      <c r="A52" s="383"/>
      <c r="B52" s="91" t="s">
        <v>125</v>
      </c>
      <c r="C52" s="91">
        <v>88323.0</v>
      </c>
      <c r="D52" s="381" t="s">
        <v>481</v>
      </c>
      <c r="E52" s="91" t="s">
        <v>460</v>
      </c>
      <c r="F52" s="377">
        <v>0.25</v>
      </c>
      <c r="G52" s="382">
        <v>0.0</v>
      </c>
      <c r="H52" s="378">
        <v>27.1</v>
      </c>
      <c r="I52" s="378">
        <f t="shared" si="52"/>
        <v>0</v>
      </c>
      <c r="J52" s="378">
        <f t="shared" si="53"/>
        <v>6.775</v>
      </c>
      <c r="K52" s="378">
        <f t="shared" si="54"/>
        <v>6.775</v>
      </c>
      <c r="L52" s="391">
        <v>0.0</v>
      </c>
      <c r="M52" s="80">
        <f t="shared" si="55"/>
        <v>0</v>
      </c>
      <c r="N52" s="80">
        <f t="shared" si="56"/>
        <v>6.775</v>
      </c>
      <c r="O52" s="374">
        <f t="shared" si="51"/>
        <v>6.775</v>
      </c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>
      <c r="A54" s="368" t="s">
        <v>443</v>
      </c>
      <c r="B54" s="368" t="s">
        <v>444</v>
      </c>
      <c r="C54" s="368" t="s">
        <v>445</v>
      </c>
      <c r="D54" s="368" t="s">
        <v>446</v>
      </c>
      <c r="E54" s="368" t="s">
        <v>194</v>
      </c>
      <c r="F54" s="368" t="s">
        <v>447</v>
      </c>
      <c r="G54" s="368" t="s">
        <v>448</v>
      </c>
      <c r="H54" s="368" t="s">
        <v>449</v>
      </c>
      <c r="I54" s="368" t="s">
        <v>450</v>
      </c>
      <c r="J54" s="368" t="s">
        <v>451</v>
      </c>
      <c r="K54" s="369" t="s">
        <v>452</v>
      </c>
      <c r="L54" s="68" t="s">
        <v>42</v>
      </c>
      <c r="M54" s="68" t="s">
        <v>453</v>
      </c>
      <c r="N54" s="66" t="s">
        <v>454</v>
      </c>
      <c r="O54" s="369" t="s">
        <v>455</v>
      </c>
    </row>
    <row r="55">
      <c r="A55" s="42">
        <v>8.0</v>
      </c>
      <c r="B55" s="370"/>
      <c r="C55" s="370"/>
      <c r="D55" s="33" t="s">
        <v>482</v>
      </c>
      <c r="E55" s="66" t="s">
        <v>71</v>
      </c>
      <c r="F55" s="389">
        <v>1.0</v>
      </c>
      <c r="G55" s="372"/>
      <c r="H55" s="372"/>
      <c r="I55" s="372">
        <f t="shared" ref="I55:K55" si="57">SUM(I56:I57)</f>
        <v>57.7</v>
      </c>
      <c r="J55" s="372">
        <f t="shared" si="57"/>
        <v>6.775</v>
      </c>
      <c r="K55" s="372">
        <f t="shared" si="57"/>
        <v>64.475</v>
      </c>
      <c r="L55" s="373"/>
      <c r="M55" s="372">
        <f t="shared" ref="M55:N55" si="58">SUM(M56:M59)</f>
        <v>57.7</v>
      </c>
      <c r="N55" s="372">
        <f t="shared" si="58"/>
        <v>6.775</v>
      </c>
      <c r="O55" s="374">
        <f t="shared" ref="O55:O57" si="59">N55+M55</f>
        <v>64.475</v>
      </c>
    </row>
    <row r="56">
      <c r="A56" s="375"/>
      <c r="B56" s="91" t="s">
        <v>130</v>
      </c>
      <c r="C56" s="91">
        <v>2379.0</v>
      </c>
      <c r="D56" s="390" t="s">
        <v>480</v>
      </c>
      <c r="E56" s="91" t="s">
        <v>71</v>
      </c>
      <c r="F56" s="377">
        <v>1.0</v>
      </c>
      <c r="G56" s="378">
        <f>'COTAÇÕES'!I28</f>
        <v>57.7</v>
      </c>
      <c r="H56" s="378">
        <v>0.0</v>
      </c>
      <c r="I56" s="378">
        <f t="shared" ref="I56:I57" si="60">G56*F56</f>
        <v>57.7</v>
      </c>
      <c r="J56" s="378">
        <f t="shared" ref="J56:J57" si="61">F56*H56</f>
        <v>0</v>
      </c>
      <c r="K56" s="378">
        <f t="shared" ref="K56:K57" si="62">I56+J56</f>
        <v>57.7</v>
      </c>
      <c r="L56" s="391">
        <v>0.0</v>
      </c>
      <c r="M56" s="80">
        <f t="shared" ref="M56:M57" si="63">(1+L56)*I56</f>
        <v>57.7</v>
      </c>
      <c r="N56" s="80">
        <f t="shared" ref="N56:N57" si="64">(1+L56)*J56</f>
        <v>0</v>
      </c>
      <c r="O56" s="374">
        <f t="shared" si="59"/>
        <v>57.7</v>
      </c>
    </row>
    <row r="57">
      <c r="A57" s="383"/>
      <c r="B57" s="91" t="s">
        <v>125</v>
      </c>
      <c r="C57" s="91">
        <v>88323.0</v>
      </c>
      <c r="D57" s="381" t="s">
        <v>481</v>
      </c>
      <c r="E57" s="91" t="s">
        <v>460</v>
      </c>
      <c r="F57" s="377">
        <v>0.25</v>
      </c>
      <c r="G57" s="382">
        <v>0.0</v>
      </c>
      <c r="H57" s="378">
        <v>27.1</v>
      </c>
      <c r="I57" s="378">
        <f t="shared" si="60"/>
        <v>0</v>
      </c>
      <c r="J57" s="378">
        <f t="shared" si="61"/>
        <v>6.775</v>
      </c>
      <c r="K57" s="378">
        <f t="shared" si="62"/>
        <v>6.775</v>
      </c>
      <c r="L57" s="391">
        <v>0.0</v>
      </c>
      <c r="M57" s="80">
        <f t="shared" si="63"/>
        <v>0</v>
      </c>
      <c r="N57" s="80">
        <f t="shared" si="64"/>
        <v>6.775</v>
      </c>
      <c r="O57" s="374">
        <f t="shared" si="59"/>
        <v>6.775</v>
      </c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</row>
    <row r="59">
      <c r="A59" s="368" t="s">
        <v>443</v>
      </c>
      <c r="B59" s="368" t="s">
        <v>444</v>
      </c>
      <c r="C59" s="368" t="s">
        <v>445</v>
      </c>
      <c r="D59" s="368" t="s">
        <v>446</v>
      </c>
      <c r="E59" s="368" t="s">
        <v>194</v>
      </c>
      <c r="F59" s="368" t="s">
        <v>447</v>
      </c>
      <c r="G59" s="368" t="s">
        <v>448</v>
      </c>
      <c r="H59" s="368" t="s">
        <v>449</v>
      </c>
      <c r="I59" s="368" t="s">
        <v>450</v>
      </c>
      <c r="J59" s="368" t="s">
        <v>451</v>
      </c>
      <c r="K59" s="369" t="s">
        <v>452</v>
      </c>
      <c r="L59" s="68" t="s">
        <v>42</v>
      </c>
      <c r="M59" s="68" t="s">
        <v>453</v>
      </c>
      <c r="N59" s="66" t="s">
        <v>454</v>
      </c>
      <c r="O59" s="369" t="s">
        <v>455</v>
      </c>
    </row>
    <row r="60">
      <c r="A60" s="42">
        <v>9.0</v>
      </c>
      <c r="B60" s="370"/>
      <c r="C60" s="370"/>
      <c r="D60" s="33" t="s">
        <v>182</v>
      </c>
      <c r="E60" s="66" t="s">
        <v>71</v>
      </c>
      <c r="F60" s="389">
        <v>1.0</v>
      </c>
      <c r="G60" s="372"/>
      <c r="H60" s="372"/>
      <c r="I60" s="372">
        <f t="shared" ref="I60:K60" si="65">SUM(I61:I63)</f>
        <v>101.9233333</v>
      </c>
      <c r="J60" s="372">
        <f t="shared" si="65"/>
        <v>8.739</v>
      </c>
      <c r="K60" s="372">
        <f t="shared" si="65"/>
        <v>110.6623333</v>
      </c>
      <c r="L60" s="373"/>
      <c r="M60" s="372">
        <f t="shared" ref="M60:N60" si="66">SUM(M61:M64)</f>
        <v>101.9712477</v>
      </c>
      <c r="N60" s="372">
        <f t="shared" si="66"/>
        <v>8.780501735</v>
      </c>
      <c r="O60" s="374">
        <f t="shared" ref="O60:O63" si="67">N60+M60</f>
        <v>110.7517494</v>
      </c>
    </row>
    <row r="61">
      <c r="A61" s="375"/>
      <c r="B61" s="91" t="s">
        <v>130</v>
      </c>
      <c r="C61" s="91">
        <v>6.0</v>
      </c>
      <c r="D61" s="390" t="s">
        <v>182</v>
      </c>
      <c r="E61" s="91" t="s">
        <v>267</v>
      </c>
      <c r="F61" s="377">
        <v>1.0</v>
      </c>
      <c r="G61" s="378">
        <f>'COTAÇÕES'!I32</f>
        <v>78.69333333</v>
      </c>
      <c r="H61" s="378"/>
      <c r="I61" s="378">
        <f t="shared" ref="I61:I63" si="68">G61*F61</f>
        <v>78.69333333</v>
      </c>
      <c r="J61" s="378">
        <f t="shared" ref="J61:J63" si="69">F61*H61</f>
        <v>0</v>
      </c>
      <c r="K61" s="378">
        <f t="shared" ref="K61:K63" si="70">I61+J61</f>
        <v>78.69333333</v>
      </c>
      <c r="L61" s="391">
        <v>0.0</v>
      </c>
      <c r="M61" s="80">
        <f t="shared" ref="M61:M63" si="71">(1+L61)*I61</f>
        <v>78.69333333</v>
      </c>
      <c r="N61" s="80">
        <f t="shared" ref="N61:N63" si="72">(1+L61)*J61</f>
        <v>0</v>
      </c>
      <c r="O61" s="374">
        <f t="shared" si="67"/>
        <v>78.69333333</v>
      </c>
    </row>
    <row r="62">
      <c r="A62" s="375"/>
      <c r="B62" s="91" t="s">
        <v>65</v>
      </c>
      <c r="C62" s="91">
        <v>2931.0</v>
      </c>
      <c r="D62" s="381" t="s">
        <v>483</v>
      </c>
      <c r="E62" s="91" t="s">
        <v>484</v>
      </c>
      <c r="F62" s="377">
        <v>0.5</v>
      </c>
      <c r="G62" s="382">
        <v>46.46</v>
      </c>
      <c r="H62" s="378"/>
      <c r="I62" s="378">
        <f t="shared" si="68"/>
        <v>23.23</v>
      </c>
      <c r="J62" s="378">
        <f t="shared" si="69"/>
        <v>0</v>
      </c>
      <c r="K62" s="378">
        <f t="shared" si="70"/>
        <v>23.23</v>
      </c>
      <c r="L62" s="218">
        <f>INCC!$C$29</f>
        <v>0.002062607648</v>
      </c>
      <c r="M62" s="80">
        <f t="shared" si="71"/>
        <v>23.27791438</v>
      </c>
      <c r="N62" s="80">
        <f t="shared" si="72"/>
        <v>0</v>
      </c>
      <c r="O62" s="374">
        <f t="shared" si="67"/>
        <v>23.27791438</v>
      </c>
    </row>
    <row r="63">
      <c r="A63" s="383"/>
      <c r="B63" s="91" t="s">
        <v>47</v>
      </c>
      <c r="C63" s="91">
        <v>4.0</v>
      </c>
      <c r="D63" s="381" t="s">
        <v>471</v>
      </c>
      <c r="E63" s="91" t="s">
        <v>460</v>
      </c>
      <c r="F63" s="377">
        <v>0.3</v>
      </c>
      <c r="G63" s="382">
        <v>0.0</v>
      </c>
      <c r="H63" s="378">
        <v>29.13</v>
      </c>
      <c r="I63" s="378">
        <f t="shared" si="68"/>
        <v>0</v>
      </c>
      <c r="J63" s="378">
        <f t="shared" si="69"/>
        <v>8.739</v>
      </c>
      <c r="K63" s="378">
        <f t="shared" si="70"/>
        <v>8.739</v>
      </c>
      <c r="L63" s="218">
        <f>INCC!$C$26</f>
        <v>0.004749025652</v>
      </c>
      <c r="M63" s="80">
        <f t="shared" si="71"/>
        <v>0</v>
      </c>
      <c r="N63" s="80">
        <f t="shared" si="72"/>
        <v>8.780501735</v>
      </c>
      <c r="O63" s="374">
        <f t="shared" si="67"/>
        <v>8.780501735</v>
      </c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</row>
    <row r="65">
      <c r="A65" s="368" t="s">
        <v>443</v>
      </c>
      <c r="B65" s="368" t="s">
        <v>444</v>
      </c>
      <c r="C65" s="368" t="s">
        <v>445</v>
      </c>
      <c r="D65" s="368" t="s">
        <v>446</v>
      </c>
      <c r="E65" s="368" t="s">
        <v>194</v>
      </c>
      <c r="F65" s="368" t="s">
        <v>447</v>
      </c>
      <c r="G65" s="368" t="s">
        <v>448</v>
      </c>
      <c r="H65" s="368" t="s">
        <v>449</v>
      </c>
      <c r="I65" s="368" t="s">
        <v>450</v>
      </c>
      <c r="J65" s="368" t="s">
        <v>451</v>
      </c>
      <c r="K65" s="369" t="s">
        <v>452</v>
      </c>
      <c r="L65" s="68" t="s">
        <v>42</v>
      </c>
      <c r="M65" s="68" t="s">
        <v>453</v>
      </c>
      <c r="N65" s="66" t="s">
        <v>454</v>
      </c>
      <c r="O65" s="369" t="s">
        <v>455</v>
      </c>
    </row>
    <row r="66">
      <c r="A66" s="42">
        <v>10.0</v>
      </c>
      <c r="B66" s="370"/>
      <c r="C66" s="370"/>
      <c r="D66" s="33" t="s">
        <v>80</v>
      </c>
      <c r="E66" s="66" t="s">
        <v>194</v>
      </c>
      <c r="F66" s="389">
        <v>1.0</v>
      </c>
      <c r="G66" s="372"/>
      <c r="H66" s="372"/>
      <c r="I66" s="372">
        <f t="shared" ref="I66:K66" si="73">SUM(I67:I69)</f>
        <v>120.43</v>
      </c>
      <c r="J66" s="372">
        <f t="shared" si="73"/>
        <v>4.1376</v>
      </c>
      <c r="K66" s="372">
        <f t="shared" si="73"/>
        <v>124.5676</v>
      </c>
      <c r="L66" s="373"/>
      <c r="M66" s="372">
        <f t="shared" ref="M66:N66" si="74">SUM(M67:M70)</f>
        <v>120.43</v>
      </c>
      <c r="N66" s="372">
        <f t="shared" si="74"/>
        <v>4.157249569</v>
      </c>
      <c r="O66" s="374">
        <f t="shared" ref="O66:O69" si="75">N66+M66</f>
        <v>124.5872496</v>
      </c>
    </row>
    <row r="67">
      <c r="A67" s="375"/>
      <c r="B67" s="91" t="s">
        <v>125</v>
      </c>
      <c r="C67" s="91">
        <v>43102.0</v>
      </c>
      <c r="D67" s="390" t="s">
        <v>485</v>
      </c>
      <c r="E67" s="91" t="s">
        <v>194</v>
      </c>
      <c r="F67" s="377">
        <v>1.0</v>
      </c>
      <c r="G67" s="378">
        <v>120.43</v>
      </c>
      <c r="H67" s="378">
        <v>0.0</v>
      </c>
      <c r="I67" s="378">
        <f t="shared" ref="I67:I69" si="76">G67*F67</f>
        <v>120.43</v>
      </c>
      <c r="J67" s="378">
        <f t="shared" ref="J67:J69" si="77">F67*H67</f>
        <v>0</v>
      </c>
      <c r="K67" s="378">
        <f t="shared" ref="K67:K69" si="78">I67+J67</f>
        <v>120.43</v>
      </c>
      <c r="L67" s="391">
        <v>0.0</v>
      </c>
      <c r="M67" s="80">
        <f t="shared" ref="M67:M69" si="79">(1+L67)*I67</f>
        <v>120.43</v>
      </c>
      <c r="N67" s="80">
        <f t="shared" ref="N67:N69" si="80">(1+L67)*J67</f>
        <v>0</v>
      </c>
      <c r="O67" s="374">
        <f t="shared" si="75"/>
        <v>120.43</v>
      </c>
    </row>
    <row r="68">
      <c r="A68" s="375"/>
      <c r="B68" s="91" t="s">
        <v>47</v>
      </c>
      <c r="C68" s="91">
        <v>8.0</v>
      </c>
      <c r="D68" s="384" t="s">
        <v>465</v>
      </c>
      <c r="E68" s="91" t="s">
        <v>460</v>
      </c>
      <c r="F68" s="377">
        <v>0.08</v>
      </c>
      <c r="G68" s="382">
        <v>0.0</v>
      </c>
      <c r="H68" s="378">
        <v>22.23</v>
      </c>
      <c r="I68" s="378">
        <f t="shared" si="76"/>
        <v>0</v>
      </c>
      <c r="J68" s="378">
        <f t="shared" si="77"/>
        <v>1.7784</v>
      </c>
      <c r="K68" s="378">
        <f t="shared" si="78"/>
        <v>1.7784</v>
      </c>
      <c r="L68" s="218">
        <f>INCC!$C$26</f>
        <v>0.004749025652</v>
      </c>
      <c r="M68" s="80">
        <f t="shared" si="79"/>
        <v>0</v>
      </c>
      <c r="N68" s="80">
        <f t="shared" si="80"/>
        <v>1.786845667</v>
      </c>
      <c r="O68" s="374">
        <f t="shared" si="75"/>
        <v>1.786845667</v>
      </c>
    </row>
    <row r="69">
      <c r="A69" s="383"/>
      <c r="B69" s="91" t="s">
        <v>47</v>
      </c>
      <c r="C69" s="91">
        <v>12.0</v>
      </c>
      <c r="D69" s="381" t="s">
        <v>486</v>
      </c>
      <c r="E69" s="91" t="s">
        <v>460</v>
      </c>
      <c r="F69" s="377">
        <v>0.08</v>
      </c>
      <c r="G69" s="382">
        <v>0.0</v>
      </c>
      <c r="H69" s="378">
        <v>29.49</v>
      </c>
      <c r="I69" s="378">
        <f t="shared" si="76"/>
        <v>0</v>
      </c>
      <c r="J69" s="378">
        <f t="shared" si="77"/>
        <v>2.3592</v>
      </c>
      <c r="K69" s="378">
        <f t="shared" si="78"/>
        <v>2.3592</v>
      </c>
      <c r="L69" s="218">
        <f>INCC!$C$26</f>
        <v>0.004749025652</v>
      </c>
      <c r="M69" s="80">
        <f t="shared" si="79"/>
        <v>0</v>
      </c>
      <c r="N69" s="80">
        <f t="shared" si="80"/>
        <v>2.370403901</v>
      </c>
      <c r="O69" s="374">
        <f t="shared" si="75"/>
        <v>2.370403901</v>
      </c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</row>
    <row r="71">
      <c r="A71" s="368" t="s">
        <v>443</v>
      </c>
      <c r="B71" s="368" t="s">
        <v>444</v>
      </c>
      <c r="C71" s="368" t="s">
        <v>445</v>
      </c>
      <c r="D71" s="368" t="s">
        <v>446</v>
      </c>
      <c r="E71" s="368" t="s">
        <v>194</v>
      </c>
      <c r="F71" s="368" t="s">
        <v>447</v>
      </c>
      <c r="G71" s="368" t="s">
        <v>448</v>
      </c>
      <c r="H71" s="368" t="s">
        <v>449</v>
      </c>
      <c r="I71" s="368" t="s">
        <v>450</v>
      </c>
      <c r="J71" s="368" t="s">
        <v>451</v>
      </c>
      <c r="K71" s="369" t="s">
        <v>452</v>
      </c>
      <c r="L71" s="68" t="s">
        <v>42</v>
      </c>
      <c r="M71" s="68" t="s">
        <v>453</v>
      </c>
      <c r="N71" s="66" t="s">
        <v>454</v>
      </c>
      <c r="O71" s="369" t="s">
        <v>455</v>
      </c>
    </row>
    <row r="72">
      <c r="A72" s="42">
        <v>11.0</v>
      </c>
      <c r="B72" s="370"/>
      <c r="C72" s="370"/>
      <c r="D72" s="33" t="s">
        <v>79</v>
      </c>
      <c r="E72" s="66" t="s">
        <v>194</v>
      </c>
      <c r="F72" s="389">
        <v>1.0</v>
      </c>
      <c r="G72" s="372"/>
      <c r="H72" s="372"/>
      <c r="I72" s="372">
        <f t="shared" ref="I72:K72" si="81">SUM(I73:I75)</f>
        <v>0.95</v>
      </c>
      <c r="J72" s="372">
        <f t="shared" si="81"/>
        <v>4.1376</v>
      </c>
      <c r="K72" s="372">
        <f t="shared" si="81"/>
        <v>5.0876</v>
      </c>
      <c r="L72" s="373"/>
      <c r="M72" s="372">
        <f t="shared" ref="M72:N72" si="82">SUM(M73:M76)</f>
        <v>0.9519594773</v>
      </c>
      <c r="N72" s="372">
        <f t="shared" si="82"/>
        <v>4.157249569</v>
      </c>
      <c r="O72" s="374">
        <f t="shared" ref="O72:O75" si="83">N72+M72</f>
        <v>5.109209046</v>
      </c>
    </row>
    <row r="73">
      <c r="A73" s="375"/>
      <c r="B73" s="91" t="s">
        <v>65</v>
      </c>
      <c r="C73" s="91">
        <v>13973.0</v>
      </c>
      <c r="D73" s="390" t="s">
        <v>487</v>
      </c>
      <c r="E73" s="91" t="s">
        <v>194</v>
      </c>
      <c r="F73" s="377">
        <v>1.0</v>
      </c>
      <c r="G73" s="378">
        <v>0.95</v>
      </c>
      <c r="H73" s="378">
        <v>0.0</v>
      </c>
      <c r="I73" s="378">
        <f t="shared" ref="I73:I75" si="84">G73*F73</f>
        <v>0.95</v>
      </c>
      <c r="J73" s="378">
        <f t="shared" ref="J73:J75" si="85">F73*H73</f>
        <v>0</v>
      </c>
      <c r="K73" s="378">
        <f t="shared" ref="K73:K75" si="86">I73+J73</f>
        <v>0.95</v>
      </c>
      <c r="L73" s="240">
        <f>INCC!$C$29</f>
        <v>0.002062607648</v>
      </c>
      <c r="M73" s="80">
        <f t="shared" ref="M73:M75" si="87">(1+L73)*I73</f>
        <v>0.9519594773</v>
      </c>
      <c r="N73" s="80">
        <f t="shared" ref="N73:N75" si="88">(1+L73)*J73</f>
        <v>0</v>
      </c>
      <c r="O73" s="374">
        <f t="shared" si="83"/>
        <v>0.9519594773</v>
      </c>
    </row>
    <row r="74">
      <c r="A74" s="375"/>
      <c r="B74" s="91" t="s">
        <v>47</v>
      </c>
      <c r="C74" s="91">
        <v>8.0</v>
      </c>
      <c r="D74" s="384" t="s">
        <v>465</v>
      </c>
      <c r="E74" s="91" t="s">
        <v>460</v>
      </c>
      <c r="F74" s="377">
        <v>0.08</v>
      </c>
      <c r="G74" s="382">
        <v>0.0</v>
      </c>
      <c r="H74" s="378">
        <v>22.23</v>
      </c>
      <c r="I74" s="378">
        <f t="shared" si="84"/>
        <v>0</v>
      </c>
      <c r="J74" s="378">
        <f t="shared" si="85"/>
        <v>1.7784</v>
      </c>
      <c r="K74" s="378">
        <f t="shared" si="86"/>
        <v>1.7784</v>
      </c>
      <c r="L74" s="240">
        <f>INCC!$C$26</f>
        <v>0.004749025652</v>
      </c>
      <c r="M74" s="80">
        <f t="shared" si="87"/>
        <v>0</v>
      </c>
      <c r="N74" s="80">
        <f t="shared" si="88"/>
        <v>1.786845667</v>
      </c>
      <c r="O74" s="374">
        <f t="shared" si="83"/>
        <v>1.786845667</v>
      </c>
    </row>
    <row r="75">
      <c r="A75" s="383"/>
      <c r="B75" s="91" t="s">
        <v>47</v>
      </c>
      <c r="C75" s="91">
        <v>12.0</v>
      </c>
      <c r="D75" s="381" t="s">
        <v>486</v>
      </c>
      <c r="E75" s="91" t="s">
        <v>460</v>
      </c>
      <c r="F75" s="377">
        <v>0.08</v>
      </c>
      <c r="G75" s="382">
        <v>0.0</v>
      </c>
      <c r="H75" s="378">
        <v>29.49</v>
      </c>
      <c r="I75" s="378">
        <f t="shared" si="84"/>
        <v>0</v>
      </c>
      <c r="J75" s="378">
        <f t="shared" si="85"/>
        <v>2.3592</v>
      </c>
      <c r="K75" s="378">
        <f t="shared" si="86"/>
        <v>2.3592</v>
      </c>
      <c r="L75" s="240">
        <f>INCC!$C$26</f>
        <v>0.004749025652</v>
      </c>
      <c r="M75" s="80">
        <f t="shared" si="87"/>
        <v>0</v>
      </c>
      <c r="N75" s="80">
        <f t="shared" si="88"/>
        <v>2.370403901</v>
      </c>
      <c r="O75" s="374">
        <f t="shared" si="83"/>
        <v>2.370403901</v>
      </c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</row>
    <row r="77">
      <c r="A77" s="368" t="s">
        <v>443</v>
      </c>
      <c r="B77" s="368" t="s">
        <v>444</v>
      </c>
      <c r="C77" s="368" t="s">
        <v>445</v>
      </c>
      <c r="D77" s="368" t="s">
        <v>446</v>
      </c>
      <c r="E77" s="368" t="s">
        <v>194</v>
      </c>
      <c r="F77" s="368" t="s">
        <v>447</v>
      </c>
      <c r="G77" s="368" t="s">
        <v>448</v>
      </c>
      <c r="H77" s="368" t="s">
        <v>449</v>
      </c>
      <c r="I77" s="368" t="s">
        <v>450</v>
      </c>
      <c r="J77" s="368" t="s">
        <v>451</v>
      </c>
      <c r="K77" s="369" t="s">
        <v>452</v>
      </c>
      <c r="L77" s="68" t="s">
        <v>42</v>
      </c>
      <c r="M77" s="68" t="s">
        <v>453</v>
      </c>
      <c r="N77" s="66" t="s">
        <v>454</v>
      </c>
      <c r="O77" s="369" t="s">
        <v>455</v>
      </c>
    </row>
    <row r="78">
      <c r="A78" s="42">
        <v>12.0</v>
      </c>
      <c r="B78" s="370"/>
      <c r="C78" s="370"/>
      <c r="D78" s="33" t="s">
        <v>488</v>
      </c>
      <c r="E78" s="66" t="s">
        <v>194</v>
      </c>
      <c r="F78" s="389">
        <v>1.0</v>
      </c>
      <c r="G78" s="372"/>
      <c r="H78" s="372"/>
      <c r="I78" s="372">
        <f t="shared" ref="I78:K78" si="89">SUM(I79:I81)</f>
        <v>344.53</v>
      </c>
      <c r="J78" s="372">
        <f t="shared" si="89"/>
        <v>4.1376</v>
      </c>
      <c r="K78" s="372">
        <f t="shared" si="89"/>
        <v>348.6676</v>
      </c>
      <c r="L78" s="373"/>
      <c r="M78" s="372">
        <f t="shared" ref="M78:N78" si="90">SUM(M79:M82)</f>
        <v>345.2406302</v>
      </c>
      <c r="N78" s="372">
        <f t="shared" si="90"/>
        <v>4.157249569</v>
      </c>
      <c r="O78" s="374">
        <f t="shared" ref="O78:O81" si="91">N78+M78</f>
        <v>349.3978798</v>
      </c>
    </row>
    <row r="79">
      <c r="A79" s="375"/>
      <c r="B79" s="91" t="s">
        <v>65</v>
      </c>
      <c r="C79" s="91">
        <v>13942.0</v>
      </c>
      <c r="D79" s="390" t="s">
        <v>489</v>
      </c>
      <c r="E79" s="91" t="s">
        <v>194</v>
      </c>
      <c r="F79" s="377">
        <v>1.0</v>
      </c>
      <c r="G79" s="378">
        <v>344.53</v>
      </c>
      <c r="H79" s="378">
        <v>0.0</v>
      </c>
      <c r="I79" s="378">
        <f t="shared" ref="I79:I81" si="92">G79*F79</f>
        <v>344.53</v>
      </c>
      <c r="J79" s="378">
        <f t="shared" ref="J79:J81" si="93">F79*H79</f>
        <v>0</v>
      </c>
      <c r="K79" s="378">
        <f t="shared" ref="K79:K81" si="94">I79+J79</f>
        <v>344.53</v>
      </c>
      <c r="L79" s="240">
        <f>INCC!$C$29</f>
        <v>0.002062607648</v>
      </c>
      <c r="M79" s="80">
        <f t="shared" ref="M79:M81" si="95">(1+L79)*I79</f>
        <v>345.2406302</v>
      </c>
      <c r="N79" s="80">
        <f t="shared" ref="N79:N81" si="96">(1+L79)*J79</f>
        <v>0</v>
      </c>
      <c r="O79" s="374">
        <f t="shared" si="91"/>
        <v>345.2406302</v>
      </c>
    </row>
    <row r="80">
      <c r="A80" s="375"/>
      <c r="B80" s="91" t="s">
        <v>47</v>
      </c>
      <c r="C80" s="91">
        <v>8.0</v>
      </c>
      <c r="D80" s="384" t="s">
        <v>465</v>
      </c>
      <c r="E80" s="91" t="s">
        <v>460</v>
      </c>
      <c r="F80" s="377">
        <v>0.08</v>
      </c>
      <c r="G80" s="382">
        <v>0.0</v>
      </c>
      <c r="H80" s="378">
        <v>22.23</v>
      </c>
      <c r="I80" s="378">
        <f t="shared" si="92"/>
        <v>0</v>
      </c>
      <c r="J80" s="378">
        <f t="shared" si="93"/>
        <v>1.7784</v>
      </c>
      <c r="K80" s="378">
        <f t="shared" si="94"/>
        <v>1.7784</v>
      </c>
      <c r="L80" s="240">
        <f>INCC!$C$26</f>
        <v>0.004749025652</v>
      </c>
      <c r="M80" s="80">
        <f t="shared" si="95"/>
        <v>0</v>
      </c>
      <c r="N80" s="80">
        <f t="shared" si="96"/>
        <v>1.786845667</v>
      </c>
      <c r="O80" s="374">
        <f t="shared" si="91"/>
        <v>1.786845667</v>
      </c>
    </row>
    <row r="81">
      <c r="A81" s="383"/>
      <c r="B81" s="91" t="s">
        <v>47</v>
      </c>
      <c r="C81" s="91">
        <v>12.0</v>
      </c>
      <c r="D81" s="381" t="s">
        <v>486</v>
      </c>
      <c r="E81" s="91" t="s">
        <v>460</v>
      </c>
      <c r="F81" s="377">
        <v>0.08</v>
      </c>
      <c r="G81" s="382">
        <v>0.0</v>
      </c>
      <c r="H81" s="378">
        <v>29.49</v>
      </c>
      <c r="I81" s="378">
        <f t="shared" si="92"/>
        <v>0</v>
      </c>
      <c r="J81" s="378">
        <f t="shared" si="93"/>
        <v>2.3592</v>
      </c>
      <c r="K81" s="378">
        <f t="shared" si="94"/>
        <v>2.3592</v>
      </c>
      <c r="L81" s="240">
        <f>INCC!$C$26</f>
        <v>0.004749025652</v>
      </c>
      <c r="M81" s="80">
        <f t="shared" si="95"/>
        <v>0</v>
      </c>
      <c r="N81" s="80">
        <f t="shared" si="96"/>
        <v>2.370403901</v>
      </c>
      <c r="O81" s="374">
        <f t="shared" si="91"/>
        <v>2.370403901</v>
      </c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</row>
  </sheetData>
  <mergeCells count="14">
    <mergeCell ref="A50:A52"/>
    <mergeCell ref="A55:A57"/>
    <mergeCell ref="A60:A63"/>
    <mergeCell ref="A66:A69"/>
    <mergeCell ref="A72:A75"/>
    <mergeCell ref="A78:A81"/>
    <mergeCell ref="A6:K6"/>
    <mergeCell ref="A9:A13"/>
    <mergeCell ref="A16:A19"/>
    <mergeCell ref="A23:A27"/>
    <mergeCell ref="A30:A34"/>
    <mergeCell ref="A37:A40"/>
    <mergeCell ref="A43:A47"/>
    <mergeCell ref="E3:K3"/>
  </mergeCells>
  <dataValidations>
    <dataValidation type="list" allowBlank="1" sqref="E9 E16 E23 E30 E37 E43 E50 E55 E60 E66 E72 E78">
      <formula1>"Un.,pç,m,m²,m³,pct,cj,l,g,kg,ton,lata,H,HH,US"</formula1>
    </dataValidation>
    <dataValidation type="list" allowBlank="1" showErrorMessage="1" sqref="B9:B14 B16:B19 B23:B27 B30:B34 B37:B40 B43:B47 B50:B52 B55:B57 B60:B63 B66:B69 B72:B75 B78:B81">
      <formula1>"GOINFRA,SINAPI,ORSE,SEINFRA,BANCO DE PREÇOS,COTAÇÃO"</formula1>
    </dataValidation>
  </dataValidation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0.25"/>
    <col customWidth="1" min="2" max="2" width="23.88"/>
    <col customWidth="1" min="3" max="3" width="6.75"/>
    <col customWidth="1" min="4" max="4" width="78.25"/>
    <col customWidth="1" min="5" max="5" width="13.5"/>
    <col customWidth="1" min="6" max="6" width="10.63"/>
    <col customWidth="1" min="7" max="7" width="14.25"/>
    <col customWidth="1" min="8" max="8" width="11.25"/>
    <col customWidth="1" min="9" max="9" width="11.88"/>
    <col customWidth="1" min="10" max="10" width="11.25"/>
    <col customWidth="1" min="11" max="11" width="10.25"/>
  </cols>
  <sheetData>
    <row r="1">
      <c r="A1" s="350" t="s">
        <v>0</v>
      </c>
      <c r="B1" s="2" t="s">
        <v>1</v>
      </c>
      <c r="C1" s="188"/>
      <c r="D1" s="188"/>
      <c r="E1" s="1" t="s">
        <v>2</v>
      </c>
      <c r="F1" s="351">
        <f>TODAY()</f>
        <v>46056</v>
      </c>
      <c r="G1" s="351"/>
      <c r="H1" s="352"/>
      <c r="I1" s="352"/>
      <c r="J1" s="352"/>
      <c r="K1" s="353"/>
      <c r="L1" s="5"/>
      <c r="M1" s="5"/>
      <c r="N1" s="5"/>
      <c r="O1" s="5"/>
      <c r="P1" s="5"/>
    </row>
    <row r="2">
      <c r="A2" s="350" t="s">
        <v>3</v>
      </c>
      <c r="B2" s="354" t="s">
        <v>4</v>
      </c>
      <c r="C2" s="183"/>
      <c r="D2" s="183"/>
      <c r="E2" s="355" t="s">
        <v>5</v>
      </c>
      <c r="F2" s="2" t="s">
        <v>6</v>
      </c>
      <c r="G2" s="2"/>
      <c r="H2" s="188"/>
      <c r="I2" s="188"/>
      <c r="J2" s="188"/>
      <c r="K2" s="180"/>
      <c r="L2" s="5"/>
      <c r="M2" s="5"/>
      <c r="N2" s="5"/>
      <c r="O2" s="5"/>
      <c r="P2" s="5"/>
    </row>
    <row r="3">
      <c r="A3" s="350" t="s">
        <v>7</v>
      </c>
      <c r="B3" s="356" t="s">
        <v>8</v>
      </c>
      <c r="C3" s="183"/>
      <c r="D3" s="183"/>
      <c r="E3" s="10" t="s">
        <v>10</v>
      </c>
      <c r="F3" s="53"/>
      <c r="G3" s="53"/>
      <c r="H3" s="53"/>
      <c r="I3" s="53"/>
      <c r="J3" s="53"/>
      <c r="K3" s="54"/>
      <c r="L3" s="5"/>
      <c r="M3" s="5"/>
      <c r="N3" s="5"/>
      <c r="O3" s="5"/>
      <c r="P3" s="5"/>
    </row>
    <row r="4">
      <c r="A4" s="350" t="s">
        <v>11</v>
      </c>
      <c r="B4" s="354" t="s">
        <v>12</v>
      </c>
      <c r="C4" s="183"/>
      <c r="D4" s="183"/>
      <c r="E4" s="357"/>
      <c r="F4" s="358"/>
      <c r="G4" s="359"/>
      <c r="H4" s="360"/>
      <c r="I4" s="360"/>
      <c r="J4" s="360"/>
      <c r="K4" s="361"/>
      <c r="L4" s="5"/>
      <c r="M4" s="5"/>
      <c r="N4" s="5"/>
      <c r="O4" s="5"/>
      <c r="P4" s="5"/>
    </row>
    <row r="5">
      <c r="A5" s="350" t="s">
        <v>13</v>
      </c>
      <c r="B5" s="354" t="s">
        <v>14</v>
      </c>
      <c r="C5" s="183"/>
      <c r="D5" s="183"/>
      <c r="E5" s="362"/>
      <c r="F5" s="363"/>
      <c r="G5" s="364"/>
      <c r="H5" s="365"/>
      <c r="I5" s="365"/>
      <c r="J5" s="365"/>
      <c r="K5" s="366"/>
      <c r="L5" s="5"/>
      <c r="M5" s="5"/>
      <c r="N5" s="5"/>
      <c r="O5" s="5"/>
      <c r="P5" s="5"/>
    </row>
    <row r="6">
      <c r="A6" s="14" t="s">
        <v>442</v>
      </c>
      <c r="B6" s="9"/>
      <c r="C6" s="9"/>
      <c r="D6" s="9"/>
      <c r="E6" s="9"/>
      <c r="F6" s="9"/>
      <c r="G6" s="9"/>
      <c r="H6" s="9"/>
      <c r="I6" s="9"/>
      <c r="J6" s="9"/>
      <c r="K6" s="65"/>
      <c r="L6" s="5"/>
      <c r="M6" s="5"/>
      <c r="N6" s="5"/>
      <c r="O6" s="5"/>
      <c r="P6" s="5"/>
    </row>
    <row r="7">
      <c r="A7" s="367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>
      <c r="A8" s="368" t="s">
        <v>443</v>
      </c>
      <c r="B8" s="368" t="s">
        <v>444</v>
      </c>
      <c r="C8" s="368" t="s">
        <v>445</v>
      </c>
      <c r="D8" s="368" t="s">
        <v>446</v>
      </c>
      <c r="E8" s="368" t="s">
        <v>194</v>
      </c>
      <c r="F8" s="368" t="s">
        <v>447</v>
      </c>
      <c r="G8" s="368" t="s">
        <v>448</v>
      </c>
      <c r="H8" s="368" t="s">
        <v>449</v>
      </c>
      <c r="I8" s="368" t="s">
        <v>450</v>
      </c>
      <c r="J8" s="368" t="s">
        <v>451</v>
      </c>
      <c r="K8" s="369" t="s">
        <v>452</v>
      </c>
      <c r="L8" s="68" t="s">
        <v>42</v>
      </c>
      <c r="M8" s="68" t="s">
        <v>453</v>
      </c>
      <c r="N8" s="66" t="s">
        <v>454</v>
      </c>
      <c r="O8" s="369" t="s">
        <v>455</v>
      </c>
      <c r="P8" s="5"/>
    </row>
    <row r="9">
      <c r="A9" s="42">
        <v>1.0</v>
      </c>
      <c r="B9" s="370"/>
      <c r="C9" s="370"/>
      <c r="D9" s="33" t="s">
        <v>456</v>
      </c>
      <c r="E9" s="66" t="s">
        <v>71</v>
      </c>
      <c r="F9" s="371"/>
      <c r="G9" s="372"/>
      <c r="H9" s="372"/>
      <c r="I9" s="372">
        <f t="shared" ref="I9:K9" si="1">SUM(I10:I13)</f>
        <v>139.02</v>
      </c>
      <c r="J9" s="372">
        <f t="shared" si="1"/>
        <v>7.233</v>
      </c>
      <c r="K9" s="372">
        <f t="shared" si="1"/>
        <v>146.253</v>
      </c>
      <c r="L9" s="373"/>
      <c r="M9" s="372">
        <f t="shared" ref="M9:N9" si="2">SUM(M10:M13)</f>
        <v>139.02</v>
      </c>
      <c r="N9" s="372">
        <f t="shared" si="2"/>
        <v>7.241932917</v>
      </c>
      <c r="O9" s="374">
        <f t="shared" ref="O9:O13" si="3">N9+M9</f>
        <v>146.2619329</v>
      </c>
      <c r="P9" s="5"/>
    </row>
    <row r="10">
      <c r="A10" s="375"/>
      <c r="B10" s="91" t="s">
        <v>130</v>
      </c>
      <c r="C10" s="91">
        <v>2.0</v>
      </c>
      <c r="D10" s="376" t="s">
        <v>457</v>
      </c>
      <c r="E10" s="91" t="s">
        <v>194</v>
      </c>
      <c r="F10" s="377">
        <v>1.0</v>
      </c>
      <c r="G10" s="378">
        <f>'COTAÇÕES'!I15</f>
        <v>127.69</v>
      </c>
      <c r="H10" s="378">
        <v>0.0</v>
      </c>
      <c r="I10" s="378">
        <f t="shared" ref="I10:I13" si="4">G10*F10</f>
        <v>127.69</v>
      </c>
      <c r="J10" s="378">
        <f t="shared" ref="J10:J13" si="5">F10*H10</f>
        <v>0</v>
      </c>
      <c r="K10" s="378">
        <f t="shared" ref="K10:K13" si="6">I10+J10</f>
        <v>127.69</v>
      </c>
      <c r="L10" s="379">
        <v>0.0</v>
      </c>
      <c r="M10" s="80">
        <f t="shared" ref="M10:M13" si="7">(1+L10)*I10</f>
        <v>127.69</v>
      </c>
      <c r="N10" s="80">
        <f t="shared" ref="N10:N13" si="8">(1+L10)*J10</f>
        <v>0</v>
      </c>
      <c r="O10" s="374">
        <f t="shared" si="3"/>
        <v>127.69</v>
      </c>
      <c r="P10" s="5"/>
    </row>
    <row r="11">
      <c r="A11" s="375"/>
      <c r="B11" s="91" t="s">
        <v>125</v>
      </c>
      <c r="C11" s="380">
        <v>131.0</v>
      </c>
      <c r="D11" s="381" t="s">
        <v>458</v>
      </c>
      <c r="E11" s="91" t="s">
        <v>133</v>
      </c>
      <c r="F11" s="377">
        <v>0.25</v>
      </c>
      <c r="G11" s="378">
        <v>45.32</v>
      </c>
      <c r="H11" s="382">
        <v>0.0</v>
      </c>
      <c r="I11" s="378">
        <f t="shared" si="4"/>
        <v>11.33</v>
      </c>
      <c r="J11" s="378">
        <f t="shared" si="5"/>
        <v>0</v>
      </c>
      <c r="K11" s="378">
        <f t="shared" si="6"/>
        <v>11.33</v>
      </c>
      <c r="L11" s="240">
        <f>INCC!C27</f>
        <v>0</v>
      </c>
      <c r="M11" s="80">
        <f t="shared" si="7"/>
        <v>11.33</v>
      </c>
      <c r="N11" s="80">
        <f t="shared" si="8"/>
        <v>0</v>
      </c>
      <c r="O11" s="374">
        <f t="shared" si="3"/>
        <v>11.33</v>
      </c>
      <c r="P11" s="5"/>
    </row>
    <row r="12">
      <c r="A12" s="375"/>
      <c r="B12" s="91" t="s">
        <v>47</v>
      </c>
      <c r="C12" s="380">
        <v>5.0</v>
      </c>
      <c r="D12" s="381" t="s">
        <v>459</v>
      </c>
      <c r="E12" s="91" t="s">
        <v>460</v>
      </c>
      <c r="F12" s="377">
        <v>0.1</v>
      </c>
      <c r="G12" s="382">
        <v>0.0</v>
      </c>
      <c r="H12" s="378">
        <v>18.81</v>
      </c>
      <c r="I12" s="378">
        <f t="shared" si="4"/>
        <v>0</v>
      </c>
      <c r="J12" s="378">
        <f t="shared" si="5"/>
        <v>1.881</v>
      </c>
      <c r="K12" s="378">
        <f t="shared" si="6"/>
        <v>1.881</v>
      </c>
      <c r="L12" s="240">
        <f>INCC!$C$26</f>
        <v>0.004749025652</v>
      </c>
      <c r="M12" s="80">
        <f t="shared" si="7"/>
        <v>0</v>
      </c>
      <c r="N12" s="80">
        <f t="shared" si="8"/>
        <v>1.889932917</v>
      </c>
      <c r="O12" s="374">
        <f t="shared" si="3"/>
        <v>1.889932917</v>
      </c>
      <c r="P12" s="5"/>
    </row>
    <row r="13">
      <c r="A13" s="383"/>
      <c r="B13" s="91" t="s">
        <v>47</v>
      </c>
      <c r="C13" s="91">
        <v>33.0</v>
      </c>
      <c r="D13" s="384" t="s">
        <v>461</v>
      </c>
      <c r="E13" s="91" t="s">
        <v>460</v>
      </c>
      <c r="F13" s="377">
        <v>0.2</v>
      </c>
      <c r="G13" s="382">
        <v>0.0</v>
      </c>
      <c r="H13" s="378">
        <v>26.76</v>
      </c>
      <c r="I13" s="378">
        <f t="shared" si="4"/>
        <v>0</v>
      </c>
      <c r="J13" s="378">
        <f t="shared" si="5"/>
        <v>5.352</v>
      </c>
      <c r="K13" s="378">
        <f t="shared" si="6"/>
        <v>5.352</v>
      </c>
      <c r="L13" s="240">
        <f>INCC!C27</f>
        <v>0</v>
      </c>
      <c r="M13" s="80">
        <f t="shared" si="7"/>
        <v>0</v>
      </c>
      <c r="N13" s="80">
        <f t="shared" si="8"/>
        <v>5.352</v>
      </c>
      <c r="O13" s="374">
        <f t="shared" si="3"/>
        <v>5.352</v>
      </c>
      <c r="P13" s="5"/>
    </row>
    <row r="14">
      <c r="A14" s="385"/>
      <c r="B14" s="25"/>
      <c r="C14" s="25"/>
      <c r="D14" s="25"/>
      <c r="E14" s="25"/>
      <c r="F14" s="386"/>
      <c r="G14" s="386"/>
      <c r="H14" s="386"/>
      <c r="I14" s="386"/>
      <c r="J14" s="386"/>
      <c r="K14" s="386"/>
      <c r="L14" s="5"/>
      <c r="M14" s="5"/>
      <c r="N14" s="5"/>
      <c r="O14" s="5"/>
      <c r="P14" s="5"/>
    </row>
    <row r="15">
      <c r="A15" s="368" t="s">
        <v>443</v>
      </c>
      <c r="B15" s="368" t="s">
        <v>444</v>
      </c>
      <c r="C15" s="368" t="s">
        <v>445</v>
      </c>
      <c r="D15" s="368" t="s">
        <v>446</v>
      </c>
      <c r="E15" s="368" t="s">
        <v>194</v>
      </c>
      <c r="F15" s="368" t="s">
        <v>447</v>
      </c>
      <c r="G15" s="368" t="s">
        <v>448</v>
      </c>
      <c r="H15" s="368" t="s">
        <v>449</v>
      </c>
      <c r="I15" s="368" t="s">
        <v>450</v>
      </c>
      <c r="J15" s="368" t="s">
        <v>451</v>
      </c>
      <c r="K15" s="369" t="s">
        <v>452</v>
      </c>
      <c r="L15" s="68" t="s">
        <v>42</v>
      </c>
      <c r="M15" s="68" t="s">
        <v>453</v>
      </c>
      <c r="N15" s="66" t="s">
        <v>454</v>
      </c>
      <c r="O15" s="369" t="s">
        <v>455</v>
      </c>
      <c r="P15" s="5"/>
    </row>
    <row r="16">
      <c r="A16" s="42">
        <v>2.0</v>
      </c>
      <c r="B16" s="370"/>
      <c r="C16" s="370"/>
      <c r="D16" s="33" t="s">
        <v>180</v>
      </c>
      <c r="E16" s="66" t="s">
        <v>462</v>
      </c>
      <c r="F16" s="371"/>
      <c r="G16" s="372"/>
      <c r="H16" s="372"/>
      <c r="I16" s="372">
        <f t="shared" ref="I16:K16" si="9">SUM(I17:I19)</f>
        <v>652.4</v>
      </c>
      <c r="J16" s="372">
        <f t="shared" si="9"/>
        <v>192.6573</v>
      </c>
      <c r="K16" s="372">
        <f t="shared" si="9"/>
        <v>845.0573</v>
      </c>
      <c r="L16" s="373"/>
      <c r="M16" s="372">
        <f t="shared" ref="M16:N16" si="10">SUM(M17:M20)</f>
        <v>653.7456452</v>
      </c>
      <c r="N16" s="372">
        <f t="shared" si="10"/>
        <v>193.5722345</v>
      </c>
      <c r="O16" s="374">
        <f t="shared" ref="O16:O19" si="11">N16+M16</f>
        <v>847.3178797</v>
      </c>
      <c r="P16" s="5"/>
    </row>
    <row r="17">
      <c r="A17" s="375"/>
      <c r="B17" s="91" t="s">
        <v>65</v>
      </c>
      <c r="C17" s="91">
        <v>7309.0</v>
      </c>
      <c r="D17" s="376" t="s">
        <v>463</v>
      </c>
      <c r="E17" s="91" t="s">
        <v>71</v>
      </c>
      <c r="F17" s="377">
        <v>1.0</v>
      </c>
      <c r="G17" s="378">
        <v>652.4</v>
      </c>
      <c r="H17" s="378">
        <v>0.0</v>
      </c>
      <c r="I17" s="378">
        <f t="shared" ref="I17:I19" si="12">G17*F17</f>
        <v>652.4</v>
      </c>
      <c r="J17" s="378">
        <f t="shared" ref="J17:J19" si="13">F17*H17</f>
        <v>0</v>
      </c>
      <c r="K17" s="378">
        <f t="shared" ref="K17:K19" si="14">I17+J17</f>
        <v>652.4</v>
      </c>
      <c r="L17" s="218">
        <f>INCC!$C$29</f>
        <v>0.002062607648</v>
      </c>
      <c r="M17" s="80">
        <f t="shared" ref="M17:M19" si="15">(1+L17)*I17</f>
        <v>653.7456452</v>
      </c>
      <c r="N17" s="80">
        <f t="shared" ref="N17:N19" si="16">(1+L17)*J17</f>
        <v>0</v>
      </c>
      <c r="O17" s="374">
        <f t="shared" si="11"/>
        <v>653.7456452</v>
      </c>
      <c r="P17" s="5"/>
    </row>
    <row r="18">
      <c r="A18" s="375"/>
      <c r="B18" s="91" t="s">
        <v>47</v>
      </c>
      <c r="C18" s="380">
        <v>21.0</v>
      </c>
      <c r="D18" s="381" t="s">
        <v>464</v>
      </c>
      <c r="E18" s="91" t="s">
        <v>460</v>
      </c>
      <c r="F18" s="377">
        <v>4.51</v>
      </c>
      <c r="G18" s="382">
        <v>0.0</v>
      </c>
      <c r="H18" s="378">
        <v>26.71</v>
      </c>
      <c r="I18" s="378">
        <f t="shared" si="12"/>
        <v>0</v>
      </c>
      <c r="J18" s="378">
        <f t="shared" si="13"/>
        <v>120.4621</v>
      </c>
      <c r="K18" s="378">
        <f t="shared" si="14"/>
        <v>120.4621</v>
      </c>
      <c r="L18" s="240">
        <f>INCC!$C$26</f>
        <v>0.004749025652</v>
      </c>
      <c r="M18" s="80">
        <f t="shared" si="15"/>
        <v>0</v>
      </c>
      <c r="N18" s="80">
        <f t="shared" si="16"/>
        <v>121.0341776</v>
      </c>
      <c r="O18" s="374">
        <f t="shared" si="11"/>
        <v>121.0341776</v>
      </c>
      <c r="P18" s="5"/>
    </row>
    <row r="19">
      <c r="A19" s="383"/>
      <c r="B19" s="91" t="s">
        <v>47</v>
      </c>
      <c r="C19" s="91">
        <v>8.0</v>
      </c>
      <c r="D19" s="384" t="s">
        <v>465</v>
      </c>
      <c r="E19" s="91" t="s">
        <v>460</v>
      </c>
      <c r="F19" s="377">
        <v>3.52</v>
      </c>
      <c r="G19" s="382">
        <v>0.0</v>
      </c>
      <c r="H19" s="378">
        <v>20.51</v>
      </c>
      <c r="I19" s="378">
        <f t="shared" si="12"/>
        <v>0</v>
      </c>
      <c r="J19" s="378">
        <f t="shared" si="13"/>
        <v>72.1952</v>
      </c>
      <c r="K19" s="378">
        <f t="shared" si="14"/>
        <v>72.1952</v>
      </c>
      <c r="L19" s="240">
        <f>INCC!$C$26</f>
        <v>0.004749025652</v>
      </c>
      <c r="M19" s="80">
        <f t="shared" si="15"/>
        <v>0</v>
      </c>
      <c r="N19" s="80">
        <f t="shared" si="16"/>
        <v>72.53805686</v>
      </c>
      <c r="O19" s="374">
        <f t="shared" si="11"/>
        <v>72.53805686</v>
      </c>
      <c r="P19" s="5"/>
    </row>
    <row r="20">
      <c r="A20" s="385"/>
      <c r="B20" s="387" t="s">
        <v>466</v>
      </c>
      <c r="C20" s="388"/>
      <c r="D20" s="388"/>
      <c r="E20" s="388"/>
      <c r="F20" s="388"/>
      <c r="G20" s="388"/>
      <c r="H20" s="388"/>
      <c r="I20" s="388"/>
      <c r="J20" s="388"/>
      <c r="K20" s="388"/>
      <c r="L20" s="5"/>
      <c r="M20" s="5"/>
      <c r="N20" s="5"/>
      <c r="O20" s="5"/>
      <c r="P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>
      <c r="A22" s="368" t="s">
        <v>443</v>
      </c>
      <c r="B22" s="368" t="s">
        <v>444</v>
      </c>
      <c r="C22" s="368" t="s">
        <v>445</v>
      </c>
      <c r="D22" s="368" t="s">
        <v>446</v>
      </c>
      <c r="E22" s="368" t="s">
        <v>194</v>
      </c>
      <c r="F22" s="368" t="s">
        <v>447</v>
      </c>
      <c r="G22" s="368" t="s">
        <v>448</v>
      </c>
      <c r="H22" s="368" t="s">
        <v>449</v>
      </c>
      <c r="I22" s="368" t="s">
        <v>450</v>
      </c>
      <c r="J22" s="368" t="s">
        <v>451</v>
      </c>
      <c r="K22" s="369" t="s">
        <v>452</v>
      </c>
      <c r="L22" s="68" t="s">
        <v>42</v>
      </c>
      <c r="M22" s="68" t="s">
        <v>453</v>
      </c>
      <c r="N22" s="66" t="s">
        <v>454</v>
      </c>
      <c r="O22" s="369" t="s">
        <v>455</v>
      </c>
      <c r="P22" s="5"/>
    </row>
    <row r="23">
      <c r="A23" s="42">
        <v>3.0</v>
      </c>
      <c r="B23" s="370"/>
      <c r="C23" s="370"/>
      <c r="D23" s="33" t="s">
        <v>467</v>
      </c>
      <c r="E23" s="66" t="s">
        <v>194</v>
      </c>
      <c r="F23" s="389">
        <v>1.0</v>
      </c>
      <c r="G23" s="372"/>
      <c r="H23" s="372"/>
      <c r="I23" s="372">
        <f t="shared" ref="I23:K23" si="17">SUM(I24:I27)</f>
        <v>1786.50349</v>
      </c>
      <c r="J23" s="372">
        <f t="shared" si="17"/>
        <v>30.627828</v>
      </c>
      <c r="K23" s="372">
        <f t="shared" si="17"/>
        <v>1817.131318</v>
      </c>
      <c r="L23" s="373"/>
      <c r="M23" s="372">
        <f t="shared" ref="M23:N23" si="18">SUM(M24:M27)</f>
        <v>1786.50349</v>
      </c>
      <c r="N23" s="372">
        <f t="shared" si="18"/>
        <v>30.77328034</v>
      </c>
      <c r="O23" s="374">
        <f t="shared" ref="O23:O27" si="19">N23+M23</f>
        <v>1817.27677</v>
      </c>
      <c r="P23" s="5"/>
    </row>
    <row r="24">
      <c r="A24" s="375"/>
      <c r="B24" s="91" t="s">
        <v>125</v>
      </c>
      <c r="C24" s="91">
        <v>11296.0</v>
      </c>
      <c r="D24" s="376" t="s">
        <v>468</v>
      </c>
      <c r="E24" s="91" t="s">
        <v>133</v>
      </c>
      <c r="F24" s="377">
        <v>1.0</v>
      </c>
      <c r="G24" s="378">
        <f>'COMP. onerado'!G24</f>
        <v>1771.81</v>
      </c>
      <c r="H24" s="378">
        <v>0.0</v>
      </c>
      <c r="I24" s="378">
        <f t="shared" ref="I24:I25" si="20">G24*F24</f>
        <v>1771.81</v>
      </c>
      <c r="J24" s="378">
        <f t="shared" ref="J24:J25" si="21">F24*H24</f>
        <v>0</v>
      </c>
      <c r="K24" s="378">
        <f t="shared" ref="K24:K25" si="22">I24+J24</f>
        <v>1771.81</v>
      </c>
      <c r="L24" s="379">
        <f>INCC!$C$27</f>
        <v>0</v>
      </c>
      <c r="M24" s="80">
        <f t="shared" ref="M24:M27" si="23">(1+L24)*I24</f>
        <v>1771.81</v>
      </c>
      <c r="N24" s="80">
        <f t="shared" ref="N24:N27" si="24">(1+L24)*J24</f>
        <v>0</v>
      </c>
      <c r="O24" s="374">
        <f t="shared" si="19"/>
        <v>1771.81</v>
      </c>
      <c r="P24" s="5"/>
    </row>
    <row r="25">
      <c r="A25" s="375"/>
      <c r="B25" s="91" t="s">
        <v>125</v>
      </c>
      <c r="C25" s="380">
        <v>94970.0</v>
      </c>
      <c r="D25" s="376" t="s">
        <v>469</v>
      </c>
      <c r="E25" s="91" t="s">
        <v>470</v>
      </c>
      <c r="F25" s="377">
        <v>0.0281</v>
      </c>
      <c r="G25" s="382">
        <v>522.9</v>
      </c>
      <c r="H25" s="378">
        <v>0.0</v>
      </c>
      <c r="I25" s="378">
        <f t="shared" si="20"/>
        <v>14.69349</v>
      </c>
      <c r="J25" s="378">
        <f t="shared" si="21"/>
        <v>0</v>
      </c>
      <c r="K25" s="378">
        <f t="shared" si="22"/>
        <v>14.69349</v>
      </c>
      <c r="L25" s="379">
        <f>INCC!$C$27</f>
        <v>0</v>
      </c>
      <c r="M25" s="80">
        <f t="shared" si="23"/>
        <v>14.69349</v>
      </c>
      <c r="N25" s="80">
        <f t="shared" si="24"/>
        <v>0</v>
      </c>
      <c r="O25" s="374">
        <f t="shared" si="19"/>
        <v>14.69349</v>
      </c>
      <c r="P25" s="5"/>
    </row>
    <row r="26">
      <c r="A26" s="375"/>
      <c r="B26" s="91" t="s">
        <v>47</v>
      </c>
      <c r="C26" s="380">
        <v>5.0</v>
      </c>
      <c r="D26" s="381" t="s">
        <v>459</v>
      </c>
      <c r="E26" s="91" t="s">
        <v>460</v>
      </c>
      <c r="F26" s="377">
        <v>0.9023</v>
      </c>
      <c r="G26" s="382">
        <v>0.0</v>
      </c>
      <c r="H26" s="378">
        <v>18.81</v>
      </c>
      <c r="I26" s="378"/>
      <c r="J26" s="378"/>
      <c r="K26" s="378"/>
      <c r="L26" s="240">
        <f>INCC!$C$26</f>
        <v>0.004749025652</v>
      </c>
      <c r="M26" s="80">
        <f t="shared" si="23"/>
        <v>0</v>
      </c>
      <c r="N26" s="80">
        <f t="shared" si="24"/>
        <v>0</v>
      </c>
      <c r="O26" s="374">
        <f t="shared" si="19"/>
        <v>0</v>
      </c>
      <c r="P26" s="5"/>
    </row>
    <row r="27">
      <c r="A27" s="383"/>
      <c r="B27" s="91" t="s">
        <v>47</v>
      </c>
      <c r="C27" s="91">
        <v>4.0</v>
      </c>
      <c r="D27" s="381" t="s">
        <v>471</v>
      </c>
      <c r="E27" s="91" t="s">
        <v>460</v>
      </c>
      <c r="F27" s="377">
        <v>1.1484</v>
      </c>
      <c r="G27" s="382">
        <v>0.0</v>
      </c>
      <c r="H27" s="378">
        <v>26.67</v>
      </c>
      <c r="I27" s="378">
        <f>G27*F27</f>
        <v>0</v>
      </c>
      <c r="J27" s="378">
        <f>F27*H27</f>
        <v>30.627828</v>
      </c>
      <c r="K27" s="378">
        <f>I27+J27</f>
        <v>30.627828</v>
      </c>
      <c r="L27" s="240">
        <f>INCC!$C$26</f>
        <v>0.004749025652</v>
      </c>
      <c r="M27" s="80">
        <f t="shared" si="23"/>
        <v>0</v>
      </c>
      <c r="N27" s="80">
        <f t="shared" si="24"/>
        <v>30.77328034</v>
      </c>
      <c r="O27" s="374">
        <f t="shared" si="19"/>
        <v>30.77328034</v>
      </c>
      <c r="P27" s="5"/>
    </row>
    <row r="28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>
      <c r="A29" s="368" t="s">
        <v>443</v>
      </c>
      <c r="B29" s="368" t="s">
        <v>444</v>
      </c>
      <c r="C29" s="368" t="s">
        <v>445</v>
      </c>
      <c r="D29" s="368" t="s">
        <v>446</v>
      </c>
      <c r="E29" s="368" t="s">
        <v>194</v>
      </c>
      <c r="F29" s="368" t="s">
        <v>447</v>
      </c>
      <c r="G29" s="368" t="s">
        <v>448</v>
      </c>
      <c r="H29" s="368" t="s">
        <v>449</v>
      </c>
      <c r="I29" s="368" t="s">
        <v>450</v>
      </c>
      <c r="J29" s="368" t="s">
        <v>451</v>
      </c>
      <c r="K29" s="369" t="s">
        <v>452</v>
      </c>
      <c r="L29" s="68" t="s">
        <v>42</v>
      </c>
      <c r="M29" s="68" t="s">
        <v>453</v>
      </c>
      <c r="N29" s="66" t="s">
        <v>454</v>
      </c>
      <c r="O29" s="369" t="s">
        <v>455</v>
      </c>
      <c r="P29" s="5"/>
    </row>
    <row r="30">
      <c r="A30" s="42">
        <v>4.0</v>
      </c>
      <c r="B30" s="370"/>
      <c r="C30" s="370"/>
      <c r="D30" s="33" t="s">
        <v>490</v>
      </c>
      <c r="E30" s="66" t="s">
        <v>71</v>
      </c>
      <c r="F30" s="389">
        <v>1.0</v>
      </c>
      <c r="G30" s="372"/>
      <c r="H30" s="372"/>
      <c r="I30" s="372">
        <f t="shared" ref="I30:K30" si="25">SUM(I31:I34)</f>
        <v>176.85</v>
      </c>
      <c r="J30" s="372">
        <f t="shared" si="25"/>
        <v>34.1516</v>
      </c>
      <c r="K30" s="372">
        <f t="shared" si="25"/>
        <v>211.0016</v>
      </c>
      <c r="L30" s="373"/>
      <c r="M30" s="372">
        <f t="shared" ref="M30:N30" si="26">SUM(M31:M34)</f>
        <v>177.2380365</v>
      </c>
      <c r="N30" s="372">
        <f t="shared" si="26"/>
        <v>34.31378682</v>
      </c>
      <c r="O30" s="374">
        <f t="shared" ref="O30:O34" si="27">N30+M30</f>
        <v>211.5518234</v>
      </c>
      <c r="P30" s="5"/>
    </row>
    <row r="31">
      <c r="A31" s="375"/>
      <c r="B31" s="91" t="s">
        <v>65</v>
      </c>
      <c r="C31" s="91">
        <v>14618.0</v>
      </c>
      <c r="D31" s="390" t="s">
        <v>491</v>
      </c>
      <c r="E31" s="91" t="s">
        <v>71</v>
      </c>
      <c r="F31" s="377">
        <v>1.0</v>
      </c>
      <c r="G31" s="378">
        <v>168.19</v>
      </c>
      <c r="H31" s="378">
        <v>0.0</v>
      </c>
      <c r="I31" s="378">
        <f t="shared" ref="I31:I34" si="28">G31*F31</f>
        <v>168.19</v>
      </c>
      <c r="J31" s="378">
        <f t="shared" ref="J31:J34" si="29">F31*H31</f>
        <v>0</v>
      </c>
      <c r="K31" s="378">
        <f t="shared" ref="K31:K34" si="30">I31+J31</f>
        <v>168.19</v>
      </c>
      <c r="L31" s="218">
        <f>INCC!$C$29</f>
        <v>0.002062607648</v>
      </c>
      <c r="M31" s="80">
        <f t="shared" ref="M31:M34" si="31">(1+L31)*I31</f>
        <v>168.53691</v>
      </c>
      <c r="N31" s="80">
        <f t="shared" ref="N31:N34" si="32">(1+L31)*J31</f>
        <v>0</v>
      </c>
      <c r="O31" s="374">
        <f t="shared" si="27"/>
        <v>168.53691</v>
      </c>
      <c r="P31" s="5"/>
    </row>
    <row r="32">
      <c r="A32" s="375"/>
      <c r="B32" s="91" t="s">
        <v>47</v>
      </c>
      <c r="C32" s="91">
        <v>8.0</v>
      </c>
      <c r="D32" s="384" t="s">
        <v>465</v>
      </c>
      <c r="E32" s="91" t="s">
        <v>460</v>
      </c>
      <c r="F32" s="377">
        <v>0.62</v>
      </c>
      <c r="G32" s="382">
        <v>0.0</v>
      </c>
      <c r="H32" s="378">
        <f>H19</f>
        <v>20.51</v>
      </c>
      <c r="I32" s="378">
        <f t="shared" si="28"/>
        <v>0</v>
      </c>
      <c r="J32" s="378">
        <f t="shared" si="29"/>
        <v>12.7162</v>
      </c>
      <c r="K32" s="378">
        <f t="shared" si="30"/>
        <v>12.7162</v>
      </c>
      <c r="L32" s="218">
        <f>INCC!$C$26</f>
        <v>0.004749025652</v>
      </c>
      <c r="M32" s="80">
        <f t="shared" si="31"/>
        <v>0</v>
      </c>
      <c r="N32" s="80">
        <f t="shared" si="32"/>
        <v>12.77658956</v>
      </c>
      <c r="O32" s="374">
        <f t="shared" si="27"/>
        <v>12.77658956</v>
      </c>
      <c r="P32" s="5"/>
    </row>
    <row r="33">
      <c r="A33" s="375"/>
      <c r="B33" s="91" t="s">
        <v>47</v>
      </c>
      <c r="C33" s="91">
        <v>4.0</v>
      </c>
      <c r="D33" s="381" t="s">
        <v>471</v>
      </c>
      <c r="E33" s="91" t="s">
        <v>460</v>
      </c>
      <c r="F33" s="377">
        <v>0.62</v>
      </c>
      <c r="G33" s="382">
        <v>0.0</v>
      </c>
      <c r="H33" s="378">
        <f>H27</f>
        <v>26.67</v>
      </c>
      <c r="I33" s="378">
        <f t="shared" si="28"/>
        <v>0</v>
      </c>
      <c r="J33" s="378">
        <f t="shared" si="29"/>
        <v>16.5354</v>
      </c>
      <c r="K33" s="378">
        <f t="shared" si="30"/>
        <v>16.5354</v>
      </c>
      <c r="L33" s="218">
        <f>INCC!$C$26</f>
        <v>0.004749025652</v>
      </c>
      <c r="M33" s="80">
        <f t="shared" si="31"/>
        <v>0</v>
      </c>
      <c r="N33" s="80">
        <f t="shared" si="32"/>
        <v>16.61392704</v>
      </c>
      <c r="O33" s="374">
        <f t="shared" si="27"/>
        <v>16.61392704</v>
      </c>
      <c r="P33" s="5"/>
    </row>
    <row r="34">
      <c r="A34" s="383"/>
      <c r="B34" s="91" t="s">
        <v>47</v>
      </c>
      <c r="C34" s="91">
        <v>261609.0</v>
      </c>
      <c r="D34" s="381" t="s">
        <v>121</v>
      </c>
      <c r="E34" s="91" t="s">
        <v>49</v>
      </c>
      <c r="F34" s="377">
        <v>1.0</v>
      </c>
      <c r="G34" s="382">
        <v>8.66</v>
      </c>
      <c r="H34" s="378">
        <v>4.9</v>
      </c>
      <c r="I34" s="378">
        <f t="shared" si="28"/>
        <v>8.66</v>
      </c>
      <c r="J34" s="378">
        <f t="shared" si="29"/>
        <v>4.9</v>
      </c>
      <c r="K34" s="378">
        <f t="shared" si="30"/>
        <v>13.56</v>
      </c>
      <c r="L34" s="218">
        <f>INCC!$C$26</f>
        <v>0.004749025652</v>
      </c>
      <c r="M34" s="80">
        <f t="shared" si="31"/>
        <v>8.701126562</v>
      </c>
      <c r="N34" s="80">
        <f t="shared" si="32"/>
        <v>4.923270226</v>
      </c>
      <c r="O34" s="374">
        <f t="shared" si="27"/>
        <v>13.62439679</v>
      </c>
      <c r="P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>
      <c r="A36" s="368" t="s">
        <v>443</v>
      </c>
      <c r="B36" s="368" t="s">
        <v>444</v>
      </c>
      <c r="C36" s="368" t="s">
        <v>445</v>
      </c>
      <c r="D36" s="368" t="s">
        <v>446</v>
      </c>
      <c r="E36" s="368" t="s">
        <v>194</v>
      </c>
      <c r="F36" s="368" t="s">
        <v>447</v>
      </c>
      <c r="G36" s="368" t="s">
        <v>448</v>
      </c>
      <c r="H36" s="368" t="s">
        <v>449</v>
      </c>
      <c r="I36" s="368" t="s">
        <v>450</v>
      </c>
      <c r="J36" s="368" t="s">
        <v>451</v>
      </c>
      <c r="K36" s="369" t="s">
        <v>452</v>
      </c>
      <c r="L36" s="68" t="s">
        <v>42</v>
      </c>
      <c r="M36" s="68" t="s">
        <v>453</v>
      </c>
      <c r="N36" s="66" t="s">
        <v>454</v>
      </c>
      <c r="O36" s="369" t="s">
        <v>455</v>
      </c>
      <c r="P36" s="5"/>
    </row>
    <row r="37">
      <c r="A37" s="42">
        <v>5.0</v>
      </c>
      <c r="B37" s="370"/>
      <c r="C37" s="370"/>
      <c r="D37" s="33" t="s">
        <v>474</v>
      </c>
      <c r="E37" s="66" t="s">
        <v>71</v>
      </c>
      <c r="F37" s="389">
        <v>1.0</v>
      </c>
      <c r="G37" s="372"/>
      <c r="H37" s="372"/>
      <c r="I37" s="372">
        <f t="shared" ref="I37:K37" si="33">SUM(I38:I40)</f>
        <v>54.610919</v>
      </c>
      <c r="J37" s="372">
        <f t="shared" si="33"/>
        <v>76.01583</v>
      </c>
      <c r="K37" s="372">
        <f t="shared" si="33"/>
        <v>130.626749</v>
      </c>
      <c r="L37" s="373"/>
      <c r="M37" s="372">
        <f t="shared" ref="M37:N37" si="34">SUM(M38:M41)</f>
        <v>54.87026766</v>
      </c>
      <c r="N37" s="372">
        <f t="shared" si="34"/>
        <v>76.37683113</v>
      </c>
      <c r="O37" s="374">
        <f t="shared" ref="O37:O40" si="35">N37+M37</f>
        <v>131.2470988</v>
      </c>
      <c r="P37" s="5"/>
    </row>
    <row r="38">
      <c r="A38" s="375"/>
      <c r="B38" s="91" t="s">
        <v>47</v>
      </c>
      <c r="C38" s="91">
        <v>1234.0</v>
      </c>
      <c r="D38" s="390" t="s">
        <v>475</v>
      </c>
      <c r="E38" s="91" t="s">
        <v>71</v>
      </c>
      <c r="F38" s="377">
        <v>1.6667</v>
      </c>
      <c r="G38" s="378">
        <v>27.57</v>
      </c>
      <c r="H38" s="378">
        <v>0.0</v>
      </c>
      <c r="I38" s="378">
        <f t="shared" ref="I38:I40" si="36">G38*F38</f>
        <v>45.950919</v>
      </c>
      <c r="J38" s="378">
        <f t="shared" ref="J38:J40" si="37">F38*H38</f>
        <v>0</v>
      </c>
      <c r="K38" s="378">
        <f t="shared" ref="K38:K40" si="38">I38+J38</f>
        <v>45.950919</v>
      </c>
      <c r="L38" s="218">
        <f>INCC!$C$26</f>
        <v>0.004749025652</v>
      </c>
      <c r="M38" s="80">
        <f t="shared" ref="M38:M40" si="39">(1+L38)*I38</f>
        <v>46.16914109</v>
      </c>
      <c r="N38" s="80">
        <f t="shared" ref="N38:N40" si="40">(1+L38)*J38</f>
        <v>0</v>
      </c>
      <c r="O38" s="374">
        <f t="shared" si="35"/>
        <v>46.16914109</v>
      </c>
      <c r="P38" s="5"/>
    </row>
    <row r="39">
      <c r="A39" s="375"/>
      <c r="B39" s="91" t="s">
        <v>47</v>
      </c>
      <c r="C39" s="91">
        <v>20.0</v>
      </c>
      <c r="D39" s="384" t="s">
        <v>476</v>
      </c>
      <c r="E39" s="91" t="s">
        <v>460</v>
      </c>
      <c r="F39" s="377">
        <v>2.8333</v>
      </c>
      <c r="G39" s="382">
        <v>0.0</v>
      </c>
      <c r="H39" s="378">
        <v>25.1</v>
      </c>
      <c r="I39" s="378">
        <f t="shared" si="36"/>
        <v>0</v>
      </c>
      <c r="J39" s="378">
        <f t="shared" si="37"/>
        <v>71.11583</v>
      </c>
      <c r="K39" s="378">
        <f t="shared" si="38"/>
        <v>71.11583</v>
      </c>
      <c r="L39" s="218">
        <f>INCC!$C$26</f>
        <v>0.004749025652</v>
      </c>
      <c r="M39" s="80">
        <f t="shared" si="39"/>
        <v>0</v>
      </c>
      <c r="N39" s="80">
        <f t="shared" si="40"/>
        <v>71.4535609</v>
      </c>
      <c r="O39" s="374">
        <f t="shared" si="35"/>
        <v>71.4535609</v>
      </c>
      <c r="P39" s="5"/>
    </row>
    <row r="40">
      <c r="A40" s="383"/>
      <c r="B40" s="91" t="s">
        <v>47</v>
      </c>
      <c r="C40" s="91">
        <v>261609.0</v>
      </c>
      <c r="D40" s="381" t="s">
        <v>121</v>
      </c>
      <c r="E40" s="91" t="s">
        <v>49</v>
      </c>
      <c r="F40" s="377">
        <v>1.0</v>
      </c>
      <c r="G40" s="382">
        <v>8.66</v>
      </c>
      <c r="H40" s="378">
        <v>4.9</v>
      </c>
      <c r="I40" s="378">
        <f t="shared" si="36"/>
        <v>8.66</v>
      </c>
      <c r="J40" s="378">
        <f t="shared" si="37"/>
        <v>4.9</v>
      </c>
      <c r="K40" s="378">
        <f t="shared" si="38"/>
        <v>13.56</v>
      </c>
      <c r="L40" s="218">
        <f>INCC!$C$26</f>
        <v>0.004749025652</v>
      </c>
      <c r="M40" s="80">
        <f t="shared" si="39"/>
        <v>8.701126562</v>
      </c>
      <c r="N40" s="80">
        <f t="shared" si="40"/>
        <v>4.923270226</v>
      </c>
      <c r="O40" s="374">
        <f t="shared" si="35"/>
        <v>13.62439679</v>
      </c>
      <c r="P40" s="5"/>
    </row>
    <row r="41">
      <c r="A41" s="5"/>
      <c r="B41" s="5"/>
      <c r="C41" s="5"/>
      <c r="D41" s="5"/>
      <c r="E41" s="5"/>
      <c r="F41" s="5"/>
      <c r="G41" s="392"/>
      <c r="H41" s="392"/>
      <c r="I41" s="5"/>
      <c r="J41" s="5"/>
      <c r="K41" s="5"/>
      <c r="L41" s="5"/>
      <c r="M41" s="5"/>
      <c r="N41" s="5"/>
      <c r="O41" s="5"/>
      <c r="P41" s="5"/>
    </row>
    <row r="42">
      <c r="A42" s="368" t="s">
        <v>443</v>
      </c>
      <c r="B42" s="368" t="s">
        <v>444</v>
      </c>
      <c r="C42" s="368" t="s">
        <v>445</v>
      </c>
      <c r="D42" s="368" t="s">
        <v>446</v>
      </c>
      <c r="E42" s="368" t="s">
        <v>194</v>
      </c>
      <c r="F42" s="368" t="s">
        <v>447</v>
      </c>
      <c r="G42" s="368" t="s">
        <v>448</v>
      </c>
      <c r="H42" s="368" t="s">
        <v>449</v>
      </c>
      <c r="I42" s="368" t="s">
        <v>450</v>
      </c>
      <c r="J42" s="368" t="s">
        <v>451</v>
      </c>
      <c r="K42" s="369" t="s">
        <v>452</v>
      </c>
      <c r="L42" s="68" t="s">
        <v>42</v>
      </c>
      <c r="M42" s="68" t="s">
        <v>453</v>
      </c>
      <c r="N42" s="66" t="s">
        <v>454</v>
      </c>
      <c r="O42" s="369" t="s">
        <v>455</v>
      </c>
      <c r="P42" s="5"/>
    </row>
    <row r="43">
      <c r="A43" s="42">
        <v>6.0</v>
      </c>
      <c r="B43" s="370"/>
      <c r="C43" s="370"/>
      <c r="D43" s="33" t="s">
        <v>477</v>
      </c>
      <c r="E43" s="66" t="s">
        <v>168</v>
      </c>
      <c r="F43" s="389">
        <v>1.0</v>
      </c>
      <c r="G43" s="393"/>
      <c r="H43" s="393"/>
      <c r="I43" s="372">
        <f t="shared" ref="I43:K43" si="41">SUM(I44:I47)</f>
        <v>59.92</v>
      </c>
      <c r="J43" s="372">
        <f t="shared" si="41"/>
        <v>63.875</v>
      </c>
      <c r="K43" s="372">
        <f t="shared" si="41"/>
        <v>123.795</v>
      </c>
      <c r="L43" s="373"/>
      <c r="M43" s="372">
        <f t="shared" ref="M43:N43" si="42">SUM(M44:M47)</f>
        <v>60.20456162</v>
      </c>
      <c r="N43" s="372">
        <f t="shared" si="42"/>
        <v>64.17834401</v>
      </c>
      <c r="O43" s="374">
        <f t="shared" ref="O43:O47" si="43">N43+M43</f>
        <v>124.3829056</v>
      </c>
      <c r="P43" s="5"/>
    </row>
    <row r="44">
      <c r="A44" s="375"/>
      <c r="B44" s="91" t="s">
        <v>47</v>
      </c>
      <c r="C44" s="91">
        <v>2379.0</v>
      </c>
      <c r="D44" s="390" t="s">
        <v>478</v>
      </c>
      <c r="E44" s="91" t="s">
        <v>71</v>
      </c>
      <c r="F44" s="377">
        <v>2.75</v>
      </c>
      <c r="G44" s="378">
        <v>18.64</v>
      </c>
      <c r="H44" s="378">
        <v>0.0</v>
      </c>
      <c r="I44" s="378">
        <f t="shared" ref="I44:I47" si="44">G44*F44</f>
        <v>51.26</v>
      </c>
      <c r="J44" s="378">
        <f t="shared" ref="J44:J47" si="45">F44*H44</f>
        <v>0</v>
      </c>
      <c r="K44" s="378">
        <f t="shared" ref="K44:K47" si="46">I44+J44</f>
        <v>51.26</v>
      </c>
      <c r="L44" s="218">
        <f>INCC!$C$26</f>
        <v>0.004749025652</v>
      </c>
      <c r="M44" s="80">
        <f t="shared" ref="M44:M47" si="47">(1+L44)*I44</f>
        <v>51.50343505</v>
      </c>
      <c r="N44" s="80">
        <f t="shared" ref="N44:N47" si="48">(1+L44)*J44</f>
        <v>0</v>
      </c>
      <c r="O44" s="374">
        <f t="shared" si="43"/>
        <v>51.50343505</v>
      </c>
      <c r="P44" s="5"/>
    </row>
    <row r="45">
      <c r="A45" s="375"/>
      <c r="B45" s="91" t="s">
        <v>47</v>
      </c>
      <c r="C45" s="91">
        <v>8.0</v>
      </c>
      <c r="D45" s="384" t="s">
        <v>465</v>
      </c>
      <c r="E45" s="91" t="s">
        <v>460</v>
      </c>
      <c r="F45" s="377">
        <v>1.25</v>
      </c>
      <c r="G45" s="382">
        <v>0.0</v>
      </c>
      <c r="H45" s="378">
        <f t="shared" ref="H45:H46" si="49">H32</f>
        <v>20.51</v>
      </c>
      <c r="I45" s="378">
        <f t="shared" si="44"/>
        <v>0</v>
      </c>
      <c r="J45" s="378">
        <f t="shared" si="45"/>
        <v>25.6375</v>
      </c>
      <c r="K45" s="378">
        <f t="shared" si="46"/>
        <v>25.6375</v>
      </c>
      <c r="L45" s="218">
        <f>INCC!$C$26</f>
        <v>0.004749025652</v>
      </c>
      <c r="M45" s="80">
        <f t="shared" si="47"/>
        <v>0</v>
      </c>
      <c r="N45" s="80">
        <f t="shared" si="48"/>
        <v>25.75925315</v>
      </c>
      <c r="O45" s="374">
        <f t="shared" si="43"/>
        <v>25.75925315</v>
      </c>
      <c r="P45" s="5"/>
    </row>
    <row r="46">
      <c r="A46" s="375"/>
      <c r="B46" s="91" t="s">
        <v>47</v>
      </c>
      <c r="C46" s="91">
        <v>4.0</v>
      </c>
      <c r="D46" s="381" t="s">
        <v>471</v>
      </c>
      <c r="E46" s="91" t="s">
        <v>460</v>
      </c>
      <c r="F46" s="377">
        <v>1.25</v>
      </c>
      <c r="G46" s="382">
        <v>0.0</v>
      </c>
      <c r="H46" s="378">
        <f t="shared" si="49"/>
        <v>26.67</v>
      </c>
      <c r="I46" s="378">
        <f t="shared" si="44"/>
        <v>0</v>
      </c>
      <c r="J46" s="378">
        <f t="shared" si="45"/>
        <v>33.3375</v>
      </c>
      <c r="K46" s="378">
        <f t="shared" si="46"/>
        <v>33.3375</v>
      </c>
      <c r="L46" s="218">
        <f>INCC!$C$26</f>
        <v>0.004749025652</v>
      </c>
      <c r="M46" s="80">
        <f t="shared" si="47"/>
        <v>0</v>
      </c>
      <c r="N46" s="80">
        <f t="shared" si="48"/>
        <v>33.49582064</v>
      </c>
      <c r="O46" s="374">
        <f t="shared" si="43"/>
        <v>33.49582064</v>
      </c>
      <c r="P46" s="5"/>
    </row>
    <row r="47">
      <c r="A47" s="383"/>
      <c r="B47" s="91" t="s">
        <v>47</v>
      </c>
      <c r="C47" s="91">
        <v>261609.0</v>
      </c>
      <c r="D47" s="381" t="s">
        <v>121</v>
      </c>
      <c r="E47" s="91" t="s">
        <v>49</v>
      </c>
      <c r="F47" s="377">
        <v>1.0</v>
      </c>
      <c r="G47" s="382">
        <v>8.66</v>
      </c>
      <c r="H47" s="378">
        <v>4.9</v>
      </c>
      <c r="I47" s="378">
        <f t="shared" si="44"/>
        <v>8.66</v>
      </c>
      <c r="J47" s="378">
        <f t="shared" si="45"/>
        <v>4.9</v>
      </c>
      <c r="K47" s="378">
        <f t="shared" si="46"/>
        <v>13.56</v>
      </c>
      <c r="L47" s="218">
        <f>INCC!$C$26</f>
        <v>0.004749025652</v>
      </c>
      <c r="M47" s="80">
        <f t="shared" si="47"/>
        <v>8.701126562</v>
      </c>
      <c r="N47" s="80">
        <f t="shared" si="48"/>
        <v>4.923270226</v>
      </c>
      <c r="O47" s="374">
        <f t="shared" si="43"/>
        <v>13.62439679</v>
      </c>
      <c r="P47" s="5"/>
    </row>
    <row r="48">
      <c r="A48" s="5"/>
      <c r="B48" s="5"/>
      <c r="C48" s="5"/>
      <c r="D48" s="5"/>
      <c r="E48" s="5"/>
      <c r="F48" s="5"/>
      <c r="G48" s="392"/>
      <c r="H48" s="392"/>
      <c r="I48" s="5"/>
      <c r="J48" s="5"/>
      <c r="K48" s="5"/>
      <c r="L48" s="5"/>
      <c r="M48" s="5"/>
      <c r="N48" s="5"/>
      <c r="O48" s="5"/>
      <c r="P48" s="5"/>
    </row>
    <row r="49">
      <c r="A49" s="368" t="s">
        <v>443</v>
      </c>
      <c r="B49" s="368" t="s">
        <v>444</v>
      </c>
      <c r="C49" s="368" t="s">
        <v>445</v>
      </c>
      <c r="D49" s="368" t="s">
        <v>446</v>
      </c>
      <c r="E49" s="368" t="s">
        <v>194</v>
      </c>
      <c r="F49" s="368" t="s">
        <v>447</v>
      </c>
      <c r="G49" s="368" t="s">
        <v>448</v>
      </c>
      <c r="H49" s="368" t="s">
        <v>449</v>
      </c>
      <c r="I49" s="368" t="s">
        <v>450</v>
      </c>
      <c r="J49" s="368" t="s">
        <v>451</v>
      </c>
      <c r="K49" s="369" t="s">
        <v>452</v>
      </c>
      <c r="L49" s="68" t="s">
        <v>42</v>
      </c>
      <c r="M49" s="68" t="s">
        <v>453</v>
      </c>
      <c r="N49" s="66" t="s">
        <v>454</v>
      </c>
      <c r="O49" s="369" t="s">
        <v>455</v>
      </c>
      <c r="P49" s="5"/>
    </row>
    <row r="50">
      <c r="A50" s="42">
        <v>7.0</v>
      </c>
      <c r="B50" s="370"/>
      <c r="C50" s="370"/>
      <c r="D50" s="33" t="s">
        <v>479</v>
      </c>
      <c r="E50" s="66" t="s">
        <v>71</v>
      </c>
      <c r="F50" s="389">
        <v>1.0</v>
      </c>
      <c r="G50" s="393"/>
      <c r="H50" s="393"/>
      <c r="I50" s="372">
        <f t="shared" ref="I50:K50" si="50">SUM(I51:I52)</f>
        <v>10.68666667</v>
      </c>
      <c r="J50" s="372">
        <f t="shared" si="50"/>
        <v>7.2425</v>
      </c>
      <c r="K50" s="372">
        <f t="shared" si="50"/>
        <v>17.92916667</v>
      </c>
      <c r="L50" s="373"/>
      <c r="M50" s="372">
        <f t="shared" ref="M50:N50" si="51">SUM(M51:M54)</f>
        <v>10.68666667</v>
      </c>
      <c r="N50" s="372">
        <f t="shared" si="51"/>
        <v>7.2425</v>
      </c>
      <c r="O50" s="374">
        <f t="shared" ref="O50:O52" si="52">N50+M50</f>
        <v>17.92916667</v>
      </c>
      <c r="P50" s="5"/>
    </row>
    <row r="51">
      <c r="A51" s="375"/>
      <c r="B51" s="91" t="s">
        <v>130</v>
      </c>
      <c r="C51" s="91">
        <v>2379.0</v>
      </c>
      <c r="D51" s="390" t="s">
        <v>480</v>
      </c>
      <c r="E51" s="91" t="s">
        <v>71</v>
      </c>
      <c r="F51" s="377">
        <v>1.0</v>
      </c>
      <c r="G51" s="378">
        <f>'COTAÇÕES'!I24</f>
        <v>10.68666667</v>
      </c>
      <c r="H51" s="378">
        <v>0.0</v>
      </c>
      <c r="I51" s="378">
        <f t="shared" ref="I51:I52" si="53">G51*F51</f>
        <v>10.68666667</v>
      </c>
      <c r="J51" s="378">
        <f t="shared" ref="J51:J52" si="54">F51*H51</f>
        <v>0</v>
      </c>
      <c r="K51" s="378">
        <f t="shared" ref="K51:K52" si="55">I51+J51</f>
        <v>10.68666667</v>
      </c>
      <c r="L51" s="391">
        <v>0.0</v>
      </c>
      <c r="M51" s="80">
        <f t="shared" ref="M51:M52" si="56">(1+L51)*I51</f>
        <v>10.68666667</v>
      </c>
      <c r="N51" s="80">
        <f t="shared" ref="N51:N52" si="57">(1+L51)*J51</f>
        <v>0</v>
      </c>
      <c r="O51" s="374">
        <f t="shared" si="52"/>
        <v>10.68666667</v>
      </c>
      <c r="P51" s="5"/>
    </row>
    <row r="52">
      <c r="A52" s="383"/>
      <c r="B52" s="91" t="s">
        <v>125</v>
      </c>
      <c r="C52" s="91">
        <v>88323.0</v>
      </c>
      <c r="D52" s="381" t="s">
        <v>492</v>
      </c>
      <c r="E52" s="91" t="s">
        <v>460</v>
      </c>
      <c r="F52" s="377">
        <v>0.25</v>
      </c>
      <c r="G52" s="382">
        <v>0.0</v>
      </c>
      <c r="H52" s="378">
        <v>28.97</v>
      </c>
      <c r="I52" s="378">
        <f t="shared" si="53"/>
        <v>0</v>
      </c>
      <c r="J52" s="378">
        <f t="shared" si="54"/>
        <v>7.2425</v>
      </c>
      <c r="K52" s="378">
        <f t="shared" si="55"/>
        <v>7.2425</v>
      </c>
      <c r="L52" s="391">
        <v>0.0</v>
      </c>
      <c r="M52" s="80">
        <f t="shared" si="56"/>
        <v>0</v>
      </c>
      <c r="N52" s="80">
        <f t="shared" si="57"/>
        <v>7.2425</v>
      </c>
      <c r="O52" s="374">
        <f t="shared" si="52"/>
        <v>7.2425</v>
      </c>
      <c r="P52" s="5"/>
    </row>
    <row r="53">
      <c r="A53" s="5"/>
      <c r="B53" s="5"/>
      <c r="C53" s="5"/>
      <c r="D53" s="5"/>
      <c r="E53" s="5"/>
      <c r="F53" s="5"/>
      <c r="G53" s="392"/>
      <c r="H53" s="392"/>
      <c r="I53" s="5"/>
      <c r="J53" s="5"/>
      <c r="K53" s="5"/>
      <c r="L53" s="5"/>
      <c r="M53" s="5"/>
      <c r="N53" s="5"/>
      <c r="O53" s="5"/>
      <c r="P53" s="5"/>
    </row>
    <row r="54">
      <c r="A54" s="368" t="s">
        <v>443</v>
      </c>
      <c r="B54" s="368" t="s">
        <v>444</v>
      </c>
      <c r="C54" s="368" t="s">
        <v>445</v>
      </c>
      <c r="D54" s="368" t="s">
        <v>446</v>
      </c>
      <c r="E54" s="368" t="s">
        <v>194</v>
      </c>
      <c r="F54" s="368" t="s">
        <v>447</v>
      </c>
      <c r="G54" s="368" t="s">
        <v>448</v>
      </c>
      <c r="H54" s="368" t="s">
        <v>449</v>
      </c>
      <c r="I54" s="368" t="s">
        <v>450</v>
      </c>
      <c r="J54" s="368" t="s">
        <v>451</v>
      </c>
      <c r="K54" s="369" t="s">
        <v>452</v>
      </c>
      <c r="L54" s="68" t="s">
        <v>42</v>
      </c>
      <c r="M54" s="68" t="s">
        <v>453</v>
      </c>
      <c r="N54" s="66" t="s">
        <v>454</v>
      </c>
      <c r="O54" s="369" t="s">
        <v>455</v>
      </c>
      <c r="P54" s="5"/>
    </row>
    <row r="55">
      <c r="A55" s="42">
        <v>8.0</v>
      </c>
      <c r="B55" s="370"/>
      <c r="C55" s="370"/>
      <c r="D55" s="33" t="s">
        <v>482</v>
      </c>
      <c r="E55" s="66" t="s">
        <v>71</v>
      </c>
      <c r="F55" s="389">
        <v>1.0</v>
      </c>
      <c r="G55" s="393"/>
      <c r="H55" s="393"/>
      <c r="I55" s="372">
        <f t="shared" ref="I55:K55" si="58">SUM(I56:I57)</f>
        <v>57.7</v>
      </c>
      <c r="J55" s="372">
        <f t="shared" si="58"/>
        <v>7.2425</v>
      </c>
      <c r="K55" s="372">
        <f t="shared" si="58"/>
        <v>64.9425</v>
      </c>
      <c r="L55" s="373"/>
      <c r="M55" s="372">
        <f t="shared" ref="M55:N55" si="59">SUM(M56:M59)</f>
        <v>57.7</v>
      </c>
      <c r="N55" s="372">
        <f t="shared" si="59"/>
        <v>7.2425</v>
      </c>
      <c r="O55" s="374">
        <f t="shared" ref="O55:O57" si="60">N55+M55</f>
        <v>64.9425</v>
      </c>
      <c r="P55" s="5"/>
    </row>
    <row r="56">
      <c r="A56" s="375"/>
      <c r="B56" s="91" t="s">
        <v>130</v>
      </c>
      <c r="C56" s="91">
        <v>2379.0</v>
      </c>
      <c r="D56" s="390" t="s">
        <v>480</v>
      </c>
      <c r="E56" s="91" t="s">
        <v>71</v>
      </c>
      <c r="F56" s="377">
        <v>1.0</v>
      </c>
      <c r="G56" s="378">
        <f>'COTAÇÕES'!I28</f>
        <v>57.7</v>
      </c>
      <c r="H56" s="378">
        <v>0.0</v>
      </c>
      <c r="I56" s="378">
        <f t="shared" ref="I56:I57" si="61">G56*F56</f>
        <v>57.7</v>
      </c>
      <c r="J56" s="378">
        <f t="shared" ref="J56:J57" si="62">F56*H56</f>
        <v>0</v>
      </c>
      <c r="K56" s="378">
        <f t="shared" ref="K56:K57" si="63">I56+J56</f>
        <v>57.7</v>
      </c>
      <c r="L56" s="391">
        <v>0.0</v>
      </c>
      <c r="M56" s="80">
        <f t="shared" ref="M56:M57" si="64">(1+L56)*I56</f>
        <v>57.7</v>
      </c>
      <c r="N56" s="80">
        <f t="shared" ref="N56:N57" si="65">(1+L56)*J56</f>
        <v>0</v>
      </c>
      <c r="O56" s="374">
        <f t="shared" si="60"/>
        <v>57.7</v>
      </c>
      <c r="P56" s="5"/>
    </row>
    <row r="57">
      <c r="A57" s="383"/>
      <c r="B57" s="91" t="s">
        <v>125</v>
      </c>
      <c r="C57" s="91">
        <v>88323.0</v>
      </c>
      <c r="D57" s="381" t="s">
        <v>492</v>
      </c>
      <c r="E57" s="91" t="s">
        <v>460</v>
      </c>
      <c r="F57" s="377">
        <v>0.25</v>
      </c>
      <c r="G57" s="382">
        <v>0.0</v>
      </c>
      <c r="H57" s="378">
        <v>28.97</v>
      </c>
      <c r="I57" s="378">
        <f t="shared" si="61"/>
        <v>0</v>
      </c>
      <c r="J57" s="378">
        <f t="shared" si="62"/>
        <v>7.2425</v>
      </c>
      <c r="K57" s="378">
        <f t="shared" si="63"/>
        <v>7.2425</v>
      </c>
      <c r="L57" s="391">
        <v>0.0</v>
      </c>
      <c r="M57" s="80">
        <f t="shared" si="64"/>
        <v>0</v>
      </c>
      <c r="N57" s="80">
        <f t="shared" si="65"/>
        <v>7.2425</v>
      </c>
      <c r="O57" s="374">
        <f t="shared" si="60"/>
        <v>7.2425</v>
      </c>
      <c r="P57" s="5"/>
    </row>
    <row r="58">
      <c r="A58" s="5"/>
      <c r="B58" s="5"/>
      <c r="C58" s="5"/>
      <c r="D58" s="5"/>
      <c r="E58" s="5"/>
      <c r="F58" s="5"/>
      <c r="G58" s="392"/>
      <c r="H58" s="392"/>
      <c r="I58" s="5"/>
      <c r="J58" s="5"/>
      <c r="K58" s="5"/>
      <c r="L58" s="5"/>
      <c r="M58" s="5"/>
      <c r="N58" s="5"/>
      <c r="O58" s="5"/>
      <c r="P58" s="5"/>
    </row>
    <row r="59">
      <c r="A59" s="368" t="s">
        <v>443</v>
      </c>
      <c r="B59" s="368" t="s">
        <v>444</v>
      </c>
      <c r="C59" s="368" t="s">
        <v>445</v>
      </c>
      <c r="D59" s="368" t="s">
        <v>446</v>
      </c>
      <c r="E59" s="368" t="s">
        <v>194</v>
      </c>
      <c r="F59" s="368" t="s">
        <v>447</v>
      </c>
      <c r="G59" s="368" t="s">
        <v>448</v>
      </c>
      <c r="H59" s="368" t="s">
        <v>449</v>
      </c>
      <c r="I59" s="368" t="s">
        <v>450</v>
      </c>
      <c r="J59" s="368" t="s">
        <v>451</v>
      </c>
      <c r="K59" s="369" t="s">
        <v>452</v>
      </c>
      <c r="L59" s="68" t="s">
        <v>42</v>
      </c>
      <c r="M59" s="68" t="s">
        <v>453</v>
      </c>
      <c r="N59" s="66" t="s">
        <v>454</v>
      </c>
      <c r="O59" s="369" t="s">
        <v>455</v>
      </c>
      <c r="P59" s="5"/>
    </row>
    <row r="60">
      <c r="A60" s="42">
        <v>9.0</v>
      </c>
      <c r="B60" s="370"/>
      <c r="C60" s="370"/>
      <c r="D60" s="33" t="s">
        <v>182</v>
      </c>
      <c r="E60" s="66" t="s">
        <v>71</v>
      </c>
      <c r="F60" s="389">
        <v>1.0</v>
      </c>
      <c r="G60" s="393"/>
      <c r="H60" s="393"/>
      <c r="I60" s="372">
        <f t="shared" ref="I60:K60" si="66">SUM(I61:I63)</f>
        <v>101.9233333</v>
      </c>
      <c r="J60" s="372">
        <f t="shared" si="66"/>
        <v>8.001</v>
      </c>
      <c r="K60" s="372">
        <f t="shared" si="66"/>
        <v>109.9243333</v>
      </c>
      <c r="L60" s="373"/>
      <c r="M60" s="372">
        <f t="shared" ref="M60:N60" si="67">SUM(M61:M64)</f>
        <v>101.9712477</v>
      </c>
      <c r="N60" s="372">
        <f t="shared" si="67"/>
        <v>8.038996954</v>
      </c>
      <c r="O60" s="374">
        <f t="shared" ref="O60:O63" si="68">N60+M60</f>
        <v>110.0102447</v>
      </c>
      <c r="P60" s="5"/>
    </row>
    <row r="61">
      <c r="A61" s="375"/>
      <c r="B61" s="91" t="s">
        <v>130</v>
      </c>
      <c r="C61" s="91">
        <v>6.0</v>
      </c>
      <c r="D61" s="390" t="s">
        <v>182</v>
      </c>
      <c r="E61" s="91" t="s">
        <v>267</v>
      </c>
      <c r="F61" s="377">
        <v>1.0</v>
      </c>
      <c r="G61" s="378">
        <f>'COTAÇÕES'!I32</f>
        <v>78.69333333</v>
      </c>
      <c r="H61" s="378">
        <v>0.0</v>
      </c>
      <c r="I61" s="378">
        <f t="shared" ref="I61:I63" si="69">G61*F61</f>
        <v>78.69333333</v>
      </c>
      <c r="J61" s="378">
        <f t="shared" ref="J61:J63" si="70">F61*H61</f>
        <v>0</v>
      </c>
      <c r="K61" s="378">
        <f t="shared" ref="K61:K63" si="71">I61+J61</f>
        <v>78.69333333</v>
      </c>
      <c r="L61" s="391">
        <v>0.0</v>
      </c>
      <c r="M61" s="80">
        <f t="shared" ref="M61:M63" si="72">(1+L61)*I61</f>
        <v>78.69333333</v>
      </c>
      <c r="N61" s="80">
        <f t="shared" ref="N61:N63" si="73">(1+L61)*J61</f>
        <v>0</v>
      </c>
      <c r="O61" s="374">
        <f t="shared" si="68"/>
        <v>78.69333333</v>
      </c>
      <c r="P61" s="5"/>
    </row>
    <row r="62">
      <c r="A62" s="375"/>
      <c r="B62" s="91" t="s">
        <v>65</v>
      </c>
      <c r="C62" s="91">
        <v>2931.0</v>
      </c>
      <c r="D62" s="381" t="s">
        <v>483</v>
      </c>
      <c r="E62" s="91" t="s">
        <v>484</v>
      </c>
      <c r="F62" s="377">
        <v>0.5</v>
      </c>
      <c r="G62" s="382">
        <v>46.46</v>
      </c>
      <c r="H62" s="378">
        <v>0.0</v>
      </c>
      <c r="I62" s="378">
        <f t="shared" si="69"/>
        <v>23.23</v>
      </c>
      <c r="J62" s="378">
        <f t="shared" si="70"/>
        <v>0</v>
      </c>
      <c r="K62" s="378">
        <f t="shared" si="71"/>
        <v>23.23</v>
      </c>
      <c r="L62" s="218">
        <f>INCC!$C$29</f>
        <v>0.002062607648</v>
      </c>
      <c r="M62" s="80">
        <f t="shared" si="72"/>
        <v>23.27791438</v>
      </c>
      <c r="N62" s="80">
        <f t="shared" si="73"/>
        <v>0</v>
      </c>
      <c r="O62" s="374">
        <f t="shared" si="68"/>
        <v>23.27791438</v>
      </c>
      <c r="P62" s="5"/>
    </row>
    <row r="63">
      <c r="A63" s="383"/>
      <c r="B63" s="91" t="s">
        <v>47</v>
      </c>
      <c r="C63" s="91">
        <v>4.0</v>
      </c>
      <c r="D63" s="381" t="s">
        <v>471</v>
      </c>
      <c r="E63" s="91" t="s">
        <v>460</v>
      </c>
      <c r="F63" s="377">
        <v>0.3</v>
      </c>
      <c r="G63" s="382">
        <v>0.0</v>
      </c>
      <c r="H63" s="378">
        <f>H46</f>
        <v>26.67</v>
      </c>
      <c r="I63" s="378">
        <f t="shared" si="69"/>
        <v>0</v>
      </c>
      <c r="J63" s="378">
        <f t="shared" si="70"/>
        <v>8.001</v>
      </c>
      <c r="K63" s="378">
        <f t="shared" si="71"/>
        <v>8.001</v>
      </c>
      <c r="L63" s="218">
        <f>INCC!$C$26</f>
        <v>0.004749025652</v>
      </c>
      <c r="M63" s="80">
        <f t="shared" si="72"/>
        <v>0</v>
      </c>
      <c r="N63" s="80">
        <f t="shared" si="73"/>
        <v>8.038996954</v>
      </c>
      <c r="O63" s="374">
        <f t="shared" si="68"/>
        <v>8.038996954</v>
      </c>
      <c r="P63" s="5"/>
    </row>
    <row r="64">
      <c r="A64" s="5"/>
      <c r="B64" s="5"/>
      <c r="C64" s="5"/>
      <c r="D64" s="5"/>
      <c r="E64" s="5"/>
      <c r="F64" s="5"/>
      <c r="G64" s="392"/>
      <c r="H64" s="392"/>
      <c r="I64" s="5"/>
      <c r="J64" s="5"/>
      <c r="K64" s="5"/>
      <c r="L64" s="5"/>
      <c r="M64" s="5"/>
      <c r="N64" s="5"/>
      <c r="O64" s="5"/>
      <c r="P64" s="5"/>
    </row>
    <row r="65">
      <c r="A65" s="368" t="s">
        <v>443</v>
      </c>
      <c r="B65" s="368" t="s">
        <v>444</v>
      </c>
      <c r="C65" s="368" t="s">
        <v>445</v>
      </c>
      <c r="D65" s="368" t="s">
        <v>446</v>
      </c>
      <c r="E65" s="368" t="s">
        <v>194</v>
      </c>
      <c r="F65" s="368" t="s">
        <v>447</v>
      </c>
      <c r="G65" s="368" t="s">
        <v>448</v>
      </c>
      <c r="H65" s="368" t="s">
        <v>449</v>
      </c>
      <c r="I65" s="368" t="s">
        <v>450</v>
      </c>
      <c r="J65" s="368" t="s">
        <v>451</v>
      </c>
      <c r="K65" s="369" t="s">
        <v>452</v>
      </c>
      <c r="L65" s="68" t="s">
        <v>42</v>
      </c>
      <c r="M65" s="68" t="s">
        <v>453</v>
      </c>
      <c r="N65" s="66" t="s">
        <v>454</v>
      </c>
      <c r="O65" s="369" t="s">
        <v>455</v>
      </c>
      <c r="P65" s="5"/>
    </row>
    <row r="66">
      <c r="A66" s="42">
        <v>10.0</v>
      </c>
      <c r="B66" s="370"/>
      <c r="C66" s="370"/>
      <c r="D66" s="33" t="s">
        <v>80</v>
      </c>
      <c r="E66" s="66" t="s">
        <v>194</v>
      </c>
      <c r="F66" s="389">
        <v>1.0</v>
      </c>
      <c r="G66" s="372"/>
      <c r="H66" s="372"/>
      <c r="I66" s="372">
        <f t="shared" ref="I66:K66" si="74">SUM(I67:I69)</f>
        <v>120.43</v>
      </c>
      <c r="J66" s="372">
        <f t="shared" si="74"/>
        <v>3.8024</v>
      </c>
      <c r="K66" s="372">
        <f t="shared" si="74"/>
        <v>124.2324</v>
      </c>
      <c r="L66" s="373"/>
      <c r="M66" s="372">
        <f t="shared" ref="M66:N66" si="75">SUM(M67:M70)</f>
        <v>120.43</v>
      </c>
      <c r="N66" s="372">
        <f t="shared" si="75"/>
        <v>3.820457695</v>
      </c>
      <c r="O66" s="374">
        <f t="shared" ref="O66:O69" si="76">N66+M66</f>
        <v>124.2504577</v>
      </c>
      <c r="P66" s="5"/>
    </row>
    <row r="67">
      <c r="A67" s="375"/>
      <c r="B67" s="91" t="s">
        <v>125</v>
      </c>
      <c r="C67" s="91">
        <v>43102.0</v>
      </c>
      <c r="D67" s="390" t="s">
        <v>493</v>
      </c>
      <c r="E67" s="91" t="s">
        <v>194</v>
      </c>
      <c r="F67" s="377">
        <v>1.0</v>
      </c>
      <c r="G67" s="378">
        <v>120.43</v>
      </c>
      <c r="H67" s="378">
        <v>0.0</v>
      </c>
      <c r="I67" s="378">
        <f t="shared" ref="I67:I69" si="77">G67*F67</f>
        <v>120.43</v>
      </c>
      <c r="J67" s="378">
        <f t="shared" ref="J67:J69" si="78">F67*H67</f>
        <v>0</v>
      </c>
      <c r="K67" s="378">
        <f t="shared" ref="K67:K69" si="79">I67+J67</f>
        <v>120.43</v>
      </c>
      <c r="L67" s="391">
        <v>0.0</v>
      </c>
      <c r="M67" s="80">
        <f t="shared" ref="M67:M69" si="80">(1+L67)*I67</f>
        <v>120.43</v>
      </c>
      <c r="N67" s="80">
        <f t="shared" ref="N67:N69" si="81">(1+L67)*J67</f>
        <v>0</v>
      </c>
      <c r="O67" s="374">
        <f t="shared" si="76"/>
        <v>120.43</v>
      </c>
      <c r="P67" s="5"/>
    </row>
    <row r="68">
      <c r="A68" s="375"/>
      <c r="B68" s="91" t="s">
        <v>47</v>
      </c>
      <c r="C68" s="91">
        <v>8.0</v>
      </c>
      <c r="D68" s="384" t="s">
        <v>465</v>
      </c>
      <c r="E68" s="91" t="s">
        <v>460</v>
      </c>
      <c r="F68" s="377">
        <v>0.08</v>
      </c>
      <c r="G68" s="382">
        <v>0.0</v>
      </c>
      <c r="H68" s="378">
        <v>20.51</v>
      </c>
      <c r="I68" s="378">
        <f t="shared" si="77"/>
        <v>0</v>
      </c>
      <c r="J68" s="378">
        <f t="shared" si="78"/>
        <v>1.6408</v>
      </c>
      <c r="K68" s="378">
        <f t="shared" si="79"/>
        <v>1.6408</v>
      </c>
      <c r="L68" s="218">
        <f>INCC!$C$26</f>
        <v>0.004749025652</v>
      </c>
      <c r="M68" s="80">
        <f t="shared" si="80"/>
        <v>0</v>
      </c>
      <c r="N68" s="80">
        <f t="shared" si="81"/>
        <v>1.648592201</v>
      </c>
      <c r="O68" s="374">
        <f t="shared" si="76"/>
        <v>1.648592201</v>
      </c>
      <c r="P68" s="5"/>
    </row>
    <row r="69">
      <c r="A69" s="383"/>
      <c r="B69" s="91" t="s">
        <v>47</v>
      </c>
      <c r="C69" s="91">
        <v>12.0</v>
      </c>
      <c r="D69" s="381" t="s">
        <v>486</v>
      </c>
      <c r="E69" s="91" t="s">
        <v>460</v>
      </c>
      <c r="F69" s="377">
        <v>0.08</v>
      </c>
      <c r="G69" s="382">
        <v>0.0</v>
      </c>
      <c r="H69" s="378">
        <v>27.02</v>
      </c>
      <c r="I69" s="378">
        <f t="shared" si="77"/>
        <v>0</v>
      </c>
      <c r="J69" s="378">
        <f t="shared" si="78"/>
        <v>2.1616</v>
      </c>
      <c r="K69" s="378">
        <f t="shared" si="79"/>
        <v>2.1616</v>
      </c>
      <c r="L69" s="218">
        <f>INCC!$C$26</f>
        <v>0.004749025652</v>
      </c>
      <c r="M69" s="80">
        <f t="shared" si="80"/>
        <v>0</v>
      </c>
      <c r="N69" s="80">
        <f t="shared" si="81"/>
        <v>2.171865494</v>
      </c>
      <c r="O69" s="374">
        <f t="shared" si="76"/>
        <v>2.171865494</v>
      </c>
      <c r="P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>
      <c r="A71" s="368" t="s">
        <v>443</v>
      </c>
      <c r="B71" s="368" t="s">
        <v>444</v>
      </c>
      <c r="C71" s="368" t="s">
        <v>445</v>
      </c>
      <c r="D71" s="368" t="s">
        <v>446</v>
      </c>
      <c r="E71" s="368" t="s">
        <v>194</v>
      </c>
      <c r="F71" s="368" t="s">
        <v>447</v>
      </c>
      <c r="G71" s="368" t="s">
        <v>448</v>
      </c>
      <c r="H71" s="368" t="s">
        <v>449</v>
      </c>
      <c r="I71" s="368" t="s">
        <v>450</v>
      </c>
      <c r="J71" s="368" t="s">
        <v>451</v>
      </c>
      <c r="K71" s="369" t="s">
        <v>452</v>
      </c>
      <c r="L71" s="68" t="s">
        <v>42</v>
      </c>
      <c r="M71" s="68" t="s">
        <v>453</v>
      </c>
      <c r="N71" s="66" t="s">
        <v>454</v>
      </c>
      <c r="O71" s="369" t="s">
        <v>455</v>
      </c>
      <c r="P71" s="5"/>
    </row>
    <row r="72">
      <c r="A72" s="42">
        <v>11.0</v>
      </c>
      <c r="B72" s="370"/>
      <c r="C72" s="370"/>
      <c r="D72" s="33" t="s">
        <v>79</v>
      </c>
      <c r="E72" s="66" t="s">
        <v>194</v>
      </c>
      <c r="F72" s="389">
        <v>1.0</v>
      </c>
      <c r="G72" s="372"/>
      <c r="H72" s="372"/>
      <c r="I72" s="372">
        <f t="shared" ref="I72:K72" si="82">SUM(I73:I75)</f>
        <v>0.95</v>
      </c>
      <c r="J72" s="372">
        <f t="shared" si="82"/>
        <v>3.8024</v>
      </c>
      <c r="K72" s="372">
        <f t="shared" si="82"/>
        <v>4.7524</v>
      </c>
      <c r="L72" s="373"/>
      <c r="M72" s="372">
        <f t="shared" ref="M72:N72" si="83">SUM(M73:M76)</f>
        <v>0.9519594773</v>
      </c>
      <c r="N72" s="372">
        <f t="shared" si="83"/>
        <v>3.820457695</v>
      </c>
      <c r="O72" s="374">
        <f t="shared" ref="O72:O75" si="84">N72+M72</f>
        <v>4.772417172</v>
      </c>
      <c r="P72" s="5"/>
    </row>
    <row r="73">
      <c r="A73" s="375"/>
      <c r="B73" s="91" t="s">
        <v>65</v>
      </c>
      <c r="C73" s="91">
        <v>13973.0</v>
      </c>
      <c r="D73" s="390" t="s">
        <v>487</v>
      </c>
      <c r="E73" s="91" t="s">
        <v>194</v>
      </c>
      <c r="F73" s="377">
        <v>1.0</v>
      </c>
      <c r="G73" s="378">
        <v>0.95</v>
      </c>
      <c r="H73" s="378">
        <v>0.0</v>
      </c>
      <c r="I73" s="378">
        <f t="shared" ref="I73:I75" si="85">G73*F73</f>
        <v>0.95</v>
      </c>
      <c r="J73" s="378">
        <f t="shared" ref="J73:J75" si="86">F73*H73</f>
        <v>0</v>
      </c>
      <c r="K73" s="378">
        <f t="shared" ref="K73:K75" si="87">I73+J73</f>
        <v>0.95</v>
      </c>
      <c r="L73" s="240">
        <f>INCC!$C$29</f>
        <v>0.002062607648</v>
      </c>
      <c r="M73" s="80">
        <f t="shared" ref="M73:M75" si="88">(1+L73)*I73</f>
        <v>0.9519594773</v>
      </c>
      <c r="N73" s="80">
        <f t="shared" ref="N73:N75" si="89">(1+L73)*J73</f>
        <v>0</v>
      </c>
      <c r="O73" s="374">
        <f t="shared" si="84"/>
        <v>0.9519594773</v>
      </c>
      <c r="P73" s="5"/>
    </row>
    <row r="74">
      <c r="A74" s="375"/>
      <c r="B74" s="91" t="s">
        <v>47</v>
      </c>
      <c r="C74" s="91">
        <v>8.0</v>
      </c>
      <c r="D74" s="384" t="s">
        <v>465</v>
      </c>
      <c r="E74" s="91" t="s">
        <v>460</v>
      </c>
      <c r="F74" s="377">
        <v>0.08</v>
      </c>
      <c r="G74" s="382">
        <v>0.0</v>
      </c>
      <c r="H74" s="378">
        <v>20.51</v>
      </c>
      <c r="I74" s="378">
        <f t="shared" si="85"/>
        <v>0</v>
      </c>
      <c r="J74" s="378">
        <f t="shared" si="86"/>
        <v>1.6408</v>
      </c>
      <c r="K74" s="378">
        <f t="shared" si="87"/>
        <v>1.6408</v>
      </c>
      <c r="L74" s="240">
        <f>INCC!$C$26</f>
        <v>0.004749025652</v>
      </c>
      <c r="M74" s="80">
        <f t="shared" si="88"/>
        <v>0</v>
      </c>
      <c r="N74" s="80">
        <f t="shared" si="89"/>
        <v>1.648592201</v>
      </c>
      <c r="O74" s="374">
        <f t="shared" si="84"/>
        <v>1.648592201</v>
      </c>
      <c r="P74" s="5"/>
    </row>
    <row r="75">
      <c r="A75" s="383"/>
      <c r="B75" s="91" t="s">
        <v>47</v>
      </c>
      <c r="C75" s="91">
        <v>12.0</v>
      </c>
      <c r="D75" s="381" t="s">
        <v>486</v>
      </c>
      <c r="E75" s="91" t="s">
        <v>460</v>
      </c>
      <c r="F75" s="377">
        <v>0.08</v>
      </c>
      <c r="G75" s="382">
        <v>0.0</v>
      </c>
      <c r="H75" s="378">
        <v>27.02</v>
      </c>
      <c r="I75" s="378">
        <f t="shared" si="85"/>
        <v>0</v>
      </c>
      <c r="J75" s="378">
        <f t="shared" si="86"/>
        <v>2.1616</v>
      </c>
      <c r="K75" s="378">
        <f t="shared" si="87"/>
        <v>2.1616</v>
      </c>
      <c r="L75" s="240">
        <f>INCC!$C$26</f>
        <v>0.004749025652</v>
      </c>
      <c r="M75" s="80">
        <f t="shared" si="88"/>
        <v>0</v>
      </c>
      <c r="N75" s="80">
        <f t="shared" si="89"/>
        <v>2.171865494</v>
      </c>
      <c r="O75" s="374">
        <f t="shared" si="84"/>
        <v>2.171865494</v>
      </c>
      <c r="P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>
      <c r="A77" s="368" t="s">
        <v>443</v>
      </c>
      <c r="B77" s="368" t="s">
        <v>444</v>
      </c>
      <c r="C77" s="368" t="s">
        <v>445</v>
      </c>
      <c r="D77" s="368" t="s">
        <v>446</v>
      </c>
      <c r="E77" s="368" t="s">
        <v>194</v>
      </c>
      <c r="F77" s="368" t="s">
        <v>447</v>
      </c>
      <c r="G77" s="368" t="s">
        <v>448</v>
      </c>
      <c r="H77" s="368" t="s">
        <v>449</v>
      </c>
      <c r="I77" s="368" t="s">
        <v>450</v>
      </c>
      <c r="J77" s="368" t="s">
        <v>451</v>
      </c>
      <c r="K77" s="369" t="s">
        <v>452</v>
      </c>
      <c r="L77" s="68" t="s">
        <v>42</v>
      </c>
      <c r="M77" s="68" t="s">
        <v>453</v>
      </c>
      <c r="N77" s="66" t="s">
        <v>454</v>
      </c>
      <c r="O77" s="369" t="s">
        <v>455</v>
      </c>
      <c r="P77" s="5"/>
    </row>
    <row r="78">
      <c r="A78" s="42">
        <v>12.0</v>
      </c>
      <c r="B78" s="370"/>
      <c r="C78" s="370"/>
      <c r="D78" s="33" t="s">
        <v>488</v>
      </c>
      <c r="E78" s="66" t="s">
        <v>194</v>
      </c>
      <c r="F78" s="389">
        <v>1.0</v>
      </c>
      <c r="G78" s="372"/>
      <c r="H78" s="372"/>
      <c r="I78" s="372">
        <f t="shared" ref="I78:K78" si="90">SUM(I79:I81)</f>
        <v>344.53</v>
      </c>
      <c r="J78" s="372">
        <f t="shared" si="90"/>
        <v>3.8024</v>
      </c>
      <c r="K78" s="372">
        <f t="shared" si="90"/>
        <v>348.3324</v>
      </c>
      <c r="L78" s="373"/>
      <c r="M78" s="372">
        <f t="shared" ref="M78:N78" si="91">SUM(M79:M82)</f>
        <v>345.2406302</v>
      </c>
      <c r="N78" s="372">
        <f t="shared" si="91"/>
        <v>3.820457695</v>
      </c>
      <c r="O78" s="374">
        <f t="shared" ref="O78:O81" si="92">N78+M78</f>
        <v>349.0610879</v>
      </c>
      <c r="P78" s="5"/>
    </row>
    <row r="79">
      <c r="A79" s="375"/>
      <c r="B79" s="91" t="s">
        <v>65</v>
      </c>
      <c r="C79" s="91">
        <v>13942.0</v>
      </c>
      <c r="D79" s="390" t="s">
        <v>489</v>
      </c>
      <c r="E79" s="91" t="s">
        <v>194</v>
      </c>
      <c r="F79" s="377">
        <v>1.0</v>
      </c>
      <c r="G79" s="378">
        <v>344.53</v>
      </c>
      <c r="H79" s="378">
        <v>0.0</v>
      </c>
      <c r="I79" s="378">
        <f t="shared" ref="I79:I81" si="93">G79*F79</f>
        <v>344.53</v>
      </c>
      <c r="J79" s="378">
        <f t="shared" ref="J79:J81" si="94">F79*H79</f>
        <v>0</v>
      </c>
      <c r="K79" s="378">
        <f t="shared" ref="K79:K81" si="95">I79+J79</f>
        <v>344.53</v>
      </c>
      <c r="L79" s="240">
        <f>INCC!$C$29</f>
        <v>0.002062607648</v>
      </c>
      <c r="M79" s="80">
        <f t="shared" ref="M79:M81" si="96">(1+L79)*I79</f>
        <v>345.2406302</v>
      </c>
      <c r="N79" s="80">
        <f t="shared" ref="N79:N81" si="97">(1+L79)*J79</f>
        <v>0</v>
      </c>
      <c r="O79" s="374">
        <f t="shared" si="92"/>
        <v>345.2406302</v>
      </c>
      <c r="P79" s="5"/>
    </row>
    <row r="80">
      <c r="A80" s="375"/>
      <c r="B80" s="91" t="s">
        <v>47</v>
      </c>
      <c r="C80" s="91">
        <v>8.0</v>
      </c>
      <c r="D80" s="384" t="s">
        <v>465</v>
      </c>
      <c r="E80" s="91" t="s">
        <v>460</v>
      </c>
      <c r="F80" s="377">
        <v>0.08</v>
      </c>
      <c r="G80" s="382">
        <v>0.0</v>
      </c>
      <c r="H80" s="378">
        <v>20.51</v>
      </c>
      <c r="I80" s="378">
        <f t="shared" si="93"/>
        <v>0</v>
      </c>
      <c r="J80" s="378">
        <f t="shared" si="94"/>
        <v>1.6408</v>
      </c>
      <c r="K80" s="378">
        <f t="shared" si="95"/>
        <v>1.6408</v>
      </c>
      <c r="L80" s="240">
        <f>INCC!$C$26</f>
        <v>0.004749025652</v>
      </c>
      <c r="M80" s="80">
        <f t="shared" si="96"/>
        <v>0</v>
      </c>
      <c r="N80" s="80">
        <f t="shared" si="97"/>
        <v>1.648592201</v>
      </c>
      <c r="O80" s="374">
        <f t="shared" si="92"/>
        <v>1.648592201</v>
      </c>
      <c r="P80" s="5"/>
    </row>
    <row r="81">
      <c r="A81" s="383"/>
      <c r="B81" s="91" t="s">
        <v>47</v>
      </c>
      <c r="C81" s="91">
        <v>12.0</v>
      </c>
      <c r="D81" s="381" t="s">
        <v>486</v>
      </c>
      <c r="E81" s="91" t="s">
        <v>460</v>
      </c>
      <c r="F81" s="377">
        <v>0.08</v>
      </c>
      <c r="G81" s="382">
        <v>0.0</v>
      </c>
      <c r="H81" s="378">
        <v>27.02</v>
      </c>
      <c r="I81" s="378">
        <f t="shared" si="93"/>
        <v>0</v>
      </c>
      <c r="J81" s="378">
        <f t="shared" si="94"/>
        <v>2.1616</v>
      </c>
      <c r="K81" s="378">
        <f t="shared" si="95"/>
        <v>2.1616</v>
      </c>
      <c r="L81" s="240">
        <f>INCC!$C$26</f>
        <v>0.004749025652</v>
      </c>
      <c r="M81" s="80">
        <f t="shared" si="96"/>
        <v>0</v>
      </c>
      <c r="N81" s="80">
        <f t="shared" si="97"/>
        <v>2.171865494</v>
      </c>
      <c r="O81" s="374">
        <f t="shared" si="92"/>
        <v>2.171865494</v>
      </c>
      <c r="P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</row>
  </sheetData>
  <mergeCells count="14">
    <mergeCell ref="A50:A52"/>
    <mergeCell ref="A55:A57"/>
    <mergeCell ref="A60:A63"/>
    <mergeCell ref="A66:A69"/>
    <mergeCell ref="A72:A75"/>
    <mergeCell ref="A78:A81"/>
    <mergeCell ref="A6:K6"/>
    <mergeCell ref="A9:A13"/>
    <mergeCell ref="A16:A19"/>
    <mergeCell ref="A23:A27"/>
    <mergeCell ref="A30:A34"/>
    <mergeCell ref="A37:A40"/>
    <mergeCell ref="A43:A47"/>
    <mergeCell ref="E3:K3"/>
  </mergeCells>
  <dataValidations>
    <dataValidation type="list" allowBlank="1" sqref="E9 E16 E23 E30 E37 E43 E50 E55 E60 E66 E72 E78">
      <formula1>"Un.,pç,m,m²,m³,pct,cj,l,g,kg,ton,lata,H,HH,US"</formula1>
    </dataValidation>
    <dataValidation type="list" allowBlank="1" showErrorMessage="1" sqref="B9:B14 B16:B19 B23:B27 B30:B34 B37:B40 B43:B47 B50:B52 B55:B57 B60:B63 B66:B69 B72:B75 B78:B81">
      <formula1>"GOINFRA,SINAPI,ORSE,SEINFRA,BANCO DE PREÇOS,COTAÇÃO"</formula1>
    </dataValidation>
  </dataValidation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workbookViewId="0"/>
  </sheetViews>
  <sheetFormatPr customHeight="1" defaultColWidth="12.63" defaultRowHeight="15.75"/>
  <cols>
    <col customWidth="1" min="1" max="1" width="19.38"/>
    <col customWidth="1" min="2" max="2" width="14.75"/>
    <col customWidth="1" min="3" max="3" width="70.38"/>
    <col customWidth="1" min="4" max="4" width="5.63"/>
    <col customWidth="1" min="5" max="5" width="13.5"/>
    <col customWidth="1" min="6" max="6" width="29.13"/>
    <col customWidth="1" min="7" max="7" width="17.88"/>
    <col customWidth="1" min="8" max="8" width="21.13"/>
    <col customWidth="1" min="9" max="9" width="11.75"/>
  </cols>
  <sheetData>
    <row r="1">
      <c r="A1" s="394" t="s">
        <v>0</v>
      </c>
      <c r="B1" s="395" t="s">
        <v>1</v>
      </c>
      <c r="C1" s="396"/>
      <c r="D1" s="397"/>
      <c r="E1" s="394" t="s">
        <v>2</v>
      </c>
      <c r="F1" s="398">
        <f>TODAY()</f>
        <v>46056</v>
      </c>
      <c r="G1" s="397"/>
      <c r="H1" s="397"/>
      <c r="I1" s="397"/>
    </row>
    <row r="2">
      <c r="A2" s="394" t="s">
        <v>3</v>
      </c>
      <c r="B2" s="395" t="s">
        <v>4</v>
      </c>
      <c r="C2" s="396"/>
      <c r="D2" s="396"/>
      <c r="E2" s="394" t="s">
        <v>5</v>
      </c>
      <c r="F2" s="395" t="s">
        <v>6</v>
      </c>
      <c r="G2" s="396"/>
      <c r="H2" s="396"/>
      <c r="I2" s="396"/>
    </row>
    <row r="3">
      <c r="A3" s="394" t="s">
        <v>7</v>
      </c>
      <c r="B3" s="394" t="s">
        <v>8</v>
      </c>
      <c r="C3" s="399"/>
      <c r="D3" s="396"/>
      <c r="E3" s="394" t="s">
        <v>9</v>
      </c>
      <c r="F3" s="395" t="s">
        <v>494</v>
      </c>
      <c r="G3" s="396"/>
      <c r="H3" s="396"/>
      <c r="I3" s="396"/>
    </row>
    <row r="4">
      <c r="A4" s="394" t="s">
        <v>11</v>
      </c>
      <c r="B4" s="395" t="s">
        <v>12</v>
      </c>
      <c r="C4" s="396"/>
      <c r="D4" s="396"/>
      <c r="E4" s="396"/>
      <c r="F4" s="396"/>
      <c r="G4" s="396"/>
      <c r="H4" s="396"/>
      <c r="I4" s="396"/>
    </row>
    <row r="5">
      <c r="A5" s="394" t="s">
        <v>13</v>
      </c>
      <c r="B5" s="395" t="s">
        <v>14</v>
      </c>
      <c r="C5" s="396"/>
      <c r="D5" s="396"/>
      <c r="E5" s="396"/>
      <c r="F5" s="396"/>
      <c r="G5" s="396"/>
      <c r="H5" s="396"/>
      <c r="I5" s="396"/>
    </row>
    <row r="6">
      <c r="A6" s="400" t="s">
        <v>495</v>
      </c>
      <c r="B6" s="9"/>
      <c r="C6" s="9"/>
      <c r="D6" s="9"/>
      <c r="E6" s="9"/>
      <c r="F6" s="9"/>
      <c r="G6" s="9"/>
      <c r="H6" s="9"/>
      <c r="I6" s="9"/>
    </row>
    <row r="7">
      <c r="A7" s="401"/>
      <c r="B7" s="401"/>
      <c r="C7" s="401"/>
      <c r="D7" s="401"/>
      <c r="E7" s="401"/>
      <c r="F7" s="401"/>
      <c r="G7" s="401"/>
      <c r="H7" s="401"/>
      <c r="I7" s="401"/>
    </row>
    <row r="8">
      <c r="A8" s="402" t="s">
        <v>30</v>
      </c>
      <c r="B8" s="402" t="s">
        <v>496</v>
      </c>
      <c r="C8" s="402" t="s">
        <v>33</v>
      </c>
      <c r="D8" s="402" t="s">
        <v>194</v>
      </c>
      <c r="E8" s="403"/>
      <c r="F8" s="404" t="s">
        <v>497</v>
      </c>
      <c r="G8" s="405"/>
      <c r="H8" s="405"/>
      <c r="I8" s="406"/>
    </row>
    <row r="9">
      <c r="A9" s="407"/>
      <c r="B9" s="407"/>
      <c r="C9" s="407"/>
      <c r="D9" s="407"/>
      <c r="E9" s="408"/>
      <c r="F9" s="403"/>
      <c r="G9" s="403"/>
      <c r="H9" s="403"/>
      <c r="I9" s="409" t="s">
        <v>498</v>
      </c>
    </row>
    <row r="10">
      <c r="A10" s="410">
        <v>1.0</v>
      </c>
      <c r="B10" s="410" t="s">
        <v>499</v>
      </c>
      <c r="C10" s="411" t="s">
        <v>500</v>
      </c>
      <c r="D10" s="410" t="s">
        <v>168</v>
      </c>
      <c r="E10" s="412" t="s">
        <v>501</v>
      </c>
      <c r="F10" s="413">
        <f>1069967.5/611.41/1.1827</f>
        <v>1479.665173</v>
      </c>
      <c r="G10" s="413">
        <f>1010000/611.41/1.1827</f>
        <v>1396.735718</v>
      </c>
      <c r="H10" s="413">
        <f>995000/611.41/1.1827</f>
        <v>1375.992118</v>
      </c>
      <c r="I10" s="414">
        <f>AVERAGE(F10:H10)</f>
        <v>1417.464337</v>
      </c>
    </row>
    <row r="11">
      <c r="A11" s="415"/>
      <c r="B11" s="415"/>
      <c r="C11" s="415"/>
      <c r="D11" s="415"/>
      <c r="E11" s="412" t="s">
        <v>502</v>
      </c>
      <c r="F11" s="416">
        <v>46055.0</v>
      </c>
      <c r="G11" s="416">
        <v>46056.0</v>
      </c>
      <c r="H11" s="416">
        <v>46056.0</v>
      </c>
      <c r="I11" s="375"/>
    </row>
    <row r="12">
      <c r="A12" s="415"/>
      <c r="B12" s="415"/>
      <c r="C12" s="415"/>
      <c r="D12" s="415"/>
      <c r="E12" s="412" t="s">
        <v>503</v>
      </c>
      <c r="F12" s="417" t="s">
        <v>504</v>
      </c>
      <c r="G12" s="418" t="s">
        <v>505</v>
      </c>
      <c r="H12" s="418" t="s">
        <v>506</v>
      </c>
      <c r="I12" s="375"/>
    </row>
    <row r="13" ht="42.0" customHeight="1">
      <c r="A13" s="419"/>
      <c r="B13" s="419"/>
      <c r="C13" s="419"/>
      <c r="D13" s="419"/>
      <c r="E13" s="420" t="s">
        <v>507</v>
      </c>
      <c r="F13" s="421" t="s">
        <v>508</v>
      </c>
      <c r="G13" s="422" t="s">
        <v>509</v>
      </c>
      <c r="H13" s="422" t="s">
        <v>510</v>
      </c>
      <c r="I13" s="383"/>
    </row>
    <row r="14">
      <c r="A14" s="423"/>
      <c r="B14" s="424"/>
      <c r="C14" s="423"/>
      <c r="D14" s="423"/>
      <c r="E14" s="423"/>
      <c r="F14" s="425"/>
      <c r="G14" s="426"/>
      <c r="H14" s="426"/>
      <c r="I14" s="425"/>
    </row>
    <row r="15">
      <c r="A15" s="410">
        <v>2.0</v>
      </c>
      <c r="B15" s="410" t="s">
        <v>499</v>
      </c>
      <c r="C15" s="411" t="s">
        <v>511</v>
      </c>
      <c r="D15" s="410" t="s">
        <v>194</v>
      </c>
      <c r="E15" s="412" t="s">
        <v>501</v>
      </c>
      <c r="F15" s="427">
        <v>126.26</v>
      </c>
      <c r="G15" s="427">
        <v>139.9</v>
      </c>
      <c r="H15" s="427">
        <v>116.91</v>
      </c>
      <c r="I15" s="414">
        <f>AVERAGE(F15:H15)</f>
        <v>127.69</v>
      </c>
    </row>
    <row r="16">
      <c r="A16" s="415"/>
      <c r="B16" s="415"/>
      <c r="C16" s="415"/>
      <c r="D16" s="415"/>
      <c r="E16" s="412" t="s">
        <v>502</v>
      </c>
      <c r="F16" s="416">
        <v>46056.0</v>
      </c>
      <c r="G16" s="416">
        <v>46056.0</v>
      </c>
      <c r="H16" s="416">
        <v>46056.0</v>
      </c>
      <c r="I16" s="375"/>
    </row>
    <row r="17">
      <c r="A17" s="419"/>
      <c r="B17" s="419"/>
      <c r="C17" s="419"/>
      <c r="D17" s="419"/>
      <c r="E17" s="420" t="s">
        <v>507</v>
      </c>
      <c r="F17" s="421" t="s">
        <v>512</v>
      </c>
      <c r="G17" s="418" t="s">
        <v>513</v>
      </c>
      <c r="H17" s="418" t="s">
        <v>514</v>
      </c>
      <c r="I17" s="383"/>
    </row>
    <row r="18">
      <c r="A18" s="423"/>
      <c r="B18" s="423"/>
      <c r="C18" s="423"/>
      <c r="D18" s="423"/>
      <c r="E18" s="423"/>
      <c r="F18" s="425"/>
      <c r="G18" s="426"/>
      <c r="H18" s="426"/>
      <c r="I18" s="425"/>
    </row>
    <row r="19">
      <c r="A19" s="410">
        <v>3.0</v>
      </c>
      <c r="B19" s="410" t="s">
        <v>499</v>
      </c>
      <c r="C19" s="411" t="s">
        <v>142</v>
      </c>
      <c r="D19" s="410" t="s">
        <v>168</v>
      </c>
      <c r="E19" s="412" t="s">
        <v>501</v>
      </c>
      <c r="F19" s="427">
        <v>857.3</v>
      </c>
      <c r="G19" s="427"/>
      <c r="H19" s="427"/>
      <c r="I19" s="414">
        <f>AVERAGE(F19:H19)</f>
        <v>857.3</v>
      </c>
    </row>
    <row r="20">
      <c r="A20" s="415"/>
      <c r="B20" s="415"/>
      <c r="C20" s="415"/>
      <c r="D20" s="415"/>
      <c r="E20" s="412" t="s">
        <v>502</v>
      </c>
      <c r="F20" s="416">
        <v>45992.0</v>
      </c>
      <c r="G20" s="428"/>
      <c r="H20" s="428"/>
      <c r="I20" s="375"/>
    </row>
    <row r="21">
      <c r="A21" s="415"/>
      <c r="B21" s="415"/>
      <c r="C21" s="415"/>
      <c r="D21" s="415"/>
      <c r="E21" s="420" t="s">
        <v>507</v>
      </c>
      <c r="F21" s="421" t="s">
        <v>515</v>
      </c>
      <c r="G21" s="418"/>
      <c r="H21" s="421"/>
      <c r="I21" s="375"/>
    </row>
    <row r="22">
      <c r="A22" s="419"/>
      <c r="B22" s="419"/>
      <c r="C22" s="419"/>
      <c r="D22" s="419"/>
      <c r="E22" s="420" t="s">
        <v>516</v>
      </c>
      <c r="F22" s="420" t="s">
        <v>517</v>
      </c>
      <c r="G22" s="429"/>
      <c r="H22" s="429"/>
      <c r="I22" s="383"/>
    </row>
    <row r="23">
      <c r="A23" s="401"/>
      <c r="B23" s="401"/>
      <c r="C23" s="401"/>
      <c r="D23" s="401"/>
      <c r="E23" s="401"/>
      <c r="F23" s="401"/>
      <c r="G23" s="401"/>
      <c r="H23" s="401"/>
      <c r="I23" s="401"/>
    </row>
    <row r="24">
      <c r="A24" s="410">
        <v>4.0</v>
      </c>
      <c r="B24" s="410" t="s">
        <v>499</v>
      </c>
      <c r="C24" s="411" t="str">
        <f>'COMP. onerado'!D50</f>
        <v>
Acabamento Frontal em Aço para telha Trapezoidal Telha Térmica Sanduíche 30mm</v>
      </c>
      <c r="D24" s="410" t="s">
        <v>71</v>
      </c>
      <c r="E24" s="412" t="s">
        <v>501</v>
      </c>
      <c r="F24" s="427">
        <v>9.8</v>
      </c>
      <c r="G24" s="427">
        <v>12.46</v>
      </c>
      <c r="H24" s="427">
        <v>9.8</v>
      </c>
      <c r="I24" s="414">
        <f>AVERAGE(F24:H24)</f>
        <v>10.68666667</v>
      </c>
    </row>
    <row r="25">
      <c r="A25" s="415"/>
      <c r="B25" s="415"/>
      <c r="C25" s="415"/>
      <c r="D25" s="415"/>
      <c r="E25" s="412" t="s">
        <v>502</v>
      </c>
      <c r="F25" s="416">
        <v>46055.0</v>
      </c>
      <c r="G25" s="416">
        <v>46055.0</v>
      </c>
      <c r="H25" s="416">
        <v>46055.0</v>
      </c>
      <c r="I25" s="375"/>
    </row>
    <row r="26">
      <c r="A26" s="419"/>
      <c r="B26" s="419"/>
      <c r="C26" s="419"/>
      <c r="D26" s="419"/>
      <c r="E26" s="420" t="s">
        <v>507</v>
      </c>
      <c r="F26" s="421" t="s">
        <v>518</v>
      </c>
      <c r="G26" s="418" t="s">
        <v>519</v>
      </c>
      <c r="H26" s="421" t="s">
        <v>520</v>
      </c>
      <c r="I26" s="383"/>
    </row>
    <row r="27">
      <c r="A27" s="401"/>
      <c r="B27" s="401"/>
      <c r="C27" s="401"/>
      <c r="D27" s="401"/>
      <c r="E27" s="401"/>
      <c r="F27" s="401"/>
      <c r="G27" s="401"/>
      <c r="H27" s="401"/>
      <c r="I27" s="401"/>
    </row>
    <row r="28">
      <c r="A28" s="410">
        <v>5.0</v>
      </c>
      <c r="B28" s="410" t="s">
        <v>499</v>
      </c>
      <c r="C28" s="411" t="s">
        <v>247</v>
      </c>
      <c r="D28" s="410" t="s">
        <v>71</v>
      </c>
      <c r="E28" s="412" t="s">
        <v>501</v>
      </c>
      <c r="F28" s="427">
        <v>50.89</v>
      </c>
      <c r="G28" s="427">
        <v>64.51</v>
      </c>
      <c r="H28" s="427"/>
      <c r="I28" s="414">
        <f>AVERAGE(F28:H28)</f>
        <v>57.7</v>
      </c>
    </row>
    <row r="29">
      <c r="A29" s="415"/>
      <c r="B29" s="415"/>
      <c r="C29" s="415"/>
      <c r="D29" s="415"/>
      <c r="E29" s="412" t="s">
        <v>502</v>
      </c>
      <c r="F29" s="416">
        <v>46055.0</v>
      </c>
      <c r="G29" s="416">
        <v>46055.0</v>
      </c>
      <c r="H29" s="416"/>
      <c r="I29" s="375"/>
    </row>
    <row r="30">
      <c r="A30" s="419"/>
      <c r="B30" s="419"/>
      <c r="C30" s="419"/>
      <c r="D30" s="419"/>
      <c r="E30" s="420" t="s">
        <v>507</v>
      </c>
      <c r="F30" s="421" t="s">
        <v>518</v>
      </c>
      <c r="G30" s="418" t="s">
        <v>519</v>
      </c>
      <c r="H30" s="421"/>
      <c r="I30" s="383"/>
    </row>
    <row r="31">
      <c r="A31" s="401"/>
      <c r="B31" s="401"/>
      <c r="C31" s="401"/>
      <c r="D31" s="401"/>
      <c r="E31" s="401"/>
      <c r="F31" s="401"/>
      <c r="G31" s="401"/>
      <c r="H31" s="401"/>
      <c r="I31" s="401"/>
    </row>
    <row r="32">
      <c r="A32" s="410">
        <v>6.0</v>
      </c>
      <c r="B32" s="410" t="s">
        <v>499</v>
      </c>
      <c r="C32" s="411" t="s">
        <v>182</v>
      </c>
      <c r="D32" s="410" t="s">
        <v>71</v>
      </c>
      <c r="E32" s="412" t="s">
        <v>501</v>
      </c>
      <c r="F32" s="427">
        <v>92.0</v>
      </c>
      <c r="G32" s="427">
        <v>68.5</v>
      </c>
      <c r="H32" s="427">
        <v>75.58</v>
      </c>
      <c r="I32" s="414">
        <f>AVERAGE(F32:H32)</f>
        <v>78.69333333</v>
      </c>
    </row>
    <row r="33">
      <c r="A33" s="415"/>
      <c r="B33" s="415"/>
      <c r="C33" s="415"/>
      <c r="D33" s="415"/>
      <c r="E33" s="412" t="s">
        <v>502</v>
      </c>
      <c r="F33" s="416">
        <v>46055.0</v>
      </c>
      <c r="G33" s="416">
        <v>46055.0</v>
      </c>
      <c r="H33" s="416">
        <v>46055.0</v>
      </c>
      <c r="I33" s="375"/>
    </row>
    <row r="34">
      <c r="A34" s="419"/>
      <c r="B34" s="419"/>
      <c r="C34" s="419"/>
      <c r="D34" s="419"/>
      <c r="E34" s="420" t="s">
        <v>507</v>
      </c>
      <c r="F34" s="421" t="s">
        <v>521</v>
      </c>
      <c r="G34" s="418" t="s">
        <v>522</v>
      </c>
      <c r="H34" s="421" t="s">
        <v>523</v>
      </c>
      <c r="I34" s="383"/>
    </row>
    <row r="35">
      <c r="A35" s="401"/>
      <c r="B35" s="401"/>
      <c r="C35" s="401"/>
      <c r="D35" s="401"/>
      <c r="E35" s="401"/>
      <c r="F35" s="401"/>
      <c r="G35" s="401"/>
      <c r="H35" s="401"/>
      <c r="I35" s="401"/>
    </row>
  </sheetData>
  <mergeCells count="31">
    <mergeCell ref="I10:I13"/>
    <mergeCell ref="I15:I17"/>
    <mergeCell ref="I24:I26"/>
    <mergeCell ref="I28:I30"/>
    <mergeCell ref="I32:I34"/>
    <mergeCell ref="I19:I22"/>
    <mergeCell ref="A6:I6"/>
    <mergeCell ref="A10:A13"/>
    <mergeCell ref="B10:B13"/>
    <mergeCell ref="C10:C13"/>
    <mergeCell ref="D10:D13"/>
    <mergeCell ref="A15:A17"/>
    <mergeCell ref="D15:D17"/>
    <mergeCell ref="B15:B17"/>
    <mergeCell ref="C15:C17"/>
    <mergeCell ref="A24:A26"/>
    <mergeCell ref="D24:D26"/>
    <mergeCell ref="C19:C22"/>
    <mergeCell ref="D19:D22"/>
    <mergeCell ref="B19:B22"/>
    <mergeCell ref="A19:A22"/>
    <mergeCell ref="B32:B34"/>
    <mergeCell ref="C32:C34"/>
    <mergeCell ref="B24:B26"/>
    <mergeCell ref="C24:C26"/>
    <mergeCell ref="A28:A30"/>
    <mergeCell ref="B28:B30"/>
    <mergeCell ref="C28:C30"/>
    <mergeCell ref="D28:D30"/>
    <mergeCell ref="A32:A34"/>
    <mergeCell ref="D32:D34"/>
  </mergeCells>
  <dataValidations>
    <dataValidation type="list" allowBlank="1" showErrorMessage="1" sqref="B10 B14:B15 B18:B19 B24 B28 B32">
      <formula1>"MATERIAL,MÃO DE OBRA"</formula1>
    </dataValidation>
    <dataValidation type="list" allowBlank="1" sqref="D10 D14:D15 D18:D19 D24 D28 D32">
      <formula1>"Un.,pç,m,m²,m³,pct,cj,l,g,kg,ton,lata,H,HH,US"</formula1>
    </dataValidation>
  </dataValidations>
  <drawing r:id="rId1"/>
</worksheet>
</file>