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ol\Desktop\Manutenção dos alojamentos Masculinos - 2025\Planilha orçamentária\"/>
    </mc:Choice>
  </mc:AlternateContent>
  <xr:revisionPtr revIDLastSave="0" documentId="13_ncr:1_{1A525A3D-0E29-4D96-A1B7-440E0F0501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" sheetId="6" r:id="rId1"/>
    <sheet name="Comp Próprias" sheetId="5" r:id="rId2"/>
    <sheet name="Cotações" sheetId="4" state="hidden" r:id="rId3"/>
    <sheet name="BDI" sheetId="1" r:id="rId4"/>
    <sheet name="Cronograma FF" sheetId="7" r:id="rId5"/>
    <sheet name="M. C. ANALÍTICO" sheetId="3" state="hidden" r:id="rId6"/>
  </sheets>
  <definedNames>
    <definedName name="ACOMPANHAMENTO" hidden="1">IF(VALUE(#REF!)=2,"BM","PLE")</definedName>
    <definedName name="_xlnm.Print_Area" localSheetId="3">BDI!$A$1:$J$46</definedName>
    <definedName name="_xlnm.Print_Area" localSheetId="2">Cotações!$A$1:$G$120</definedName>
    <definedName name="_xlnm.Print_Area" localSheetId="5">'M. C. ANALÍTICO'!$B$1:$X$703</definedName>
    <definedName name="AUTOEVENTO" hidden="1">#REF!</definedName>
    <definedName name="BDI.Filtro" hidden="1">#REF!</definedName>
    <definedName name="BDI.Opcao" localSheetId="5" hidden="1">#REF!</definedName>
    <definedName name="BDI.Opcao" hidden="1">#REF!</definedName>
    <definedName name="BDI.TipoObra" localSheetId="5" hidden="1">#REF!</definedName>
    <definedName name="BDI.TipoObra" hidden="1">#REF!</definedName>
    <definedName name="BM.AFAcumulado" hidden="1">#REF!</definedName>
    <definedName name="BM.AFAnterior" hidden="1">#REF!</definedName>
    <definedName name="BM.CaixaColunas" hidden="1">#REF!</definedName>
    <definedName name="BM.Filtro" hidden="1">#REF!</definedName>
    <definedName name="BM.firstrow" hidden="1">#REF!</definedName>
    <definedName name="BM.FormulaMed" hidden="1">#REF!</definedName>
    <definedName name="BM.lastrow" hidden="1">#REF!</definedName>
    <definedName name="BM.LinhaPadrão" hidden="1">#REF!</definedName>
    <definedName name="BM.MaxMed" hidden="1">IF(RegimeExecucao="Global",1,#REF!)</definedName>
    <definedName name="BM.MCAIXA.Filter" hidden="1">#REF!</definedName>
    <definedName name="BM.MEDAcumulado" hidden="1">IF(COUNTIF(#REF!,BM.medicao)&gt;0,SUM(OFFSET(#REF!,0,0,1,MATCH(BM.medicao,#REF!,0))),0)</definedName>
    <definedName name="BM.MEDAnterior" hidden="1">IF(COUNTIF(#REF!,BM.medicao-1)&gt;0,SUM(OFFSET(#REF!,0,0,1,MATCH(BM.medicao-1,#REF!,0))),0)</definedName>
    <definedName name="BM.medicao" hidden="1">OFFSET(#REF!,1,0)</definedName>
    <definedName name="BM.MinMed" hidden="1">IF(RegimeExecucao="Global",-1,-#REF!)</definedName>
    <definedName name="BM.TomadorColunas" hidden="1">#REF!</definedName>
    <definedName name="Brasao" hidden="1">#REF!</definedName>
    <definedName name="CAIXA.Modo" hidden="1">#REF!</definedName>
    <definedName name="CÁLCULO.AgrupEventos" hidden="1">#REF!</definedName>
    <definedName name="CÁLCULO.ColunaPadrão" hidden="1">#REF!</definedName>
    <definedName name="CÁLCULO.Filtro" hidden="1">#REF!</definedName>
    <definedName name="CÁLCULO.firstcol" hidden="1">#REF!</definedName>
    <definedName name="CÁLCULO.firstrow" hidden="1">#REF!</definedName>
    <definedName name="CÁLCULO.Frenterow" hidden="1">#REF!</definedName>
    <definedName name="CÁLCULO.lastcol" hidden="1">#REF!</definedName>
    <definedName name="CÁLCULO.lastrow" hidden="1">#REF!</definedName>
    <definedName name="CÁLCULO.LinhaPadrão" hidden="1">#REF!</definedName>
    <definedName name="CÁLCULO.margemrow" hidden="1">#REF!</definedName>
    <definedName name="CÁLCULO.MATRIZ1.ColunaPadrão" hidden="1">#REF!</definedName>
    <definedName name="CÁLCULO.MATRIZ1.firstcol" hidden="1">#REF!</definedName>
    <definedName name="CÁLCULO.MATRIZ1.lastcol" hidden="1">#REF!</definedName>
    <definedName name="CÁLCULO.MATRIZ1.lastrow" hidden="1">#REF!</definedName>
    <definedName name="CÁLCULO.MATRIZ2.ColunaPadrão" hidden="1">#REF!</definedName>
    <definedName name="CÁLCULO.MATRIZ2.firstcol" hidden="1">#REF!</definedName>
    <definedName name="CÁLCULO.MATRIZ2.lastcol" hidden="1">#REF!</definedName>
    <definedName name="CÁLCULO.MATRIZ2.lastrow" hidden="1">#REF!</definedName>
    <definedName name="CÁLCULO.MATRIZ3.ColunaPadrão" hidden="1">#REF!</definedName>
    <definedName name="CÁLCULO.MATRIZ3.firstcol" hidden="1">#REF!</definedName>
    <definedName name="CÁLCULO.MATRIZ3.lastcol" hidden="1">#REF!</definedName>
    <definedName name="CÁLCULO.MATRIZ3.lastrow" hidden="1">#REF!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hidden="1">IF(AUTOEVENTO="manual",SUMIF(#REF!,1,#REF!),0)</definedName>
    <definedName name="CRONO.ColunaPadrão" hidden="1">#REF!</definedName>
    <definedName name="CRONO.Filtro" hidden="1">#REF!</definedName>
    <definedName name="CRONO.FirstCol" hidden="1">#REF!</definedName>
    <definedName name="CRONO.firstrow" hidden="1">#REF!</definedName>
    <definedName name="CRONO.Frenterow" hidden="1">#REF!</definedName>
    <definedName name="CRONO.LastCol" hidden="1">#REF!</definedName>
    <definedName name="CRONO.lastrow" hidden="1">#REF!</definedName>
    <definedName name="CRONO.LinhaPadrão" hidden="1">#REF!</definedName>
    <definedName name="CRONO.LinhasNecessarias" hidden="1">COUNTIF(#REF!,"Manual")+COUNTIF(#REF!,"SemiAuto")+COUNT(ORÇAMENTO.ListaCrono)</definedName>
    <definedName name="CRONO.margemrow" hidden="1">#REF!</definedName>
    <definedName name="CRONO.MaxParc" hidden="1">#REF!+#REF!</definedName>
    <definedName name="CRONO.NivelExibicao" hidden="1">#REF!</definedName>
    <definedName name="CRONO.Parcela1" hidden="1">#REF!</definedName>
    <definedName name="CRONOPLE.ColunaPadrão" hidden="1">#REF!</definedName>
    <definedName name="CRONOPLE.FirstCol" hidden="1">#REF!</definedName>
    <definedName name="CRONOPLE.firstrow" hidden="1">#REF!</definedName>
    <definedName name="CRONOPLE.Frenterow" hidden="1">#REF!</definedName>
    <definedName name="CRONOPLE.LastCol" hidden="1">#REF!</definedName>
    <definedName name="CRONOPLE.lastrow" hidden="1">#REF!</definedName>
    <definedName name="CRONOPLE.LinhaPadrão" hidden="1">#REF!</definedName>
    <definedName name="CRONOPLE.margemrow" hidden="1">#REF!</definedName>
    <definedName name="CRONOPLE.ValorDoEvento" hidden="1">SUMIF(#REF!,#REF!,OFFSET(#REF!,0,#REF!))</definedName>
    <definedName name="DESONERACAO" localSheetId="5" hidden="1">IF(OR('M. C. ANALÍTICO'!Import.Desoneracao="DESONERADO",'M. C. ANALÍTICO'!Import.Desoneracao="SIM"),"SIM","NÃO")</definedName>
    <definedName name="DESONERACAO" hidden="1">IF(OR(Import.Desoneracao="DESONERADO",Import.Desoneracao="SIM"),"SIM","NÃO")</definedName>
    <definedName name="EMPRESAS">OFFSET(Cotações!#REF!,1,0):OFFSET(Cotações!$H$128,-1,0)</definedName>
    <definedName name="EVENTOS.firstrow" hidden="1">#REF!</definedName>
    <definedName name="EVENTOS.lastrow" hidden="1">#REF!</definedName>
    <definedName name="EVENTOS.LinhaPadrão" hidden="1">#REF!</definedName>
    <definedName name="EVENTOS.Lista" hidden="1">#REF!:OFFSET(#REF!,-1,0)</definedName>
    <definedName name="EVENTOS.ListaValidacao" hidden="1">#REF!:OFFSET(#REF!,-1,0)</definedName>
    <definedName name="Excel_BuiltIn_Database" hidden="1">TEXT(Import.DataBase,"mm-aaaa")</definedName>
    <definedName name="Import.Apelido" hidden="1">#REF!</definedName>
    <definedName name="Import.BDI.Det1" hidden="1">#REF!</definedName>
    <definedName name="Import.BDI.Det2" hidden="1">#REF!</definedName>
    <definedName name="Import.BDI.Det3" hidden="1">#REF!</definedName>
    <definedName name="Import.BDI.ISS" hidden="1">#REF!</definedName>
    <definedName name="Import.BDI.Obs1" hidden="1">#REF!</definedName>
    <definedName name="Import.BDI.Obs2" hidden="1">#REF!</definedName>
    <definedName name="Import.BDI.Obs3" hidden="1">#REF!</definedName>
    <definedName name="Import.BDI.Tipo1" hidden="1">#REF!</definedName>
    <definedName name="Import.BDI.Tipo2" hidden="1">#REF!</definedName>
    <definedName name="Import.BDI.Tipo3" hidden="1">#REF!</definedName>
    <definedName name="Import.BM.Datas" hidden="1">#REF!</definedName>
    <definedName name="Import.BM.Obs" hidden="1">#REF!</definedName>
    <definedName name="Import.BMAFAcumulado" hidden="1">OFFSET(#REF!,1,0):OFFSET(#REF!,-1,0)</definedName>
    <definedName name="Import.BMArred" hidden="1">#REF!</definedName>
    <definedName name="Import.CNPJ" hidden="1">#REF!</definedName>
    <definedName name="Import.Código" hidden="1">OFFSET(#REF!,1,0):OFFSET(#REF!,-1,0)</definedName>
    <definedName name="Import.Contrapartida" hidden="1">#REF!</definedName>
    <definedName name="Import.CPMaxPerc" hidden="1">#REF!</definedName>
    <definedName name="Import.CPMinAbsoluta" hidden="1">#REF!</definedName>
    <definedName name="Import.CPMinPerc" hidden="1">#REF!</definedName>
    <definedName name="Import.CR" hidden="1">#REF!</definedName>
    <definedName name="Import.CRONOPLE" hidden="1">OFFSET(#REF!,1,1):OFFSET(#REF!,-1,-1)</definedName>
    <definedName name="Import.CTEF" hidden="1">#REF!</definedName>
    <definedName name="Import.CustoUnitário" hidden="1">OFFSET(#REF!,1,0):OFFSET(#REF!,-1,0)</definedName>
    <definedName name="Import.DataBase" hidden="1">OFFSET(#REF!,0,-1)</definedName>
    <definedName name="Import.DataBaseLicit" hidden="1">OFFSET(#REF!,0,-1)</definedName>
    <definedName name="Import.DataEmissaoLicit" hidden="1">#REF!</definedName>
    <definedName name="Import.DataInicioObra" hidden="1">#REF!</definedName>
    <definedName name="Import.DescLote" hidden="1">#REF!</definedName>
    <definedName name="Import.Descrição" hidden="1">OFFSET(#REF!,1,0):OFFSET(#REF!,-1,0)</definedName>
    <definedName name="Import.Desoneracao" localSheetId="5" hidden="1">OFFSET(#REF!,0,-1)</definedName>
    <definedName name="Import.Desoneracao" hidden="1">OFFSET(#REF!,0,-1)</definedName>
    <definedName name="Import.empresa" hidden="1">#REF!</definedName>
    <definedName name="Import.Eventos.Nível" hidden="1">#REF!</definedName>
    <definedName name="Import.Eventos.Nomes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localSheetId="5" hidden="1">#REF!</definedName>
    <definedName name="Import.Município" hidden="1">#REF!</definedName>
    <definedName name="Import.Nível" hidden="1">OFFSET(#REF!,1,0):OFFSET(#REF!,-1,0)</definedName>
    <definedName name="Import.Ofício.Dest" hidden="1">#REF!</definedName>
    <definedName name="Import.Ofício.GIGOV" hidden="1">#REF!</definedName>
    <definedName name="Import.Ofício.Num" hidden="1">#REF!</definedName>
    <definedName name="Import.OpcaoBDI" hidden="1">OFFSET(#REF!,1,0):OFFSET(#REF!,-1,0)</definedName>
    <definedName name="Import.ORÇAMENTO.DivRecurso" hidden="1">OFFSET(#REF!,1,0):OFFSET(#REF!,-1,0)</definedName>
    <definedName name="Import.ORÇAMENTO.Obs" hidden="1">#REF!</definedName>
    <definedName name="Import.PLE" hidden="1">OFFSET(#REF!,1,1):OFFSET(#REF!,-1,-1)</definedName>
    <definedName name="Import.PLE.Datas" hidden="1">#REF!</definedName>
    <definedName name="Import.PLQ" hidden="1">OFFSET(#REF!,1,1):OFFSET(#REF!,-1,-1)</definedName>
    <definedName name="Import.PLQ.MemCalc" hidden="1">OFFSET(#REF!,1,0):OFFSET(#REF!,-1,0)</definedName>
    <definedName name="Import.POArred" hidden="1">#REF!</definedName>
    <definedName name="IMport.Prefeito" hidden="1">#REF!</definedName>
    <definedName name="Import.Proponente" hidden="1">#REF!</definedName>
    <definedName name="Import.QCI.Divisao" hidden="1">OFFSET(#REF!,1,0):OFFSET(#REF!,-1,0)</definedName>
    <definedName name="Import.QCI.ItemInv" hidden="1">OFFSET(#REF!,1,0):OFFSET(#REF!,-1,0)</definedName>
    <definedName name="Import.QCI.Obs" hidden="1">#REF!</definedName>
    <definedName name="Import.QCI.Qtde" hidden="1">OFFSET(#REF!,1,0):OFFSET(#REF!,-1,0)</definedName>
    <definedName name="Import.QCI.Situacao" hidden="1">OFFSET(#REF!,1,0):OFFSET(#REF!,-1,0)</definedName>
    <definedName name="Import.QCI.SubItemInv" hidden="1">OFFSET(#REF!,1,0):OFFSET(#REF!,-1,0)</definedName>
    <definedName name="Import.QCICP" hidden="1">OFFSET(#REF!,1,0):OFFSET(#REF!,-1,0)</definedName>
    <definedName name="Import.QCIDesc" hidden="1">OFFSET(#REF!,1,0):OFFSET(#REF!,-1,0)</definedName>
    <definedName name="Import.QCIInv" hidden="1">OFFSET(#REF!,1,0):OFFSET(#REF!,-1,0)</definedName>
    <definedName name="Import.QCILote" hidden="1">OFFSET(#REF!,1,0):OFFSET(#REF!,-1,0)</definedName>
    <definedName name="Import.QCIOutros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hidden="1">#REF!</definedName>
    <definedName name="Import.RespFiscalização" hidden="1">#REF!</definedName>
    <definedName name="Import.RespOrçamento" localSheetId="5" hidden="1">#REF!</definedName>
    <definedName name="Import.RespOrçamento" hidden="1">#REF!</definedName>
    <definedName name="Import.RRE.Financeiro" hidden="1">#REF!</definedName>
    <definedName name="Import.RRE.Obs" hidden="1">#REF!</definedName>
    <definedName name="Import.RRE.Social" hidden="1">#REF!</definedName>
    <definedName name="Import.SICONV" hidden="1">#REF!</definedName>
    <definedName name="Import.Unidade" hidden="1">OFFSET(#REF!,1,0):OFFSET(#REF!,-1,0)</definedName>
    <definedName name="Import.UnitarioLicitado" hidden="1">OFFSET(#REF!,1,0):OFFSET(#REF!,-1,0)</definedName>
    <definedName name="MENU.Acompanhamento" hidden="1">#REF!</definedName>
    <definedName name="Menu.b.bdi" hidden="1">#REF!</definedName>
    <definedName name="Menu.b.bm" hidden="1">#REF!</definedName>
    <definedName name="Menu.b.branco" hidden="1">#REF!</definedName>
    <definedName name="Menu.b.cronolicit" hidden="1">#REF!</definedName>
    <definedName name="Menu.b.cronoprop" hidden="1">#REF!</definedName>
    <definedName name="Menu.b.dados" hidden="1">#REF!</definedName>
    <definedName name="Menu.b.novo" hidden="1">#REF!</definedName>
    <definedName name="Menu.b.oficio" hidden="1">#REF!</definedName>
    <definedName name="Menu.b.orçlicit" hidden="1">#REF!</definedName>
    <definedName name="Menu.b.orçprop" hidden="1">#REF!</definedName>
    <definedName name="Menu.b.PLE" hidden="1">#REF!</definedName>
    <definedName name="Menu.b.PLQ" hidden="1">#REF!</definedName>
    <definedName name="Menu.b.QCIlicit" hidden="1">#REF!</definedName>
    <definedName name="Menu.b.qciprop" hidden="1">#REF!</definedName>
    <definedName name="Menu.b.RRE" hidden="1">#REF!</definedName>
    <definedName name="MENU.CRONO" hidden="1">OFFSET(#REF!,1,0)</definedName>
    <definedName name="MENU.CRONOPLE" hidden="1">#REF!</definedName>
    <definedName name="MENU.TipoOrçamento" hidden="1">#REF!</definedName>
    <definedName name="Menu.tit.acompanhamento" hidden="1">#REF!</definedName>
    <definedName name="Menu.tit.licitacao" hidden="1">#REF!</definedName>
    <definedName name="Menu.tit.proposta" hidden="1">#REF!</definedName>
    <definedName name="Objeto" hidden="1">#REF!</definedName>
    <definedName name="ORÇAMENTO.BancoRef" hidden="1">#REF!</definedName>
    <definedName name="ORÇAMENTO.CodBarra" hidden="1">IF(ORÇAMENTO.Fonte="Sinapi",SUBSTITUTE(SUBSTITUTE(ORÇAMENTO.Codigo,"/00","/"),"/0","/"),ORÇAMENTO.Codigo)</definedName>
    <definedName name="ORÇAMENTO.Codigo" hidden="1">#REF!</definedName>
    <definedName name="ORÇAMENTO.ColunaLicit" hidden="1">#REF!</definedName>
    <definedName name="ORÇAMENTO.CopyFormat1" hidden="1">#REF!</definedName>
    <definedName name="ORÇAMENTO.CopyFormat2" hidden="1">#REF!</definedName>
    <definedName name="ORÇAMENTO.CustoUnitario" hidden="1">ROUND(#REF!,15-13*#REF!)</definedName>
    <definedName name="ORÇAMENTO.Descricao" hidden="1">#REF!</definedName>
    <definedName name="ORÇAMENTO.Filtro" hidden="1">#REF!</definedName>
    <definedName name="ORÇAMENTO.firstrow" hidden="1">#REF!</definedName>
    <definedName name="ORÇAMENTO.Fonte" hidden="1">#REF!</definedName>
    <definedName name="ORÇAMENTO.lastrow" hidden="1">#REF!</definedName>
    <definedName name="ORÇAMENTO.LinhaPadrão" hidden="1">#REF!</definedName>
    <definedName name="ORÇAMENTO.ListaCrono" hidden="1">OFFSET(#REF!,1,0):OFFSET(#REF!,-1,0)</definedName>
    <definedName name="ORÇAMENTO.MáximoListaCrono" hidden="1">MAX(ORÇAMENTO.ListaCrono)</definedName>
    <definedName name="ORÇAMENTO.Nivel" hidden="1">#REF!</definedName>
    <definedName name="ORÇAMENTO.OpcaoBDI" hidden="1">#REF!</definedName>
    <definedName name="ORÇAMENTO.PasteFormat1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QuantBM" hidden="1">#REF!</definedName>
    <definedName name="ORÇAMENTO.RangeQuant" hidden="1">OFFSET(#REF!,1,0):OFFSET(#REF!,-1,0)</definedName>
    <definedName name="ORÇAMENTO.SumCPMANUAL" hidden="1">SUMIF(#REF!,"CP",#REF!)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hidden="1">ORÇAMENTO.SumINVMANUAL-ORÇAMENTO.SumCPMANUAL-ORÇAMENTO.SumOUTROSMANUAL</definedName>
    <definedName name="ORÇAMENTO.Unidade" hidden="1">#REF!</definedName>
    <definedName name="PLE.ColunaPadrão" hidden="1">#REF!</definedName>
    <definedName name="PLE.Filtro" hidden="1">#REF!</definedName>
    <definedName name="PLE.FirstCol" hidden="1">#REF!</definedName>
    <definedName name="PLE.firstrow" hidden="1">#REF!</definedName>
    <definedName name="PLE.FrenteRow" hidden="1">#REF!</definedName>
    <definedName name="PLE.LastCol" hidden="1">#REF!</definedName>
    <definedName name="PLE.lastrow" hidden="1">#REF!</definedName>
    <definedName name="PLE.LinhaPadrão" hidden="1">#REF!</definedName>
    <definedName name="PLE.margemrow" hidden="1">#REF!</definedName>
    <definedName name="PLE.Medicao" hidden="1">#REF!</definedName>
    <definedName name="PLE.MEDIÇÕES.firstrow" hidden="1">#REF!</definedName>
    <definedName name="PLE.MEDIÇÕES.lastrow" hidden="1">#REF!</definedName>
    <definedName name="PLE.MEDIÇÕES.LinhaPadrão" hidden="1">#REF!</definedName>
    <definedName name="PLE.ValorDoEvento" hidden="1">SUMIF(#REF!,#REF!,OFFSET(#REF!,0,#REF!))</definedName>
    <definedName name="PO.ValoresBDI" hidden="1">OFFSET(#REF!,1,0):OFFSET(#REF!,-1,0)</definedName>
    <definedName name="QCI.CPManual" hidden="1">ROUND(#REF!,2)</definedName>
    <definedName name="QCI.DescManual" hidden="1">#REF!</definedName>
    <definedName name="QCI.Divisao" hidden="1">#REF!</definedName>
    <definedName name="QCI.ExisteManual" hidden="1">(COUNTIF(#REF!,"Manual")+COUNTIF(#REF!,"SemiAuto"))&gt;0</definedName>
    <definedName name="QCI.Filtro" hidden="1">#REF!</definedName>
    <definedName name="QCI.firstrow" hidden="1">#REF!</definedName>
    <definedName name="QCI.InvManual" hidden="1">ROUND(#REF!,2)</definedName>
    <definedName name="QCI.ItemInvestimento" hidden="1">OFFSET(#REF!,1,0,COUNTA(#REF!)-1,1)</definedName>
    <definedName name="QCI.lastrow" hidden="1">#REF!</definedName>
    <definedName name="QCI.LinhaPadrão" hidden="1">#REF!</definedName>
    <definedName name="QCI.LoteManual" hidden="1">#REF!</definedName>
    <definedName name="QCI.MaxCPManual" hidden="1">#REF!-#REF!</definedName>
    <definedName name="QCI.MaxOUManual" hidden="1">#REF!-#REF!</definedName>
    <definedName name="QCI.OutrosManual" hidden="1">ROUND(#REF!,2)</definedName>
    <definedName name="QCI.RepasseManual" hidden="1">#REF!</definedName>
    <definedName name="QCI.SubItemInvestimento" hidden="1">OFFSET(#REF!,1,MATCH(#REF!,#REF!,0)-1,INDEX(#REF!,MATCH(#REF!,#REF!,0)+1))</definedName>
    <definedName name="QCI.SumCPMANUAL" hidden="1">SUMIF(#REF!,"Manual",#REF!)</definedName>
    <definedName name="QCI.SumINVMANUAL" hidden="1">SUMIF(#REF!,"Manual",#REF!)</definedName>
    <definedName name="QCI.SumOUTROSMANUAL" hidden="1">SUMIF(#REF!,"Manual",#REF!)</definedName>
    <definedName name="QCI.SumREPASSEMANUAL" hidden="1">QCI.SumINVMANUAL-QCI.CPManual-QCI.OutrosManual</definedName>
    <definedName name="QCI.TotalCP" hidden="1">#REF!</definedName>
    <definedName name="REFERENCIA.Descricao" hidden="1">IF(ISNUMBER(#REF!),OFFSET(INDIRECT(ORÇAMENTO.BancoRef),#REF!-1,3,1),#REF!)</definedName>
    <definedName name="REFERENCIA.Desonerado" hidden="1">IF(ISNUMBER(#REF!),VALUE(OFFSET(INDIRECT(ORÇAMENTO.BancoRef),#REF!-1,5,1)),0)</definedName>
    <definedName name="REFERENCIA.NaoDesonerado" hidden="1">IF(ISNUMBER(#REF!),VALUE(OFFSET(INDIRECT(ORÇAMENTO.BancoRef),#REF!-1,6,1)),0)</definedName>
    <definedName name="REFERENCIA.Unidade" hidden="1">IF(ISNUMBER(#REF!),OFFSET(INDIRECT(ORÇAMENTO.BancoRef),#REF!-1,4,1),"-")</definedName>
    <definedName name="RegimeExecucao" hidden="1">IF(OR(Import.RegimeExecução="",Import.RegimeExecução="Empreitada por Preço Global",Import.RegimeExecução="Empreitada Integral"),"Global","Unitário")</definedName>
    <definedName name="RRE.CPDiferente" hidden="1">#REF!</definedName>
    <definedName name="RRE.Filtro" hidden="1">#REF!</definedName>
    <definedName name="RRE.firstrow" hidden="1">#REF!</definedName>
    <definedName name="RRE.lastrow" hidden="1">#REF!</definedName>
    <definedName name="RRE.LinhaPadrão" hidden="1">#REF!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OFFSET(#REF!,0,1)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hidden="1">SUMIF(OFFSET(#REF!,1,0,#REF!),"S",OFFSET(#REF!,1,0,#REF!))</definedName>
    <definedName name="TIPOORCAMENTO" hidden="1">IF(VALUE(#REF!)=2,"Licitado","Proposto")</definedName>
    <definedName name="_xlnm.Print_Titles" localSheetId="3">BDI!$1:$12</definedName>
    <definedName name="_xlnm.Print_Titles" localSheetId="1">'Comp Próprias'!$1:$12</definedName>
    <definedName name="_xlnm.Print_Titles" localSheetId="2">Cotações!$1:$12</definedName>
    <definedName name="_xlnm.Print_Titles" localSheetId="4">'Cronograma FF'!$1:$12</definedName>
    <definedName name="_xlnm.Print_Titles" localSheetId="5">'M. C. ANALÍTICO'!$1:$12</definedName>
    <definedName name="_xlnm.Print_Titles" localSheetId="0">Orçamento!$1:$13</definedName>
    <definedName name="Versao" hidden="1">#REF!</definedName>
    <definedName name="VTOTAL1" hidden="1">ROUND(#REF!*#REF!,15-13*#REF!)</definedName>
    <definedName name="VTOTALBM" hidden="1">IF(#REF!=0,0,CHOOSE(MATCH(RegimeExecucao,{"Global","Unitário"},0),ROUND(ROUND(#REF!,15-13*#REF!)/100*#REF!,15-13*#REF!),ROUND(ROUND(#REF!,15-13*#REF!)*ROUND(#REF!,15-13*#REF!),15-13*#REF!)))</definedName>
    <definedName name="VTOTALMED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6" l="1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G97" i="6" s="1"/>
  <c r="M14" i="6"/>
  <c r="I15" i="6"/>
  <c r="H95" i="6"/>
  <c r="I95" i="6" s="1"/>
  <c r="H94" i="6"/>
  <c r="I94" i="6" s="1"/>
  <c r="H93" i="6"/>
  <c r="I93" i="6" s="1"/>
  <c r="H92" i="6"/>
  <c r="I92" i="6" s="1"/>
  <c r="H90" i="6"/>
  <c r="I90" i="6" s="1"/>
  <c r="H89" i="6"/>
  <c r="I89" i="6" s="1"/>
  <c r="H88" i="6"/>
  <c r="I88" i="6" s="1"/>
  <c r="H87" i="6"/>
  <c r="I87" i="6" s="1"/>
  <c r="H86" i="6"/>
  <c r="I86" i="6" s="1"/>
  <c r="H85" i="6"/>
  <c r="I85" i="6" s="1"/>
  <c r="H83" i="6"/>
  <c r="I83" i="6" s="1"/>
  <c r="H82" i="6"/>
  <c r="I82" i="6" s="1"/>
  <c r="I81" i="6" s="1"/>
  <c r="H80" i="6"/>
  <c r="I80" i="6" s="1"/>
  <c r="H79" i="6"/>
  <c r="I79" i="6" s="1"/>
  <c r="H78" i="6"/>
  <c r="I78" i="6" s="1"/>
  <c r="H77" i="6"/>
  <c r="I77" i="6" s="1"/>
  <c r="H76" i="6"/>
  <c r="I76" i="6" s="1"/>
  <c r="I75" i="6" s="1"/>
  <c r="H74" i="6"/>
  <c r="I74" i="6" s="1"/>
  <c r="H73" i="6"/>
  <c r="I73" i="6" s="1"/>
  <c r="H71" i="6"/>
  <c r="I71" i="6" s="1"/>
  <c r="H70" i="6"/>
  <c r="I70" i="6" s="1"/>
  <c r="H69" i="6"/>
  <c r="I69" i="6" s="1"/>
  <c r="H68" i="6"/>
  <c r="I68" i="6" s="1"/>
  <c r="H66" i="6"/>
  <c r="I66" i="6" s="1"/>
  <c r="H65" i="6"/>
  <c r="I65" i="6" s="1"/>
  <c r="H64" i="6"/>
  <c r="I64" i="6" s="1"/>
  <c r="H63" i="6"/>
  <c r="I63" i="6" s="1"/>
  <c r="H62" i="6"/>
  <c r="I62" i="6" s="1"/>
  <c r="H61" i="6"/>
  <c r="I61" i="6" s="1"/>
  <c r="H59" i="6"/>
  <c r="I59" i="6" s="1"/>
  <c r="H58" i="6"/>
  <c r="I58" i="6" s="1"/>
  <c r="I57" i="6" s="1"/>
  <c r="H56" i="6"/>
  <c r="I56" i="6" s="1"/>
  <c r="H55" i="6"/>
  <c r="I55" i="6" s="1"/>
  <c r="H54" i="6"/>
  <c r="I54" i="6" s="1"/>
  <c r="H53" i="6"/>
  <c r="I53" i="6" s="1"/>
  <c r="H52" i="6"/>
  <c r="I52" i="6" s="1"/>
  <c r="H51" i="6"/>
  <c r="I51" i="6" s="1"/>
  <c r="H50" i="6"/>
  <c r="I50" i="6" s="1"/>
  <c r="H49" i="6"/>
  <c r="I49" i="6" s="1"/>
  <c r="H48" i="6"/>
  <c r="I48" i="6" s="1"/>
  <c r="H47" i="6"/>
  <c r="I47" i="6" s="1"/>
  <c r="H45" i="6"/>
  <c r="I45" i="6" s="1"/>
  <c r="H44" i="6"/>
  <c r="I44" i="6" s="1"/>
  <c r="H43" i="6"/>
  <c r="I43" i="6" s="1"/>
  <c r="H42" i="6"/>
  <c r="I42" i="6" s="1"/>
  <c r="H41" i="6"/>
  <c r="I41" i="6" s="1"/>
  <c r="H40" i="6"/>
  <c r="I40" i="6" s="1"/>
  <c r="H39" i="6"/>
  <c r="I39" i="6" s="1"/>
  <c r="H38" i="6"/>
  <c r="I38" i="6" s="1"/>
  <c r="H36" i="6"/>
  <c r="I36" i="6" s="1"/>
  <c r="H35" i="6"/>
  <c r="I35" i="6" s="1"/>
  <c r="H34" i="6"/>
  <c r="I34" i="6" s="1"/>
  <c r="H32" i="6"/>
  <c r="I32" i="6" s="1"/>
  <c r="H31" i="6"/>
  <c r="I31" i="6" s="1"/>
  <c r="H30" i="6"/>
  <c r="I30" i="6" s="1"/>
  <c r="H29" i="6"/>
  <c r="I29" i="6" s="1"/>
  <c r="H28" i="6"/>
  <c r="I28" i="6" s="1"/>
  <c r="H27" i="6"/>
  <c r="I27" i="6" s="1"/>
  <c r="H26" i="6"/>
  <c r="I26" i="6" s="1"/>
  <c r="H25" i="6"/>
  <c r="I25" i="6" s="1"/>
  <c r="H24" i="6"/>
  <c r="I24" i="6" s="1"/>
  <c r="H23" i="6"/>
  <c r="I23" i="6" s="1"/>
  <c r="H22" i="6"/>
  <c r="I22" i="6" s="1"/>
  <c r="H21" i="6"/>
  <c r="I21" i="6" s="1"/>
  <c r="H20" i="6"/>
  <c r="I20" i="6" s="1"/>
  <c r="H19" i="6"/>
  <c r="I19" i="6" s="1"/>
  <c r="H18" i="6"/>
  <c r="I18" i="6" s="1"/>
  <c r="H17" i="6"/>
  <c r="I17" i="6" s="1"/>
  <c r="H16" i="6"/>
  <c r="I16" i="6" s="1"/>
  <c r="D218" i="3"/>
  <c r="H218" i="3" s="1"/>
  <c r="E193" i="3"/>
  <c r="E500" i="3"/>
  <c r="K629" i="3"/>
  <c r="E629" i="3"/>
  <c r="I629" i="3" s="1"/>
  <c r="E602" i="3"/>
  <c r="E561" i="3"/>
  <c r="E560" i="3"/>
  <c r="E559" i="3"/>
  <c r="E558" i="3"/>
  <c r="E169" i="3"/>
  <c r="I169" i="3" s="1"/>
  <c r="E517" i="3" s="1"/>
  <c r="E542" i="3" s="1"/>
  <c r="I84" i="6" l="1"/>
  <c r="I67" i="6"/>
  <c r="I33" i="6"/>
  <c r="I60" i="6"/>
  <c r="I37" i="6"/>
  <c r="I14" i="6"/>
  <c r="I46" i="6"/>
  <c r="I91" i="6"/>
  <c r="H91" i="6"/>
  <c r="H72" i="6"/>
  <c r="I72" i="6"/>
  <c r="H67" i="6"/>
  <c r="H57" i="6"/>
  <c r="H75" i="6"/>
  <c r="H84" i="6"/>
  <c r="H37" i="6"/>
  <c r="H60" i="6"/>
  <c r="H33" i="6"/>
  <c r="H46" i="6"/>
  <c r="H14" i="6"/>
  <c r="H81" i="6"/>
  <c r="M629" i="3"/>
  <c r="R629" i="3" s="1"/>
  <c r="E307" i="3"/>
  <c r="E299" i="3"/>
  <c r="E291" i="3"/>
  <c r="E284" i="3"/>
  <c r="E277" i="3"/>
  <c r="I96" i="3"/>
  <c r="I95" i="3"/>
  <c r="E50" i="3"/>
  <c r="E449" i="3"/>
  <c r="E120" i="3"/>
  <c r="E386" i="3"/>
  <c r="E379" i="3"/>
  <c r="E372" i="3"/>
  <c r="E364" i="3"/>
  <c r="E681" i="3"/>
  <c r="I681" i="3" s="1"/>
  <c r="M681" i="3" s="1"/>
  <c r="R681" i="3" s="1"/>
  <c r="K680" i="3"/>
  <c r="E680" i="3"/>
  <c r="I680" i="3" s="1"/>
  <c r="E182" i="3"/>
  <c r="E183" i="3"/>
  <c r="E181" i="3"/>
  <c r="E180" i="3"/>
  <c r="E179" i="3"/>
  <c r="E178" i="3"/>
  <c r="I163" i="3"/>
  <c r="E511" i="3" s="1"/>
  <c r="I168" i="3"/>
  <c r="E516" i="3" s="1"/>
  <c r="E541" i="3" s="1"/>
  <c r="E673" i="3" s="1"/>
  <c r="I167" i="3"/>
  <c r="E515" i="3" s="1"/>
  <c r="E540" i="3" s="1"/>
  <c r="I164" i="3"/>
  <c r="E512" i="3" s="1"/>
  <c r="E537" i="3" s="1"/>
  <c r="E669" i="3" s="1"/>
  <c r="I165" i="3"/>
  <c r="E513" i="3" s="1"/>
  <c r="E538" i="3" s="1"/>
  <c r="E670" i="3" s="1"/>
  <c r="I166" i="3"/>
  <c r="E514" i="3" s="1"/>
  <c r="E539" i="3" s="1"/>
  <c r="E671" i="3" s="1"/>
  <c r="K655" i="3"/>
  <c r="O655" i="3" s="1"/>
  <c r="G99" i="6" l="1"/>
  <c r="G98" i="6" s="1"/>
  <c r="E536" i="3"/>
  <c r="M680" i="3"/>
  <c r="R680" i="3" s="1"/>
  <c r="R683" i="3" s="1"/>
  <c r="E672" i="3"/>
  <c r="E442" i="3"/>
  <c r="E418" i="3"/>
  <c r="E269" i="3"/>
  <c r="E646" i="3"/>
  <c r="K630" i="3"/>
  <c r="E630" i="3"/>
  <c r="I630" i="3" s="1"/>
  <c r="K602" i="3"/>
  <c r="I602" i="3"/>
  <c r="K588" i="3"/>
  <c r="E588" i="3"/>
  <c r="I588" i="3" s="1"/>
  <c r="E557" i="3"/>
  <c r="E556" i="3"/>
  <c r="E535" i="3"/>
  <c r="E667" i="3" s="1"/>
  <c r="E534" i="3"/>
  <c r="E666" i="3" s="1"/>
  <c r="E510" i="3"/>
  <c r="E509" i="3"/>
  <c r="E493" i="3"/>
  <c r="E427" i="3"/>
  <c r="E565" i="3" l="1"/>
  <c r="E519" i="3"/>
  <c r="E668" i="3"/>
  <c r="M630" i="3"/>
  <c r="R630" i="3" s="1"/>
  <c r="M588" i="3"/>
  <c r="M602" i="3"/>
  <c r="R602" i="3" s="1"/>
  <c r="E177" i="3"/>
  <c r="E176" i="3"/>
  <c r="H72" i="3"/>
  <c r="H70" i="3"/>
  <c r="H71" i="3"/>
  <c r="E185" i="3" l="1"/>
  <c r="D217" i="3" s="1"/>
  <c r="H217" i="3" s="1"/>
  <c r="H74" i="3"/>
  <c r="E587" i="3"/>
  <c r="I587" i="3" s="1"/>
  <c r="M587" i="3" s="1"/>
  <c r="K586" i="3"/>
  <c r="E586" i="3"/>
  <c r="I586" i="3" s="1"/>
  <c r="E585" i="3"/>
  <c r="I585" i="3" s="1"/>
  <c r="M585" i="3" s="1"/>
  <c r="K584" i="3"/>
  <c r="E584" i="3"/>
  <c r="I584" i="3" s="1"/>
  <c r="E583" i="3"/>
  <c r="I583" i="3" s="1"/>
  <c r="M583" i="3" s="1"/>
  <c r="E582" i="3"/>
  <c r="I582" i="3" s="1"/>
  <c r="M582" i="3" s="1"/>
  <c r="E459" i="3"/>
  <c r="I459" i="3" s="1"/>
  <c r="M459" i="3" s="1"/>
  <c r="R459" i="3" s="1"/>
  <c r="K458" i="3"/>
  <c r="E458" i="3"/>
  <c r="I458" i="3" s="1"/>
  <c r="E357" i="3"/>
  <c r="I162" i="3"/>
  <c r="I161" i="3"/>
  <c r="I31" i="3"/>
  <c r="I154" i="3"/>
  <c r="I153" i="3"/>
  <c r="E146" i="3"/>
  <c r="I146" i="3" s="1"/>
  <c r="E145" i="3"/>
  <c r="I145" i="3" s="1"/>
  <c r="E261" i="3"/>
  <c r="I171" i="3" l="1"/>
  <c r="D216" i="3" s="1"/>
  <c r="H216" i="3" s="1"/>
  <c r="M584" i="3"/>
  <c r="M586" i="3"/>
  <c r="M458" i="3"/>
  <c r="R458" i="3" s="1"/>
  <c r="I148" i="3"/>
  <c r="D214" i="3" s="1"/>
  <c r="H214" i="3" s="1"/>
  <c r="I156" i="3"/>
  <c r="D215" i="3" s="1"/>
  <c r="H215" i="3" s="1"/>
  <c r="I549" i="3"/>
  <c r="I138" i="3"/>
  <c r="I140" i="3" s="1"/>
  <c r="D213" i="3" s="1"/>
  <c r="H213" i="3" s="1"/>
  <c r="E341" i="3"/>
  <c r="I348" i="3"/>
  <c r="I347" i="3"/>
  <c r="M590" i="3" l="1"/>
  <c r="I350" i="3"/>
  <c r="E253" i="3"/>
  <c r="F208" i="3" l="1"/>
  <c r="H208" i="3" s="1"/>
  <c r="F207" i="3"/>
  <c r="F206" i="3"/>
  <c r="H206" i="3" s="1"/>
  <c r="E65" i="3"/>
  <c r="D207" i="3" s="1"/>
  <c r="F204" i="3"/>
  <c r="H204" i="3" s="1"/>
  <c r="F205" i="3"/>
  <c r="H205" i="3" s="1"/>
  <c r="F202" i="3"/>
  <c r="H202" i="3" s="1"/>
  <c r="F203" i="3"/>
  <c r="H203" i="3" s="1"/>
  <c r="H207" i="3" l="1"/>
  <c r="E502" i="3"/>
  <c r="E643" i="3"/>
  <c r="K601" i="3"/>
  <c r="E601" i="3"/>
  <c r="I601" i="3" s="1"/>
  <c r="E106" i="3"/>
  <c r="E665" i="3"/>
  <c r="E664" i="3"/>
  <c r="E645" i="3"/>
  <c r="E644" i="3"/>
  <c r="E642" i="3"/>
  <c r="E641" i="3"/>
  <c r="E640" i="3"/>
  <c r="E639" i="3"/>
  <c r="E638" i="3"/>
  <c r="E637" i="3"/>
  <c r="E628" i="3"/>
  <c r="I628" i="3" s="1"/>
  <c r="M628" i="3" s="1"/>
  <c r="R628" i="3" s="1"/>
  <c r="K627" i="3"/>
  <c r="E627" i="3"/>
  <c r="I627" i="3" s="1"/>
  <c r="E626" i="3"/>
  <c r="I626" i="3" s="1"/>
  <c r="M626" i="3" s="1"/>
  <c r="R626" i="3" s="1"/>
  <c r="K625" i="3"/>
  <c r="E625" i="3"/>
  <c r="I625" i="3" s="1"/>
  <c r="E624" i="3"/>
  <c r="I624" i="3" s="1"/>
  <c r="M624" i="3" s="1"/>
  <c r="R624" i="3" s="1"/>
  <c r="E623" i="3"/>
  <c r="I623" i="3" s="1"/>
  <c r="M623" i="3" s="1"/>
  <c r="R623" i="3" s="1"/>
  <c r="E600" i="3"/>
  <c r="I600" i="3" s="1"/>
  <c r="M600" i="3" s="1"/>
  <c r="R600" i="3" s="1"/>
  <c r="E675" i="3" l="1"/>
  <c r="M601" i="3"/>
  <c r="R601" i="3" s="1"/>
  <c r="M625" i="3"/>
  <c r="R625" i="3" s="1"/>
  <c r="M627" i="3"/>
  <c r="R627" i="3" s="1"/>
  <c r="E615" i="3"/>
  <c r="E614" i="3"/>
  <c r="E613" i="3"/>
  <c r="E611" i="3"/>
  <c r="E612" i="3"/>
  <c r="E610" i="3"/>
  <c r="E609" i="3"/>
  <c r="K599" i="3"/>
  <c r="E599" i="3"/>
  <c r="I599" i="3" s="1"/>
  <c r="E598" i="3"/>
  <c r="I598" i="3" s="1"/>
  <c r="M598" i="3" s="1"/>
  <c r="R598" i="3" s="1"/>
  <c r="K597" i="3"/>
  <c r="E597" i="3"/>
  <c r="I597" i="3" s="1"/>
  <c r="E596" i="3"/>
  <c r="I596" i="3" s="1"/>
  <c r="M596" i="3" s="1"/>
  <c r="R596" i="3" s="1"/>
  <c r="E595" i="3"/>
  <c r="I595" i="3" s="1"/>
  <c r="M595" i="3" s="1"/>
  <c r="R595" i="3" s="1"/>
  <c r="E533" i="3"/>
  <c r="E532" i="3"/>
  <c r="E525" i="3"/>
  <c r="E524" i="3"/>
  <c r="E483" i="3"/>
  <c r="I483" i="3" s="1"/>
  <c r="M483" i="3" s="1"/>
  <c r="R483" i="3" s="1"/>
  <c r="K482" i="3"/>
  <c r="K474" i="3"/>
  <c r="K456" i="3"/>
  <c r="E482" i="3"/>
  <c r="I482" i="3" s="1"/>
  <c r="E475" i="3"/>
  <c r="I475" i="3" s="1"/>
  <c r="M475" i="3" s="1"/>
  <c r="R475" i="3" s="1"/>
  <c r="I467" i="3"/>
  <c r="M467" i="3" s="1"/>
  <c r="R467" i="3" s="1"/>
  <c r="I457" i="3"/>
  <c r="M457" i="3" s="1"/>
  <c r="R457" i="3" s="1"/>
  <c r="E474" i="3"/>
  <c r="I474" i="3" s="1"/>
  <c r="I80" i="3"/>
  <c r="E466" i="3"/>
  <c r="I466" i="3" s="1"/>
  <c r="K466" i="3"/>
  <c r="E456" i="3"/>
  <c r="I456" i="3" s="1"/>
  <c r="E617" i="3" l="1"/>
  <c r="E618" i="3" s="1"/>
  <c r="E544" i="3"/>
  <c r="M474" i="3"/>
  <c r="R474" i="3" s="1"/>
  <c r="M599" i="3"/>
  <c r="R599" i="3" s="1"/>
  <c r="M597" i="3"/>
  <c r="R597" i="3" s="1"/>
  <c r="M466" i="3"/>
  <c r="R466" i="3" s="1"/>
  <c r="M482" i="3"/>
  <c r="R482" i="3" s="1"/>
  <c r="M456" i="3"/>
  <c r="R456" i="3" s="1"/>
  <c r="E398" i="3"/>
  <c r="E317" i="3"/>
  <c r="I128" i="3"/>
  <c r="I129" i="3"/>
  <c r="I130" i="3"/>
  <c r="I131" i="3"/>
  <c r="I126" i="3"/>
  <c r="R604" i="3" l="1"/>
  <c r="R605" i="3" s="1"/>
  <c r="E30" i="3"/>
  <c r="I30" i="3" s="1"/>
  <c r="E29" i="3"/>
  <c r="I127" i="3" l="1"/>
  <c r="I125" i="3"/>
  <c r="E527" i="3"/>
  <c r="R632" i="3"/>
  <c r="R469" i="3"/>
  <c r="R486" i="3"/>
  <c r="E434" i="3"/>
  <c r="I228" i="3"/>
  <c r="I98" i="3"/>
  <c r="D211" i="3" s="1"/>
  <c r="H211" i="3" s="1"/>
  <c r="K88" i="3"/>
  <c r="K81" i="3"/>
  <c r="K80" i="3"/>
  <c r="I29" i="3"/>
  <c r="I33" i="3" s="1"/>
  <c r="E41" i="3"/>
  <c r="I133" i="3" l="1"/>
  <c r="D212" i="3" s="1"/>
  <c r="H212" i="3" s="1"/>
  <c r="D201" i="3"/>
  <c r="R477" i="3"/>
  <c r="K83" i="3"/>
  <c r="D209" i="3" s="1"/>
  <c r="H209" i="3" s="1"/>
  <c r="K90" i="3"/>
  <c r="D210" i="3" s="1"/>
  <c r="H210" i="3" s="1"/>
  <c r="E648" i="3" l="1"/>
  <c r="E333" i="3"/>
  <c r="E325" i="3"/>
  <c r="I21" i="3" l="1"/>
  <c r="E102" i="4"/>
  <c r="E95" i="4"/>
  <c r="E88" i="4"/>
  <c r="E80" i="4"/>
  <c r="E73" i="4"/>
  <c r="E66" i="4"/>
  <c r="E61" i="4"/>
  <c r="E56" i="4"/>
  <c r="E51" i="4"/>
  <c r="E46" i="4"/>
  <c r="E39" i="4"/>
  <c r="R461" i="3" l="1"/>
  <c r="H201" i="3" l="1"/>
  <c r="E38" i="1" l="1"/>
  <c r="K654" i="3"/>
  <c r="O654" i="3" s="1"/>
  <c r="K653" i="3"/>
  <c r="O653" i="3" s="1"/>
  <c r="E495" i="3"/>
  <c r="E411" i="3"/>
  <c r="I22" i="3"/>
  <c r="I24" i="3" s="1"/>
  <c r="O657" i="3" l="1"/>
  <c r="I551" i="3"/>
  <c r="E37" i="1"/>
  <c r="H200" i="3" l="1"/>
  <c r="H220" i="3" s="1"/>
  <c r="H222" i="3" l="1"/>
  <c r="E229" i="3" s="1"/>
  <c r="I229" i="3" s="1"/>
  <c r="I231" i="3" s="1"/>
</calcChain>
</file>

<file path=xl/sharedStrings.xml><?xml version="1.0" encoding="utf-8"?>
<sst xmlns="http://schemas.openxmlformats.org/spreadsheetml/2006/main" count="2091" uniqueCount="896">
  <si>
    <t>CORPO DE BOMBEIROS MILITAR DO ESTADO DE GOIÁS</t>
  </si>
  <si>
    <t>Comando de Apoio Logístico - CAL</t>
  </si>
  <si>
    <t>Departamento de Engenharia e Construção - DECON</t>
  </si>
  <si>
    <t>Local</t>
  </si>
  <si>
    <t>__________________________________________________________________</t>
  </si>
  <si>
    <t>Data</t>
  </si>
  <si>
    <t>Responsável Técnico</t>
  </si>
  <si>
    <t>TIPO DE OBRA</t>
  </si>
  <si>
    <t>Itens</t>
  </si>
  <si>
    <t>Siglas</t>
  </si>
  <si>
    <t>% Adotado</t>
  </si>
  <si>
    <t>CP</t>
  </si>
  <si>
    <t>Tributos (ISS, variável de acordo com o município)</t>
  </si>
  <si>
    <t>ISS</t>
  </si>
  <si>
    <t>CPRB</t>
  </si>
  <si>
    <t>BDI PAD</t>
  </si>
  <si>
    <t>BDI COM desoneração</t>
  </si>
  <si>
    <t>BDI DES</t>
  </si>
  <si>
    <t>Administração Central</t>
  </si>
  <si>
    <t>AC</t>
  </si>
  <si>
    <t>Seguro e Garantia</t>
  </si>
  <si>
    <t>R</t>
  </si>
  <si>
    <t>Despesas Financeiras</t>
  </si>
  <si>
    <t>DF</t>
  </si>
  <si>
    <t>Lucro</t>
  </si>
  <si>
    <t>L</t>
  </si>
  <si>
    <t>COMPOSIÇÃO DO BDI</t>
  </si>
  <si>
    <t>Construção e reforma de Edifícios</t>
  </si>
  <si>
    <t>Riscos</t>
  </si>
  <si>
    <t>Tributos (impostos COFINS 3% e PIS 0,65%)</t>
  </si>
  <si>
    <t>BDI SEM desoneração (Fórmula Acórdao TCU)</t>
  </si>
  <si>
    <t>Ana Carolina Caetano de Brito</t>
  </si>
  <si>
    <t>Considerações:</t>
  </si>
  <si>
    <t>S e G</t>
  </si>
  <si>
    <t>Vantajosidade para a Administração Pública</t>
  </si>
  <si>
    <t>REGIME DE CONTRIBUIÇÃO PREVIDENCIÁRIA</t>
  </si>
  <si>
    <t>BDI</t>
  </si>
  <si>
    <t>VALOR DA OBRA</t>
  </si>
  <si>
    <t>VALOR FINAL</t>
  </si>
  <si>
    <t>Sem desoneração</t>
  </si>
  <si>
    <t>Com desoneração</t>
  </si>
  <si>
    <t>Total &gt;&gt;&gt;</t>
  </si>
  <si>
    <t>Comprimento</t>
  </si>
  <si>
    <t>Ambiente</t>
  </si>
  <si>
    <t>Quantidade</t>
  </si>
  <si>
    <t>Área</t>
  </si>
  <si>
    <t>Placa de Inauguração</t>
  </si>
  <si>
    <t>PLACA DE INAUGURACAO ACO ESCOVADO 42X60 CM</t>
  </si>
  <si>
    <t>270809</t>
  </si>
  <si>
    <t>DIVERSOS</t>
  </si>
  <si>
    <t>=</t>
  </si>
  <si>
    <t>x</t>
  </si>
  <si>
    <t>Total</t>
  </si>
  <si>
    <t>Coef.</t>
  </si>
  <si>
    <t>Altura</t>
  </si>
  <si>
    <t>Esquadria</t>
  </si>
  <si>
    <t>Perímetro</t>
  </si>
  <si>
    <t>Lados</t>
  </si>
  <si>
    <t xml:space="preserve">Área </t>
  </si>
  <si>
    <t>Aberturas</t>
  </si>
  <si>
    <t>PINTURAS</t>
  </si>
  <si>
    <t>ADMINISTRAÇÃO</t>
  </si>
  <si>
    <t>REVESTIMENTO DE PISO</t>
  </si>
  <si>
    <t>210301</t>
  </si>
  <si>
    <t>210101</t>
  </si>
  <si>
    <t>FORRO</t>
  </si>
  <si>
    <t>REVESTIMENTO DE PAREDE</t>
  </si>
  <si>
    <t>VIDROS</t>
  </si>
  <si>
    <t>12.2.</t>
  </si>
  <si>
    <t>12.1.</t>
  </si>
  <si>
    <t>12.</t>
  </si>
  <si>
    <t>11.</t>
  </si>
  <si>
    <t>10.2.</t>
  </si>
  <si>
    <t>Área Total</t>
  </si>
  <si>
    <t>10.1.</t>
  </si>
  <si>
    <t xml:space="preserve">IMPERMEABILIZAÇÃO </t>
  </si>
  <si>
    <t>10.</t>
  </si>
  <si>
    <t>9.2.</t>
  </si>
  <si>
    <t>9.1.</t>
  </si>
  <si>
    <t>9.</t>
  </si>
  <si>
    <t>8.</t>
  </si>
  <si>
    <t>7.</t>
  </si>
  <si>
    <t>INSTALAÇÕES ELÉTRICAS/TELEFÔNICAS/CABEAMENTO ESTRUTURADO</t>
  </si>
  <si>
    <t>6.</t>
  </si>
  <si>
    <t>Volume Total</t>
  </si>
  <si>
    <t>Volume</t>
  </si>
  <si>
    <t>5.</t>
  </si>
  <si>
    <t>4.</t>
  </si>
  <si>
    <t>3.1.</t>
  </si>
  <si>
    <t>3.</t>
  </si>
  <si>
    <t>Volume Total + Empolamento &gt;&gt;&gt;</t>
  </si>
  <si>
    <t>Pocentagem de Empolamento &gt;&gt;&gt;</t>
  </si>
  <si>
    <t>Volume Total  &gt;&gt;&gt;</t>
  </si>
  <si>
    <t>*Considerados todos os serviços provenientes da obra, sendo inclusos a carga manual do entulho até caçamba estacionária.</t>
  </si>
  <si>
    <t>Porcentagem</t>
  </si>
  <si>
    <t>TRANSPORTE DE ENTULHO EM CAÇAMBA ESTACIONÁRIA  INCLUSO A CARGA MANUAL</t>
  </si>
  <si>
    <t>2.1.</t>
  </si>
  <si>
    <t>TRANSPORTES</t>
  </si>
  <si>
    <t>2.</t>
  </si>
  <si>
    <t>1.2.</t>
  </si>
  <si>
    <t>1.11.</t>
  </si>
  <si>
    <t>1.10.</t>
  </si>
  <si>
    <t>1.9.</t>
  </si>
  <si>
    <t>1.8.</t>
  </si>
  <si>
    <t>1.7.</t>
  </si>
  <si>
    <t>1.6.</t>
  </si>
  <si>
    <t>1.5.</t>
  </si>
  <si>
    <t>1.4.</t>
  </si>
  <si>
    <t>1.3.</t>
  </si>
  <si>
    <t>&gt;&gt;&gt;</t>
  </si>
  <si>
    <t>Placa do CREA/GO: obras novas  &gt;&gt;&gt;&gt;</t>
  </si>
  <si>
    <t>Compr</t>
  </si>
  <si>
    <t>1.1.</t>
  </si>
  <si>
    <t>SERVIÇOS PRELIMINARES</t>
  </si>
  <si>
    <t>1.</t>
  </si>
  <si>
    <t>MEMORIAL DE CÁLCULO ANALÍTICO - CAPILARIDADES</t>
  </si>
  <si>
    <t>Corpo de Bombeiros Militar do Estado de Goiás - CBMGO</t>
  </si>
  <si>
    <t xml:space="preserve"> ESTADO DE GOIÁS</t>
  </si>
  <si>
    <t>3- Em caso de não se incluírem valores, que seja brevemente apresentada a devida justificativa, na própria tabela;</t>
  </si>
  <si>
    <t>2- Para obtenção do resultado da pesquisa de preços, não poderão ser considerados os inexequíveis ou excessivamente elevados, não constando no valor médio;</t>
  </si>
  <si>
    <r>
      <t xml:space="preserve">1- O resultado da estimativa de preços será composta pela </t>
    </r>
    <r>
      <rPr>
        <u/>
        <sz val="8"/>
        <rFont val="Arial"/>
        <family val="2"/>
      </rPr>
      <t>média</t>
    </r>
    <r>
      <rPr>
        <sz val="8"/>
        <rFont val="Arial"/>
        <family val="2"/>
      </rPr>
      <t xml:space="preserve"> de todos preços obtidos;</t>
    </r>
  </si>
  <si>
    <t>Orientações gerais:</t>
  </si>
  <si>
    <t>E010</t>
  </si>
  <si>
    <t>E009</t>
  </si>
  <si>
    <t>Data da Cotação</t>
  </si>
  <si>
    <t>Cotações</t>
  </si>
  <si>
    <t>Nome da Empresa</t>
  </si>
  <si>
    <t>Empresa</t>
  </si>
  <si>
    <t xml:space="preserve">UN </t>
  </si>
  <si>
    <t>Cotação</t>
  </si>
  <si>
    <t>UNIDADE</t>
  </si>
  <si>
    <t>MÉDIA</t>
  </si>
  <si>
    <t>DESCRIÇÃO</t>
  </si>
  <si>
    <t>CÓDIGO</t>
  </si>
  <si>
    <t>FONTE</t>
  </si>
  <si>
    <t>E005</t>
  </si>
  <si>
    <t>E004</t>
  </si>
  <si>
    <t>E008</t>
  </si>
  <si>
    <t>E007</t>
  </si>
  <si>
    <t>E006</t>
  </si>
  <si>
    <t>E003</t>
  </si>
  <si>
    <t>E002</t>
  </si>
  <si>
    <t>E001</t>
  </si>
  <si>
    <t>COTAÇÕES:</t>
  </si>
  <si>
    <t>CONTATO</t>
  </si>
  <si>
    <t>FONE</t>
  </si>
  <si>
    <t>NOME</t>
  </si>
  <si>
    <t>CNPJ</t>
  </si>
  <si>
    <t>EMPRESA</t>
  </si>
  <si>
    <t>EMPRESAS FORNECEDORAS:</t>
  </si>
  <si>
    <t>COTAÇÕES</t>
  </si>
  <si>
    <t>Valor Unit</t>
  </si>
  <si>
    <t>Quant.</t>
  </si>
  <si>
    <t>Und</t>
  </si>
  <si>
    <t>Descrição</t>
  </si>
  <si>
    <t>Banco</t>
  </si>
  <si>
    <t>Código</t>
  </si>
  <si>
    <t xml:space="preserve">COMPOSIÇÕES PRÓPRIAS </t>
  </si>
  <si>
    <t>PINTURA</t>
  </si>
  <si>
    <t xml:space="preserve"> 12 </t>
  </si>
  <si>
    <t xml:space="preserve"> 11 </t>
  </si>
  <si>
    <t>IMPERMEABILIZAÇÃO</t>
  </si>
  <si>
    <t xml:space="preserve"> 10 </t>
  </si>
  <si>
    <t xml:space="preserve"> 9 </t>
  </si>
  <si>
    <t xml:space="preserve"> 8 </t>
  </si>
  <si>
    <t>INSTALAÇÕES HIDROSSANITÁRIAS</t>
  </si>
  <si>
    <t xml:space="preserve"> 7 </t>
  </si>
  <si>
    <t xml:space="preserve"> 6 </t>
  </si>
  <si>
    <t xml:space="preserve"> 5 </t>
  </si>
  <si>
    <t xml:space="preserve"> 4 </t>
  </si>
  <si>
    <t xml:space="preserve"> 3 </t>
  </si>
  <si>
    <t xml:space="preserve"> 2 </t>
  </si>
  <si>
    <t xml:space="preserve"> 1 </t>
  </si>
  <si>
    <t>Valor Unit com BDI</t>
  </si>
  <si>
    <t>Item</t>
  </si>
  <si>
    <t xml:space="preserve">PLANILHA ORÇAMENTÁRIA </t>
  </si>
  <si>
    <t>Custo Acumulado</t>
  </si>
  <si>
    <t>Porcentagem Acumulado</t>
  </si>
  <si>
    <t>Custo</t>
  </si>
  <si>
    <t>60 DIAS</t>
  </si>
  <si>
    <t>30 DIAS</t>
  </si>
  <si>
    <t>Total Por Etapa</t>
  </si>
  <si>
    <t xml:space="preserve">CRONOGRAMA FÍSICO FINANCEIRO </t>
  </si>
  <si>
    <t>1) A fórmula para estipulação da taxa de BDI estimado adotado é a mesma que foi aplicada para a obtenção das tabelas contidas no Acórdão n. 2.622/2013 – TCU- Plenário. Onde:</t>
  </si>
  <si>
    <t>Eng. Civil - CREA 1019512075 D-GO</t>
  </si>
  <si>
    <t>2) Atendendo o Acórdão n. 2.622/2013 - TCU Plenário e a Portaria n. 449/2015 PR-AGETOP, a tabela apresenta o cálculo do BDI onerado e desonerado, seguindo os índices apresentados em "Demonstrativo dos BDI's de Obras Civis da GOINFRA" mais atual disponibilizado no site.</t>
  </si>
  <si>
    <t>01.582.892/0001-49</t>
  </si>
  <si>
    <t>PRESSURIZADOR PARA SISTEMA HIDRÁULICO 220V PL20, VAZÃO 2,2 A 45 l/MIN, CONEXÃO HIDRÁULICA 1"</t>
  </si>
  <si>
    <t>MÉRITO COMERCIAL (https://www.meritocomercial.com.br/pressurizador-pl20-lorenzetti-monofasico-220v-ate-2-banheiros-20910234006-p1020516?tsid=75&amp;gad=1&amp;gclid=EAIaIQobChMIttPrqK2x_wIVczfUAR0VlgqKEAQYASABEgJQnPD_BwE)</t>
  </si>
  <si>
    <t>ROMA BMN (https://www.lojaroma.com.br/produto/pressurizador-de-agua-pl-20-220v-lorenzetti-70541?utm_source=&amp;utm_medium=&amp;utm_campaign=&amp;gclid=EAIaIQobChMIttPrqK2x_wIVczfUAR0VlgqKEAQYBSABEgKY0PD_BwE)</t>
  </si>
  <si>
    <t>PAINEL TERMOISOLANTE LISO FACHADA, PIR, 50MM, AÇO GALVANIZADO, RAL 9006/9003, 0,5X0,43</t>
  </si>
  <si>
    <t>M2</t>
  </si>
  <si>
    <t>KINGSPAN - ISOESTE CONSTRUTIVOS ISOTÉRMICOS S/A (Proposta Comercial em Anexo)</t>
  </si>
  <si>
    <t>ELABORAÇÃO DE PROJETO EXECUTIVO PARA INSTALAÇÃO DE PAINEL TERMOISOLANTE</t>
  </si>
  <si>
    <t xml:space="preserve">	00.289.348/0007-36</t>
  </si>
  <si>
    <t>KINGSPAN - ISOESTE CONSTRUTIVOS ISOTÉRMICOS S/A</t>
  </si>
  <si>
    <t>Link no produto</t>
  </si>
  <si>
    <t>MÉRITO COMÉRCIO DE EQUIPAMENTOS LTDA</t>
  </si>
  <si>
    <t>(11) 3005-7600</t>
  </si>
  <si>
    <t>26.443.804/0003-10</t>
  </si>
  <si>
    <t>LIVEN SR ACABAMENTOS E MATERIAIS PARA CONSTRUÇÃO LTDA</t>
  </si>
  <si>
    <t>(61) 4042-7050</t>
  </si>
  <si>
    <t>18.007.018/0002-61</t>
  </si>
  <si>
    <t>ROMA BMN COMÉRCIO DE MATERIAIS ELÉTRICOS, HIDRÁULICOS E IMPORTAÇÃO</t>
  </si>
  <si>
    <t>(19) 2223-9000</t>
  </si>
  <si>
    <t>2.2.</t>
  </si>
  <si>
    <t>Distância</t>
  </si>
  <si>
    <t>Estimativa</t>
  </si>
  <si>
    <t>Estimado &gt;&gt;&gt;</t>
  </si>
  <si>
    <t>111219 SBC</t>
  </si>
  <si>
    <t>Goiânia/GO</t>
  </si>
  <si>
    <t>E011</t>
  </si>
  <si>
    <t>17.354.683/0001-88</t>
  </si>
  <si>
    <t>UPPERSEG</t>
  </si>
  <si>
    <t>(43) 3024-5144</t>
  </si>
  <si>
    <t>E012</t>
  </si>
  <si>
    <t>13.401.064/0001-46</t>
  </si>
  <si>
    <t>MUNDO ELETRIC</t>
  </si>
  <si>
    <t>(47) 3399-0347</t>
  </si>
  <si>
    <t>E013</t>
  </si>
  <si>
    <t>E014</t>
  </si>
  <si>
    <t>68.422.419/0001-75</t>
  </si>
  <si>
    <t>PALÁCIO DAS FERRAMENTAS</t>
  </si>
  <si>
    <t>(11) 3014-4966</t>
  </si>
  <si>
    <t>E015</t>
  </si>
  <si>
    <t>14.190.675/0001-55</t>
  </si>
  <si>
    <t>DENTAL CREMER</t>
  </si>
  <si>
    <t>0800 727 7565</t>
  </si>
  <si>
    <t>E016</t>
  </si>
  <si>
    <t>17.281.973/0013-82</t>
  </si>
  <si>
    <t>COFERMETA</t>
  </si>
  <si>
    <t xml:space="preserve"> (31) 3595-5757</t>
  </si>
  <si>
    <t>UPPERSEG (https://www.upperseg.com.br/cftv/acessorios/caixas-de-instalacao-e-conectores/caixa-plastica-protecao-para-conectores-cftv-intelbras-vbox-1100-e/?gclid=EAIaIQobChMIm8aDla7a_wIVA2GRCh18VwaFEAQYAiABEgJ34fD_BwE)</t>
  </si>
  <si>
    <t>MUNDO ELETRIC (https://www.mundoeletric.com.br/caixa-plastica-1-furo-22mm-ip66-sem-botao?utm_source=google&amp;utm_medium=Shopping&amp;utm_campaign=caixa-plastica-1-furo-22mm-ip66-sem-botao&amp;inStock=&amp;srsltid=AR57-fB-Sw9uBw0Y7o8f7FJRKFeREp6JN0KM5ERUCaf1MXOPEQpZIMR5GI8)</t>
  </si>
  <si>
    <t>LIQUIDO REVELADOR NÃO AQUOSO, METAL CHECK D70 OU EQUIVALENTE</t>
  </si>
  <si>
    <t>PALÁCIO DAS FERRAMENTAS (https://palaciodasferramentas.com.br/oleo-revelador-de-trincas-d-70-spray-aerosol-230-gr-n-o-aquoso-metal-chek?gclid=EAIaIQobChMIt5rirpvm_wIVFjyRCh0Stw99EAQYASABEgJRbfD_BwE)</t>
  </si>
  <si>
    <t>DENTAL CREMER (https://www.dentalcremer.com.br/spray-p-scan-d70-revelador-de-trincas-230g-metal-chek-965056.html?gclid=EAIaIQobChMIt5rirpvm_wIVFjyRCh0Stw99EAQYAiABEgIcYvD_BwE)</t>
  </si>
  <si>
    <t>COFERMETA (https://www.cofermeta.com.br/adesivos-e-quimicos/quimicos-gerais/liquido-revelador-nao-aquoso-d-70hi-metal-chek?parceiro=9290&amp;parceiro=1319&amp;gad=1&amp;gclid=EAIaIQobChMIt5rirpvm_wIVFjyRCh0Stw99EAQYBSABEgIpSvD_BwE)</t>
  </si>
  <si>
    <t>E017</t>
  </si>
  <si>
    <t>E018</t>
  </si>
  <si>
    <t>16.726.508/0001-01</t>
  </si>
  <si>
    <t>JOY DIGITAL COMUNICAÇÃO VISUAL</t>
  </si>
  <si>
    <t>(62) 3255-3177</t>
  </si>
  <si>
    <t>Wagner - Proposta Comercial</t>
  </si>
  <si>
    <t>TOTEM PADRÃO CBMGO, 3,00 M DE ALTURA, DIMENSÕES DE 75X15CM, REVESTIDO EM CHAPA GALVANIZADA, ADESIVADO, APOIADO SOBRE CHAPA METÁLICA E BASE EM CONCRETO FIXADO COM HASTES ROSCADAS</t>
  </si>
  <si>
    <t>JOY DIGITAL (Proposta Comercial em Anexo)</t>
  </si>
  <si>
    <t>4- A pesquisa de mercado foi obtida seguindo as orientações do Decreto Estadual nº 9.900/2021 do Estado de Goiás;</t>
  </si>
  <si>
    <t>Total sem BDI</t>
  </si>
  <si>
    <t>Total do BDI</t>
  </si>
  <si>
    <t>Total Geral</t>
  </si>
  <si>
    <t>TUDO FORTE (https://www.tudoforte.com.br/caixa-organizadora-intelbras-de-plugs-e-passagem-de-cabo-para-cftv-vbox-1100e-externa-ip66?parceiro=6347&amp;srsltid=AfmBOopo7zPvy0VTRJPKGapip7FBGOp4skPq-s4RQRQGEtLA9fqF8Yf711Y)</t>
  </si>
  <si>
    <t xml:space="preserve">ART </t>
  </si>
  <si>
    <t>17.666.002/0001-17</t>
  </si>
  <si>
    <t>TUDO FORTE</t>
  </si>
  <si>
    <t>(11) 3522-8255</t>
  </si>
  <si>
    <t>(62) 99613-8606</t>
  </si>
  <si>
    <t>PERFIL ESPECIAL METÁLICO, RAL 3000/PRIMER, 0,65 MM</t>
  </si>
  <si>
    <t>ACESSÓRIOS PARA MONTAGEM DE PAINÉIS PRÉ-PINTADOS FACHADA - ACABAMENTOS, FIXAÇÃO E EMENDAS</t>
  </si>
  <si>
    <t>Quinta Feira, 20 de março de 2024</t>
  </si>
  <si>
    <t>Olívia - Proposta Comercial</t>
  </si>
  <si>
    <t>27.798.232/0001-93</t>
  </si>
  <si>
    <t>FGL LUMINOSOS</t>
  </si>
  <si>
    <t>(62) 3294-0852</t>
  </si>
  <si>
    <t>Fernanda - Proposta Comercial</t>
  </si>
  <si>
    <t>46.075.054/0001-17</t>
  </si>
  <si>
    <t>NITIDEZ COMUNICAÇÃO VISUAL</t>
  </si>
  <si>
    <t>(62) 3206-7025</t>
  </si>
  <si>
    <t>Marco Aurélio - Proposta Comercial</t>
  </si>
  <si>
    <t>76.429.745/0001-32</t>
  </si>
  <si>
    <t>COPROMETAL</t>
  </si>
  <si>
    <t>(45) 3223-2322</t>
  </si>
  <si>
    <t>08.717.821/0001-55</t>
  </si>
  <si>
    <t xml:space="preserve">ARTEINOXX </t>
  </si>
  <si>
    <t>(41)  30798866</t>
  </si>
  <si>
    <t>14.707.720/0001-40</t>
  </si>
  <si>
    <t>CONEXÃO DIGITAL</t>
  </si>
  <si>
    <t>(62) 3203-5402</t>
  </si>
  <si>
    <t>Fernando - Proposta Comercial</t>
  </si>
  <si>
    <t>27.870.143/0001-00</t>
  </si>
  <si>
    <t>BARBOSA UTENSÍLIOS</t>
  </si>
  <si>
    <t>(45) 99958-8380</t>
  </si>
  <si>
    <t>38.542.718/0052-22</t>
  </si>
  <si>
    <t>ABC DA CONSTRUÇÃO</t>
  </si>
  <si>
    <t>0800 887 1526</t>
  </si>
  <si>
    <t>E019</t>
  </si>
  <si>
    <t>01.438.784/0001-05</t>
  </si>
  <si>
    <t>LEROY MERLIN</t>
  </si>
  <si>
    <t>4007-1380</t>
  </si>
  <si>
    <t>E020</t>
  </si>
  <si>
    <t>35.630.349/0001-91</t>
  </si>
  <si>
    <t>COPALUX</t>
  </si>
  <si>
    <t>(47) 99782-1938</t>
  </si>
  <si>
    <t>E021</t>
  </si>
  <si>
    <t>10.490.181/0001-35</t>
  </si>
  <si>
    <t>MADEIRA MADEIRA</t>
  </si>
  <si>
    <t>0800 080 0099</t>
  </si>
  <si>
    <t>LIVEN SR ACABAMENTOS E MATERIAIS (https://www.livencasa.com/pressurizador-pl20-preto-vermelho-220v-lorenzetti)</t>
  </si>
  <si>
    <t xml:space="preserve">CAIXA PLÁSTICA VEDADA IP66 PARA CFTV </t>
  </si>
  <si>
    <t>FGL LUMINOSOS (Proposta Comercial em Anexo)</t>
  </si>
  <si>
    <t>NITIDEZ (Proposta Comercial em Anexo)</t>
  </si>
  <si>
    <t>CONEXÃO DIGITAL (Proposta Comercial em Anexo)</t>
  </si>
  <si>
    <t>LIXEIRA EXTERNA TIPO CONTAINER, DIMENSÕES DE 100X50, DOIS COMPARTIMENTOS - LIXO RECICLÁVEL E LIXO ORGÂNICO, EM AÇO, 375 LITROS, COR PRETA</t>
  </si>
  <si>
    <t>BARBOSA UTENSÍLIOS (https://www.barbosautensiliosexternos.com.br/MLB-2015694616-lixeira-externa-container-100x50-375litros-_JM?variation=176373906464#reco_item_pos=0&amp;reco_backend=seller_shops_odin&amp;reco_backend_type=function&amp;reco_client=vip-seller_items_above-shops&amp;reco_id=a3a83503-238e-4be4-ad0b-2d1144782d55&amp;reco_model=seller)</t>
  </si>
  <si>
    <t>COPROMETAL (https://www.coprometal.com.br/produtos/lixeira-externa-de-rua-fechada-dupla-com-tampa-container-capacidade-375-litros/?srsltid=AfmBOooxOLTtIBWzy3sdtv_LVH_Yp51SiWOuEvhOzRlPHAEaQRPPeIHq)</t>
  </si>
  <si>
    <t>ARTEINOX ( https://www.arteinoxx.com.br/p-8496750-Lixeira-Container-Dupla-100x50x90cm)</t>
  </si>
  <si>
    <t>TORNEIRA DE PAREDE EM ESFERA PARA MÁQUINA DE LAVAR MULTIUSO CROMADA 1/2" OU 3/4"</t>
  </si>
  <si>
    <t>ABC DA CONSTRUÇÃO (https://www.abcdaconstrucao.com.br/produto/torneira-esfera-para-maquina-de-lavar-cromada-docol-74627?keyword=&amp;creative=675549318870&amp;gad_source=1&amp;gclid=Cj0KCQjwqIm_BhDnARIsAKBYcmtwQrlnK2_qOyLrbdh9-GVRncNZonxp87_3SzxXT6pETcycMvHGWbwaAjZEEALw_wcB)</t>
  </si>
  <si>
    <t>LEROY MERLIN (https://www.leroymerlin.com.br/torneira-de-parede-para-maquina-de-lavar-com-bica-baixa-cromada-multiuso-docol_89273590?region=outros&amp;gad_source=1&amp;gclid=Cj0KCQjwqIm_BhDnARIsAKBYcmu1cKlZOPiUeHdw4qLz3cuSYFOHVxZ7_TCa85bW-hfbH68T7ZlvMkQaAs3VEALw_wcB)</t>
  </si>
  <si>
    <t>COPALUX (https://www.copalux.com.br/torneira-para-maquina-de-lavar-multiuso-docol-784006-de-parede-cromada)</t>
  </si>
  <si>
    <t>ADAPTADOR DE SAIDA PARA MÁQUINA DE LAVAR ROUPA 38/40MM</t>
  </si>
  <si>
    <t>ABC DA CONSTRUÇÃO (https://www.abcdaconstrucao.com.br/produto/adaptador-para-maquina-de-lavar-roupas-e-loucas-1-e-3-4-amanco-109393)</t>
  </si>
  <si>
    <t>LEROY MERLIN (https://www.leroymerlin.com.br/adaptador-de-despejo-para-maquina-de-lavar-tigre_88008830?store_code=18&amp;gad_source=1&amp;gad_campaignid=18330975033&amp;gbraid=0AAAAADkzLZ5FeNQs-ZKDYZAkPJJs1TLkR&amp;gclid=Cj0KCQjwoZbBBhDCARIsAOqMEZVA37cqF4PkikWCiFOCxPZZJn5bbVzfv_rsKN7zp5JpBZ82hawE7f0aAosCEALw_wcB)</t>
  </si>
  <si>
    <t>MADEIRA MADEIRA (https://www.madeiramadeira.com.br/adaptador-para-maquina-de-lavar-roupa-26913519-tigre-962244857.html?origem=pla-962244857&amp;utm_source=google&amp;utm_medium=cpc&amp;utm_content=adaptadores-de-tomada-4155&amp;utm_term=&amp;utm_id=22497754958&amp;gad_source=4&amp;gad_campaignid=22497754958&amp;gbraid=0AAAAADr4g_HoSo2duIr6PLDUAS3isPGns&amp;gclid=Cj0KCQjwoZbBBhDCARIsAOqMEZU5EWSzFg0iXlruUk3A4BdEVkZJO4DFYAk76HiWbDL3Q9wP1vnLRZsaAuNQEALw_wcB)</t>
  </si>
  <si>
    <t>5- Os itens com código 34, 35, 44 e 27, por serem itens significativos da parte A da curva ABC de insumos da obra, apresentam proposta formal em anexo. Os itens não apresentam três cotações pois devido as especificidades locais e de projeto, apenas algumas empresas tiveram interesse em responder a proposta formal com a cotação dos produtos e nem todas as propostas apresentadas atendem as especificações de projeto. Encontram-se anexadas as tentativas de contato e as demais propostas comerciais não utilizadas por não atenderem as especificações do projeto.</t>
  </si>
  <si>
    <r>
      <rPr>
        <b/>
        <sz val="8"/>
        <rFont val="Arial"/>
        <family val="2"/>
      </rPr>
      <t>ENCARGOS SOCIAIS</t>
    </r>
    <r>
      <rPr>
        <sz val="8"/>
        <rFont val="Arial"/>
        <family val="2"/>
      </rPr>
      <t>: Não desonerado - Horista:  117,37% Mensalista:  74,19%</t>
    </r>
  </si>
  <si>
    <t>4.1.</t>
  </si>
  <si>
    <t>4.2.</t>
  </si>
  <si>
    <t>5.1.</t>
  </si>
  <si>
    <t>Largura</t>
  </si>
  <si>
    <t>5.2.</t>
  </si>
  <si>
    <t>150071 SBC</t>
  </si>
  <si>
    <t>ESPELHO EM CRISTAL INCOLOR 5mm APLICADO EM PAREDES</t>
  </si>
  <si>
    <t>Secretaria de Segurança Pública – SSP</t>
  </si>
  <si>
    <r>
      <rPr>
        <b/>
        <sz val="8"/>
        <rFont val="Arial"/>
        <family val="2"/>
      </rPr>
      <t>BDI SERVIÇOS</t>
    </r>
    <r>
      <rPr>
        <sz val="8"/>
        <rFont val="Arial"/>
        <family val="2"/>
      </rPr>
      <t>: 25,07%</t>
    </r>
  </si>
  <si>
    <r>
      <t xml:space="preserve">OBRA: </t>
    </r>
    <r>
      <rPr>
        <sz val="8"/>
        <color indexed="8"/>
        <rFont val="Calibri"/>
        <family val="2"/>
      </rPr>
      <t>Manutenção Predial dos Alojamentos Masculinos Operacional e de Trânsito do BOPAR</t>
    </r>
  </si>
  <si>
    <r>
      <t xml:space="preserve">ENDEREÇO: </t>
    </r>
    <r>
      <rPr>
        <sz val="8"/>
        <color theme="1"/>
        <rFont val="Calibri"/>
        <family val="2"/>
        <scheme val="minor"/>
      </rPr>
      <t>Rua 66, nº 253, Setor Central, Goiânia - GO</t>
    </r>
  </si>
  <si>
    <r>
      <t xml:space="preserve">OBRA: </t>
    </r>
    <r>
      <rPr>
        <sz val="8"/>
        <rFont val="Arial"/>
        <family val="2"/>
      </rPr>
      <t>Manutenção Predial dos Alojamentos Masculinos Operacional e de Trânsito do BOPAR</t>
    </r>
  </si>
  <si>
    <r>
      <rPr>
        <b/>
        <sz val="8"/>
        <rFont val="Arial"/>
        <family val="2"/>
      </rPr>
      <t xml:space="preserve">OBRA: </t>
    </r>
    <r>
      <rPr>
        <sz val="8"/>
        <rFont val="Arial"/>
        <family val="2"/>
      </rPr>
      <t>Manutenção Predial dos Alojamentos Masculinos Operacional e de Trânsito do BOPAR</t>
    </r>
  </si>
  <si>
    <r>
      <rPr>
        <b/>
        <sz val="8"/>
        <rFont val="Arial"/>
        <family val="2"/>
      </rPr>
      <t>OBRA:</t>
    </r>
    <r>
      <rPr>
        <sz val="8"/>
        <rFont val="Arial"/>
        <family val="2"/>
      </rPr>
      <t xml:space="preserve">  Manutenção Predial dos Alojamentos Masculinos Operacional e de Trânsito do BOPAR</t>
    </r>
  </si>
  <si>
    <r>
      <rPr>
        <b/>
        <sz val="8"/>
        <rFont val="Arial"/>
        <family val="2"/>
      </rPr>
      <t xml:space="preserve">ENDEREÇO: </t>
    </r>
    <r>
      <rPr>
        <sz val="8"/>
        <rFont val="Arial"/>
        <family val="2"/>
      </rPr>
      <t xml:space="preserve"> Rua 66, nº 253, Setor Central, Goiânia - GO</t>
    </r>
  </si>
  <si>
    <r>
      <t xml:space="preserve">ENDEREÇO: </t>
    </r>
    <r>
      <rPr>
        <sz val="8"/>
        <rFont val="Arial"/>
        <family val="2"/>
      </rPr>
      <t xml:space="preserve"> Rua 66, nº 253, Setor Central, Goiânia - GO</t>
    </r>
  </si>
  <si>
    <r>
      <rPr>
        <b/>
        <sz val="8"/>
        <rFont val="Arial"/>
        <family val="2"/>
      </rPr>
      <t>ENDEREÇO:</t>
    </r>
    <r>
      <rPr>
        <sz val="8"/>
        <rFont val="Arial"/>
        <family val="2"/>
      </rPr>
      <t xml:space="preserve">  Rua 66, nº 253, Setor Central, Goiânia - GO</t>
    </r>
  </si>
  <si>
    <r>
      <rPr>
        <b/>
        <sz val="8"/>
        <rFont val="Arial"/>
        <family val="2"/>
      </rPr>
      <t>DATA BASE:</t>
    </r>
    <r>
      <rPr>
        <sz val="8"/>
        <rFont val="Arial"/>
        <family val="2"/>
      </rPr>
      <t xml:space="preserve"> SINAPI 06/2025 Goiás, SBC 06/2025 GNA-Goiânia, GOINFRA 04/2025</t>
    </r>
  </si>
  <si>
    <t>ÁREA DE INTERVENÇÃO: m²</t>
  </si>
  <si>
    <t>FORNECIMENTO E INSTALAÇÃO DE PLACA DE OBRA COM CHAPA GALVANIZADA E ESTRUTURA DE MADEIRA. AF_03/2022_PS</t>
  </si>
  <si>
    <t>Placa de Obra - Transferências Voluntárias &gt;&gt;&gt;&gt;</t>
  </si>
  <si>
    <t>DEMOLIÇÃO DE REVESTIMENTO CERÂMICO, DE FORMA MANUAL, SEM REAPROVEITAMENTO. AF_09/2023</t>
  </si>
  <si>
    <t>REMOÇÃO DE LOUÇAS, DE FORMA MANUAL, SEM REAPROVEITAMENTO. AF_09/2023</t>
  </si>
  <si>
    <t>REMOÇÃO DE METAIS SANITÁRIOS, DE FORMA MANUAL, SEM REAPROVEITAMENTO. AF_09/2023</t>
  </si>
  <si>
    <t>REMOÇÃO DE LUMINÁRIAS, DE FORMA MANUAL, SEM REAPROVEITAMENTO. AF_09/2023</t>
  </si>
  <si>
    <t>REMOÇÃO DE PORTAS, DE FORMA MANUAL, SEM REAPROVEITAMENTO. AF_09/2023</t>
  </si>
  <si>
    <t>DEMOLIÇÃO DE ALVENARIA PARA QUALQUER TIPO DE BLOCO, DE FORMA MECANIZADA, SEM REAPROVEITAMENTO. AF_09/2023</t>
  </si>
  <si>
    <t>20121 GOINFRA</t>
  </si>
  <si>
    <t>DEMOLIÇÃO MANUAL EM CONCRETO SIMPLES COM TRANSPORTE ATÉ CAÇAMBA E CARGA</t>
  </si>
  <si>
    <t>20106 GOINFRA</t>
  </si>
  <si>
    <t>REMOÇÃO MANUAL DE JANELA OU PORTAL COM TRANSPORTE ATÉ CAÇAMBA E CARGA</t>
  </si>
  <si>
    <t>REVISAO INSTALACAO ESGOTO PRIMARIO PVC</t>
  </si>
  <si>
    <t xml:space="preserve">	
REVISAO DE INSTALACAO ELETRICA EM LUMINARIAS</t>
  </si>
  <si>
    <t>23552 SBC</t>
  </si>
  <si>
    <t>4) Declaro para os devidos fins que, conforme a Legislação Tributária Municipal de Goiânia, a respectiva alíquota é de ISS é 5%. A base de cálculo é adotada conforme o entendimento do STJ e a orientação da PGR no Despacho nº 155/2024/GAB.</t>
  </si>
  <si>
    <t>**Adotado um ínidice de 7% da área de intervenção para entulhos gerados pelos serviços.</t>
  </si>
  <si>
    <t>*** Considerado um coeficiente de emploamento do material em 30,00% geral</t>
  </si>
  <si>
    <t>Porcentagem/Espessura</t>
  </si>
  <si>
    <t xml:space="preserve"> 030105 GOINFRA</t>
  </si>
  <si>
    <t>TRANSPORTE COM CAMINHÃO BASCULANTE DE 6 M³, EM VIA URBANA PAVIMENTADA, DMT ATÉ 30 KM (UNIDADE: M3XKM). AF_07/2020</t>
  </si>
  <si>
    <t>Equipamentos - carga</t>
  </si>
  <si>
    <t>Entulhos ao bota fora</t>
  </si>
  <si>
    <t xml:space="preserve">	
LUMINÁRIA TIPO PLAFON QUADRADA, DE SOBREPOR, COM LED DE 24 W - FORNECIMENTO E INSTALAÇÃO. AF_09/2024</t>
  </si>
  <si>
    <t>TORNEIRA CROMADA DE MESA, 1/2" OU 3/4", PARA LAVATÓRIO, PADRÃO MÉDIO - FORNECIMENTO E INSTALAÇÃO. AF_01/2020</t>
  </si>
  <si>
    <t>86915</t>
  </si>
  <si>
    <t>VASO SANITÁRIO SIFONADO COM CAIXA ACOPLADA LOUÇA BRANCA - PADRÃO MÉDIO, INCLUSO ENGATE FLEXÍVEL EM METAL CROMADO, 1/2 X 40CM - FORNECIMENTO E INSTALAÇÃO. AF_01/2020</t>
  </si>
  <si>
    <t>86932</t>
  </si>
  <si>
    <t>ASSENTO SANITÁRIO CONVENCIONAL - FORNECIMENTO E INSTALACAO. AF_01/2020</t>
  </si>
  <si>
    <t>100849</t>
  </si>
  <si>
    <t>4.3.</t>
  </si>
  <si>
    <t>4.4.</t>
  </si>
  <si>
    <t>6.1.</t>
  </si>
  <si>
    <t>6.2.</t>
  </si>
  <si>
    <t>KIT DE PORTA DE MADEIRA PARA VERNIZ, SEMI-OCA (LEVE OU MÉDIA), PADRÃO MÉDIO, 80X210CM, ESPESSURA DE 3,5CM, ITENS INCLUSOS: DOBRADIÇAS, MONTAGEM E INSTALAÇÃO DE BATENTE, FECHADURA COM EXECUÇÃO DO FURO - FORNECIMENTO E INSTALAÇÃO. AF_12/2019</t>
  </si>
  <si>
    <t>100683</t>
  </si>
  <si>
    <t>ESQUADRIAS E FERRAGENS</t>
  </si>
  <si>
    <t>6.3.</t>
  </si>
  <si>
    <t>FECHADURA DE EMBUTIR PARA PORTAS INTERNAS, COMPLETA, ACABAMENTO PADRÃO POPULAR, COM EXECUÇÃO DE FURO - FORNECIMENTO E INSTALAÇÃO. AF_12/2019</t>
  </si>
  <si>
    <t>91307</t>
  </si>
  <si>
    <t>PORTINHOLA (POSTIGO) DE ALUMINIO ABRIR 0,60x0,60m</t>
  </si>
  <si>
    <t>7.1.</t>
  </si>
  <si>
    <t>7.2.</t>
  </si>
  <si>
    <t>7.3.</t>
  </si>
  <si>
    <t>EMBOÇO, EM ARGAMASSA TRAÇO 1:2:8, PREPARO MANUAL, APLICADO MANUALMENTE EM PAREDES INTERNAS DE AMBIENTES COM ÁREA MAIOR QUE 10M², E = 10MM, COM TALISCAS. AF_03/2024</t>
  </si>
  <si>
    <t>REVESTIMENTO CERÂMICO PARA PAREDES INTERNAS COM PLACAS TIPO ESMALTADA DE DIMENSÕES 33X45 CM APLICADAS NA ALTURA INTEIRA DAS PAREDES. AF_02/2023_PE</t>
  </si>
  <si>
    <t>87905</t>
  </si>
  <si>
    <t>87554</t>
  </si>
  <si>
    <t>87273</t>
  </si>
  <si>
    <t>8.1.</t>
  </si>
  <si>
    <t>8.2.</t>
  </si>
  <si>
    <t>CHAPISCO APLICADO NO TETO OU EM ALVENARIA E ESTRUTURA, COM ROLO PARA TEXTURA ACRÍLICA. ARGAMASSA INDUSTRIALIZADA COM PREPARO MANUAL. AF_10/2022</t>
  </si>
  <si>
    <t>MASSA ÚNICA, EM ARGAMASSA TRAÇO 1:2:8, PREPARO MECÂNICO, APLICADA MANUALMENTE EM TETO, E = 10MM, COM TALISCAS. AF_03/2024</t>
  </si>
  <si>
    <t>7.4.</t>
  </si>
  <si>
    <t>MASSA ÚNICA, EM ARGAMASSA TRAÇO 1:2:8 PREPARO MANUAL, APLICADA MANUALMENTE EM PAREDES INTERNAS DE AMBIENTES COM ÁREA MAIOR QUE 10M², E = 10MM, COM TALISCAS. AF_03/2024</t>
  </si>
  <si>
    <t>104959</t>
  </si>
  <si>
    <t>CHAPISCO APLICADO EM ALVENARIAS E ESTRUTURAS DE CONCRETO INTERNAS, COM COLHER DE PEDREIRO. ARGAMASSA TRAÇO 1:3 COM PREPARO MANUAL. AF_10/2022</t>
  </si>
  <si>
    <t>11.1.</t>
  </si>
  <si>
    <t>11.2.</t>
  </si>
  <si>
    <t>11.3.</t>
  </si>
  <si>
    <t>11.5.</t>
  </si>
  <si>
    <t>11.6.</t>
  </si>
  <si>
    <t>CONTRAPISO EM ARGAMASSA TRAÇO 1:4 (CIMENTO E AREIA), PREPARO MANUAL, APLICADO EM ÁREAS MOLHADAS SOBRE IMPERMEABILIZAÇÃO, ACABAMENTO NÃO REFORÇADO, ESPESSURA 3CM. AF_07/2021</t>
  </si>
  <si>
    <t>87757</t>
  </si>
  <si>
    <t>9.3.</t>
  </si>
  <si>
    <t>SOLEIRA EM GRANITO, LARGURA 15 CM, ESPESSURA 2,0 CM. AF_09/2020</t>
  </si>
  <si>
    <t>98689</t>
  </si>
  <si>
    <t>ENGENHEIRO CIVIL DE OBRA JUNIOR COM ENCARGOS COMPLEMENTARES</t>
  </si>
  <si>
    <t>Foram considerados o tempo de execução de obra em 2 meses, o que resulta em 440 horas (220 horas/mês x 2 = 440 horas)</t>
  </si>
  <si>
    <t>90780</t>
  </si>
  <si>
    <t>90777</t>
  </si>
  <si>
    <t>1.12.</t>
  </si>
  <si>
    <t>260104 GOINFRA</t>
  </si>
  <si>
    <t>REMOCAO DE PINTURA ANTIGA A LATEX</t>
  </si>
  <si>
    <t>&gt;&gt; Remover a pintura dos forros (descascando)</t>
  </si>
  <si>
    <t>&gt;&gt;&gt; Remoção de portais</t>
  </si>
  <si>
    <t>&gt;&gt;&gt; Armários e abertura de porta ao corredor</t>
  </si>
  <si>
    <t>&gt;&gt; Luminárias a serem removidas</t>
  </si>
  <si>
    <t>&gt;&gt; Previsão de revisão em pontos de luminárias com defeito</t>
  </si>
  <si>
    <t xml:space="preserve">	
EMASSAMENTO COM MASSA LÁTEX, APLICAÇÃO EM PAREDE, DUAS DEMÃOS, LIXAMENTO MANUAL. AF_04/2023</t>
  </si>
  <si>
    <t xml:space="preserve">88497 </t>
  </si>
  <si>
    <t>EMASSAMENTO COM MASSA LÁTEX, APLICAÇÃO EM TETO, DUAS DEMÃOS, LIXAMENTO MANUAL. AF_04/2023</t>
  </si>
  <si>
    <t>88496</t>
  </si>
  <si>
    <t>PINTURA LÁTEX ACRÍLICA PREMIUM, APLICAÇÃO MANUAL EM PAREDES, DUAS DEMÃOS. AF_04/2023</t>
  </si>
  <si>
    <t>88489</t>
  </si>
  <si>
    <t>11.4.</t>
  </si>
  <si>
    <t>PINTURA LÁTEX ACRÍLICA PREMIUM, APLICAÇÃO MANUAL EM TETO, DUAS DEMÃOS. AF_04/2023</t>
  </si>
  <si>
    <t>88488</t>
  </si>
  <si>
    <t>PINTURA VERNIZ (INCOLOR) ALQUÍDICO EM MADEIRA, USO INTERNO, 2 DEMÃOS. AF_01/2021</t>
  </si>
  <si>
    <t>102214</t>
  </si>
  <si>
    <t>FUNDO SELADOR ACRÍLICO, APLICAÇÃO MANUAL EM PAREDE, UMA DEMÃO. AF_04/2023</t>
  </si>
  <si>
    <t>88485</t>
  </si>
  <si>
    <t>LIMPEZA DE PISO CERÂMICO OU PORCELANATO UTILIZANDO DETERGENTE NEUTRO E ESCOVAÇÃO MANUAL. AF_04/2019</t>
  </si>
  <si>
    <t>99804</t>
  </si>
  <si>
    <t>Banheiro alojamento de trânsito - piso</t>
  </si>
  <si>
    <t>Sanitário alojamento de trânsito</t>
  </si>
  <si>
    <t>Sanitário alojamento SD/CB/SGT/ST</t>
  </si>
  <si>
    <t>Alojamento de trânsito 1</t>
  </si>
  <si>
    <t>Alojamento de trânsito 2</t>
  </si>
  <si>
    <t xml:space="preserve">Alojamento SGT  </t>
  </si>
  <si>
    <t>Alojamento CB/SD</t>
  </si>
  <si>
    <t>Alojamento ST/SGT</t>
  </si>
  <si>
    <t>Sanitário alojamento praças</t>
  </si>
  <si>
    <t>Tamanho</t>
  </si>
  <si>
    <t>80cm</t>
  </si>
  <si>
    <t>Alojamentop de trânsito 2</t>
  </si>
  <si>
    <t>&gt;&gt;&gt; demolição banco alojamento CB/SD</t>
  </si>
  <si>
    <t xml:space="preserve">Alojamento de trânsito 1 </t>
  </si>
  <si>
    <t xml:space="preserve">Alojamento de trânsito 2 </t>
  </si>
  <si>
    <t xml:space="preserve"> </t>
  </si>
  <si>
    <t>Área intervenção total</t>
  </si>
  <si>
    <t xml:space="preserve">&gt;&gt; Para o piso e meia parede dos banheiros </t>
  </si>
  <si>
    <t>Banheiro alojamento de trânsito - meia parede</t>
  </si>
  <si>
    <t>Banheiro alojamento praças - piso</t>
  </si>
  <si>
    <t>Banheiros alojamentos  praças- piso</t>
  </si>
  <si>
    <t>Banheiro alojamento praças - meia parede</t>
  </si>
  <si>
    <t>60x60</t>
  </si>
  <si>
    <t>Alojamento de Trânsito 1</t>
  </si>
  <si>
    <t>Sanitário alojamento de trânsito 1</t>
  </si>
  <si>
    <t>&gt;&gt; Demolição dos armários e do banco no aloj CB/SD</t>
  </si>
  <si>
    <t>&gt;&gt; Massa única nas partes de demolição para receber a pintura</t>
  </si>
  <si>
    <t>&gt;&gt; Revestimento cerâmico de parede  previsto para os sanitários</t>
  </si>
  <si>
    <t>Corredor alojamento praças</t>
  </si>
  <si>
    <t>Sanitário alojamento trânsito</t>
  </si>
  <si>
    <t>P1 80</t>
  </si>
  <si>
    <t>P2 100</t>
  </si>
  <si>
    <t>Piso-Sanitário alojamento praças</t>
  </si>
  <si>
    <t>Piso-Sanitário alojamento de trânsito</t>
  </si>
  <si>
    <t>Sanitário alojamento de praça</t>
  </si>
  <si>
    <t xml:space="preserve">Alojamento trânsito </t>
  </si>
  <si>
    <t xml:space="preserve">Alojamento Sgts </t>
  </si>
  <si>
    <t xml:space="preserve"> Alojamento ST/SGT</t>
  </si>
  <si>
    <t>Corredor corredor público</t>
  </si>
  <si>
    <t>Circulação  alojamento praças</t>
  </si>
  <si>
    <t>Circulação comum</t>
  </si>
  <si>
    <t>Sanitário alojamento de trânsito - paredes</t>
  </si>
  <si>
    <t>Sanitário alojamento de trânsito - piso</t>
  </si>
  <si>
    <t>Sanitário alojamentos  praças- parede</t>
  </si>
  <si>
    <t>Largura/perímetro</t>
  </si>
  <si>
    <t>Revestimento cerâmico</t>
  </si>
  <si>
    <t>vaso sanitário</t>
  </si>
  <si>
    <t>mictório</t>
  </si>
  <si>
    <t>&gt;&gt; Torneiras e demais metais a serem removidas/ registro de chuveiro e mictório</t>
  </si>
  <si>
    <t>torneira</t>
  </si>
  <si>
    <t>registro chuveiro</t>
  </si>
  <si>
    <t>registro mictório</t>
  </si>
  <si>
    <t>Luminária/soquete</t>
  </si>
  <si>
    <t>portas</t>
  </si>
  <si>
    <t>demolição alvenaria</t>
  </si>
  <si>
    <t>demolição concreto</t>
  </si>
  <si>
    <t>remoção portais</t>
  </si>
  <si>
    <t>remoção pintura teto</t>
  </si>
  <si>
    <t xml:space="preserve">Circulação alojamento praças </t>
  </si>
  <si>
    <t>Circulação alojamentos praça</t>
  </si>
  <si>
    <t>4.5.</t>
  </si>
  <si>
    <t xml:space="preserve">100858 </t>
  </si>
  <si>
    <t>MICTÓRIO SIFONADO LOUÇA BRANCA - PADRÃO MÉDIO - FORNECIMENTO E INSTALAÇÃO. AF_01/2020</t>
  </si>
  <si>
    <t>1.13.</t>
  </si>
  <si>
    <t>Banco alojamento CB/SD</t>
  </si>
  <si>
    <t>3.2.</t>
  </si>
  <si>
    <t>TOMADA ALTA DE EMBUTIR (1 MÓDULO), 2P+T 10 A, INCLUINDO SUPORTE E PLACA - FORNECIMENTO E INSTALAÇÃO. AF_03/2023</t>
  </si>
  <si>
    <t>Sanitário alojamento de praças</t>
  </si>
  <si>
    <t>CHUVEIRO ELÉTRICO COMUM CORPO PLÁSTICO, TIPO DUCHA - FORNECIMENTO E INSTALAÇÃO. AF_01/2020</t>
  </si>
  <si>
    <t>Altura/Comprimento</t>
  </si>
  <si>
    <t>&gt;&gt; Vasos sanitários e mictórios a serem removidos</t>
  </si>
  <si>
    <t>&gt;&gt;&gt; Portas a serem removidas, por estarem em péssimas condições</t>
  </si>
  <si>
    <t>Banco de Concreto</t>
  </si>
  <si>
    <t>&gt;&gt; correspondente ao banco de granito no alojamento masculino</t>
  </si>
  <si>
    <t>REMOCAO DE MARMORE OU GRANITO</t>
  </si>
  <si>
    <t>1.14.</t>
  </si>
  <si>
    <t>&gt;&gt; Paredes em revestimento cerâmico a serem demolidas</t>
  </si>
  <si>
    <t>COMP.600</t>
  </si>
  <si>
    <t>DEMOLIÇÃO DE ARGAMASSAS, DE FORMA DE FORMA MECANIZADA COM MARTELETE, SEM REAPROVEITAMENTO. AF_09/2023</t>
  </si>
  <si>
    <t>1.15.</t>
  </si>
  <si>
    <t>20112 GOINFRA</t>
  </si>
  <si>
    <t>DEMOLIÇÃO MANUAL DE PISO CERÂMICO INCLUSIVE RETIRADA DE CONTRAPISO SOBRE LASTRO DE CONCRETO COM TRANSPORTE ATÉ CAÇAMBA E CARGA</t>
  </si>
  <si>
    <t>Parede próximo ao banco - Alojamento</t>
  </si>
  <si>
    <t>remoção do granito do banco</t>
  </si>
  <si>
    <t>demolição de argamassa</t>
  </si>
  <si>
    <t>&gt;&gt; Previsão de revisão em pontos de vasos sanitários, mictórios e ralos sifonados fora</t>
  </si>
  <si>
    <t>1.16.</t>
  </si>
  <si>
    <t>Alojamento de trânsito 1 - piso</t>
  </si>
  <si>
    <t>Alojamento de CB/SD - piso</t>
  </si>
  <si>
    <t>DEMOLIÇÃO MANUAL DE PISO CERÂMICO SOBRE LASTRO DE CONCRETO COM TRANSPORTE ATÉ CAÇAMBA E CARGA</t>
  </si>
  <si>
    <t>20111 GOINFRA</t>
  </si>
  <si>
    <t>1.17.</t>
  </si>
  <si>
    <t>DEMOLIÇÃO DE RODAPÉ CERÂMICO, DE FORMA MANUAL, SEM APROVEITAMENTO</t>
  </si>
  <si>
    <t>Comprimento Total &gt;&gt;&gt;</t>
  </si>
  <si>
    <t>demolição do rodapé</t>
  </si>
  <si>
    <t>demolição do piso - alojamentos</t>
  </si>
  <si>
    <t>&gt;&gt;&gt; Recomposição dos pisos cerâmicos nos ambientes onde serão demolidos os armários e o banco de concreto</t>
  </si>
  <si>
    <t>dem. do piso/contrapiso - banheiros</t>
  </si>
  <si>
    <t>4.6.</t>
  </si>
  <si>
    <t>98555</t>
  </si>
  <si>
    <t>IMPERMEABILIZAÇÃO DE SUPERFÍCIE COM ARGAMASSA POLIMÉRICA / MEMBRANA ACRÍLICA, 3 DEMÃOS. AF_09/2023</t>
  </si>
  <si>
    <t>&gt;&gt; Aderência ao emboço nas partes de demolição dos banheiros</t>
  </si>
  <si>
    <t>&gt;&gt; Emboço nas partes de demolição para receber a cerâmica</t>
  </si>
  <si>
    <t>(cerâmica dos banheiros existente possui tamanho 57x32)</t>
  </si>
  <si>
    <t>87251</t>
  </si>
  <si>
    <t>REVESTIMENTO CERÂMICO PARA PISO COM PLACAS TIPO ESMALTADA DE DIMENSÕES 45X45 CM APLICADA EM AMBIENTES DE ÁREA MAIOR QUE 10 M2. AF_02/2023_PE</t>
  </si>
  <si>
    <t>9.4.</t>
  </si>
  <si>
    <t>88649</t>
  </si>
  <si>
    <t>RODAPÉ CERÂMICO DE 7CM DE ALTURA COM PLACAS TIPO ESMALTADA DE DIMENSÕES 45X45CM. AF_02/2023</t>
  </si>
  <si>
    <t>9.5.</t>
  </si>
  <si>
    <t>&gt;&gt; Áreas onde houve demolição e o piso está danificado, não sendo demolido o contrapiso</t>
  </si>
  <si>
    <t>MASTIQUE A BASE DE POLIURETANO COM PRÉVIO PREPARO E TRATAMENTO DA SUPERFÍCIE</t>
  </si>
  <si>
    <t xml:space="preserve">Circulação/Alojamento de praças </t>
  </si>
  <si>
    <t>2.3.</t>
  </si>
  <si>
    <t>030112</t>
  </si>
  <si>
    <t>CARGA DOS MATERIAIS/EQUIPAMENTOS/OUTROS ( INCLUSO HORA IMPRODUTIVA DO CAMINHÃO)</t>
  </si>
  <si>
    <t xml:space="preserve">&gt;&gt; Previsão de 4 portas de 80 no bloco do alojamento/sanitário de trânsito + 1 porta  de 80 na entrada do corredor do alojamento de praças </t>
  </si>
  <si>
    <t>aloj SGT</t>
  </si>
  <si>
    <t>aloj CB/SD</t>
  </si>
  <si>
    <t>aloj ST</t>
  </si>
  <si>
    <t>Hall</t>
  </si>
  <si>
    <t>&gt;&gt; previsão de troca de soleiras somente onde será trocado o piso cerâmico</t>
  </si>
  <si>
    <t>3.3.</t>
  </si>
  <si>
    <t>INTERRUPTOR BIPOLAR (1 MÓDULO), 10A/250V, INCLUINDO SUPORTE E PLACA - FORNECIMENTO E INSTALAÇÃO. AF_03/2023</t>
  </si>
  <si>
    <t>120101 GOINFRA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</si>
  <si>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</si>
  <si>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>&gt;&gt; Previsão de 2 portas de 90 para a circulação das alojamento dos praças</t>
  </si>
  <si>
    <t>6.4.</t>
  </si>
  <si>
    <t>6.5.</t>
  </si>
  <si>
    <t>105037</t>
  </si>
  <si>
    <t>VERGA PRÉ-FABRICADA COM ATÉ 1,5 M DE VÃO, ESPESSURA DE *10* CM. AF_03/2024</t>
  </si>
  <si>
    <t>P3 90</t>
  </si>
  <si>
    <t>&gt;&gt; Paredes em revestimento cerâmico a serem demolidos</t>
  </si>
  <si>
    <t>Alojamento de SGT</t>
  </si>
  <si>
    <t>Alojamento ST</t>
  </si>
  <si>
    <t>Circulação alojamento praças</t>
  </si>
  <si>
    <t xml:space="preserve">Circulação comum </t>
  </si>
  <si>
    <t>Alojamento trânsito 2</t>
  </si>
  <si>
    <t>&gt;&gt;&gt; Recomposição dos rodapés nos ambientes onde serão demolidos os armários ,banco de concreto e demais ambientes</t>
  </si>
  <si>
    <t>&gt;&gt; Áreas onde os pisos foram demolidos</t>
  </si>
  <si>
    <t>ÁREA DE INTERVENÇÃO:  360,27m²</t>
  </si>
  <si>
    <t>99807</t>
  </si>
  <si>
    <t>LIMPEZA DE REVESTIMENTO CERÂMICO EM PAREDE UTILIZANDO DETERGENTE NEUTRO E ESCOVAÇÃO MANUAL. AF_04/2019</t>
  </si>
  <si>
    <t>12.3.</t>
  </si>
  <si>
    <t>99818</t>
  </si>
  <si>
    <t>LIMPEZA DE BACIA SANITÁRIA, BIDÊ OU MICTÓRIO EM LOUÇA, INCLUSIVE METAIS CORRESPONDENTES. AF_04/2019</t>
  </si>
  <si>
    <t>Unidade</t>
  </si>
  <si>
    <t>12.4.</t>
  </si>
  <si>
    <t>Sanitário alojamento de trânsito- parede</t>
  </si>
  <si>
    <t>Sanitário alojamento praças - parede</t>
  </si>
  <si>
    <t>4.7.</t>
  </si>
  <si>
    <t>SABONETEIRA PLASTICA TIPO DISPENSER PARA SABONETE LIQUIDO COM RESERVATORIO 800 A 1500 ML, INCLUSO FIXAÇÃO. AF_01/2020</t>
  </si>
  <si>
    <t>4.8.</t>
  </si>
  <si>
    <t>PAPELEIRA DE PAREDE EM METAL CROMADO SEM TAMPA, INCLUSO FIXAÇÃO. AF_01/2020</t>
  </si>
  <si>
    <t xml:space="preserve">Sanitários </t>
  </si>
  <si>
    <t>4.9.</t>
  </si>
  <si>
    <t>PORTA TOALHA ROSTO EM METAL CROMADO, TIPO ARGOLA, INCLUSO FIXAÇÃO. AF_01/2020</t>
  </si>
  <si>
    <t>4.10.</t>
  </si>
  <si>
    <t>COMP.580</t>
  </si>
  <si>
    <t>TOALHEIRO PLASTICO TIPO DISPENSER PARA PAPEL TOALHA INTERFOLHADO, INCLUSO FIXAÇÃO</t>
  </si>
  <si>
    <t>6.6.</t>
  </si>
  <si>
    <t>913441</t>
  </si>
  <si>
    <t>PORTA EM ALUMÍNIO DE ABRIR TIPO VENEZIANA COM GUARNIÇÃO, FIXAÇÃO COM PARAFUSOS - FORNECIMENTO E INSTALAÇÃO. AF_12/2019</t>
  </si>
  <si>
    <t>&gt;&gt; Previsão de 1 porta de alumínio para o banheiro do alojamento de trânsito</t>
  </si>
  <si>
    <r>
      <t xml:space="preserve">&gt;&gt; Previsão de 3 vigas, acima das portas, com avanço de 20cm cada lado, </t>
    </r>
    <r>
      <rPr>
        <b/>
        <sz val="8"/>
        <color theme="1"/>
        <rFont val="Calibri"/>
        <family val="2"/>
        <scheme val="minor"/>
      </rPr>
      <t>3,20 metros lineares</t>
    </r>
  </si>
  <si>
    <t>Foi adotado o coeficiente de 1/5 das horas do mestre de obra, resultando em 88 horas.</t>
  </si>
  <si>
    <t>Acessórios</t>
  </si>
  <si>
    <t>&gt;&gt; Considera as papeleiras, porta toalha</t>
  </si>
  <si>
    <t>&gt;&gt; Considera a remoção do piso e contrapiso dos sanitários (áreas molhadas)</t>
  </si>
  <si>
    <t>Alojamento de praças</t>
  </si>
  <si>
    <t>Alojamento de trânsito</t>
  </si>
  <si>
    <t xml:space="preserve">Alojamento de trânsito </t>
  </si>
  <si>
    <t>&gt;&gt;&gt; Considera uma estimativa para troca/substituição das tomadas em condições precárias (faltando tampas, etc)</t>
  </si>
  <si>
    <t xml:space="preserve">&gt;&gt;&gt; Considera uma estimativa para troca/substituição de interruptores em condições precárias </t>
  </si>
  <si>
    <t>3.4.</t>
  </si>
  <si>
    <t>&gt;&gt;&gt; Substituição do quadro elétrico em plástico existente</t>
  </si>
  <si>
    <t>3.5.</t>
  </si>
  <si>
    <t>QUADRO DE DISTRIBUIÇÃO DE ENERGIA EM CHAPA DE AÇO GALVANIZADO, DE EMBUTIR, COM BARRAMENTO TRIFÁSICO, PARA 24 DISJUNTORES DIN 100A - FORNECIMENTO E INSTALAÇÃO. AF_07/2025</t>
  </si>
  <si>
    <t>3.6.</t>
  </si>
  <si>
    <t>CABO DE COBRE FLEXÍVEL ISOLADO, 2,5 MM², ANTI-CHAMA 450/750 V, PARA CIRCUITOS TERMINAIS - FORNECIMENTO E INSTALAÇÃO. AF_03/2023</t>
  </si>
  <si>
    <t>&gt;&gt; Considera uma estimativa, tendo em vista as alterações elétricas previstas</t>
  </si>
  <si>
    <t>3.7.</t>
  </si>
  <si>
    <t>QUEBRA EM ALVENARIA PARA INSTALAÇÃO DE QUADRO DISTRIBUIÇÃO PEQUENO (19X25 CM). AF_09/2023</t>
  </si>
  <si>
    <t>91926</t>
  </si>
  <si>
    <t>Circulação - Alojamento Praças</t>
  </si>
  <si>
    <t>&gt;&gt;&gt; Quebra da alvenaria para substituição do quadro elétrico em plástico existente</t>
  </si>
  <si>
    <t>3.8.</t>
  </si>
  <si>
    <t>COMP.601</t>
  </si>
  <si>
    <t>MONTAGEM DE QUADRO ELÉTRICO DE DISTRIBUIÇÃO COM ATÉ 32 CIRCUITOS</t>
  </si>
  <si>
    <t>&gt;&gt;&gt; Considera a montagem dos novos quadros elétricos mantendo os circuitos existentes</t>
  </si>
  <si>
    <t>Área dos armários no corredor praças</t>
  </si>
  <si>
    <t>ENCARREGADO GERAL COM ENCARGOS COMPLEMENTARES</t>
  </si>
  <si>
    <t>&gt;&gt; mobilização/desmobilização</t>
  </si>
  <si>
    <t>QUADRO DE DISTRIBUIÇÃO DE ENERGIA EM CHAPA DE AÇO GALVANIZADO, DE EMBUTIR, COM BARRAMENTO TRIFÁSICO, PARA 18 DISJUNTORES DIN 100A - FORNECIMENTO E INSTALAÇÃO. AF_07/2025</t>
  </si>
  <si>
    <t>Estima-se o uso de 5 tubos de PU (330x5= 1650 cm³) para o tratamento de trincas, fissuras e quaisquer aberturas.</t>
  </si>
  <si>
    <t>&gt; Considerado para as portas existentes</t>
  </si>
  <si>
    <t>x 40%</t>
  </si>
  <si>
    <t>&gt;&gt; Previsão de emassamento do teto, o qual foi removida a pintura existente + 10% percentual de correção do teto que apenas irá pintar</t>
  </si>
  <si>
    <t>REGULARIZACAO DE PISOS (1:3)</t>
  </si>
  <si>
    <t>10% do total de forro</t>
  </si>
  <si>
    <t>&gt;&gt; Considerado um percentual de 1% da área total do forro ( 358,39m²) para recomposição de pontos danificados</t>
  </si>
  <si>
    <t>&gt;&gt; Considerado um percentual de 10% da área total do forro ( 358,39m²) para recomposição de pontos danificados</t>
  </si>
  <si>
    <t>1.18.</t>
  </si>
  <si>
    <t>REMOÇÃO DE INTERRUPTORES/TOMADAS ELÉTRICAS, DE FORMA MANUAL, SEM REAPROVEITAMENTO. AF_09/2023</t>
  </si>
  <si>
    <t>Tomadas</t>
  </si>
  <si>
    <t>Interruptores</t>
  </si>
  <si>
    <t>&gt;&gt; Interruptores/Tomadas a serem removidas</t>
  </si>
  <si>
    <t>Interruptores/Tomadas</t>
  </si>
  <si>
    <r>
      <t xml:space="preserve">ÁREA DE INTERVENÇÃO: </t>
    </r>
    <r>
      <rPr>
        <sz val="8"/>
        <rFont val="Arial"/>
        <family val="2"/>
      </rPr>
      <t>360,27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>m²</t>
    </r>
  </si>
  <si>
    <t xml:space="preserve">  </t>
  </si>
  <si>
    <t/>
  </si>
  <si>
    <t xml:space="preserve"> 1.1 </t>
  </si>
  <si>
    <t xml:space="preserve"> 103689 </t>
  </si>
  <si>
    <t>SINAPI</t>
  </si>
  <si>
    <t>m²</t>
  </si>
  <si>
    <t xml:space="preserve"> 1.2 </t>
  </si>
  <si>
    <t xml:space="preserve"> 97633 </t>
  </si>
  <si>
    <t xml:space="preserve"> 1.3 </t>
  </si>
  <si>
    <t xml:space="preserve"> 97663 </t>
  </si>
  <si>
    <t>UN</t>
  </si>
  <si>
    <t xml:space="preserve"> 1.4 </t>
  </si>
  <si>
    <t xml:space="preserve"> 97666 </t>
  </si>
  <si>
    <t xml:space="preserve"> 1.5 </t>
  </si>
  <si>
    <t xml:space="preserve"> 97665 </t>
  </si>
  <si>
    <t xml:space="preserve"> 1.6 </t>
  </si>
  <si>
    <t xml:space="preserve"> 97644 </t>
  </si>
  <si>
    <t xml:space="preserve"> 1.7 </t>
  </si>
  <si>
    <t xml:space="preserve"> 97625 </t>
  </si>
  <si>
    <t>m³</t>
  </si>
  <si>
    <t xml:space="preserve"> 1.8 </t>
  </si>
  <si>
    <t xml:space="preserve"> 020121 </t>
  </si>
  <si>
    <t xml:space="preserve"> 1.9 </t>
  </si>
  <si>
    <t xml:space="preserve"> 020106 </t>
  </si>
  <si>
    <t xml:space="preserve"> 1.10 </t>
  </si>
  <si>
    <t>SBC</t>
  </si>
  <si>
    <t xml:space="preserve"> 1.11 </t>
  </si>
  <si>
    <t xml:space="preserve"> 023552 </t>
  </si>
  <si>
    <t>REVISAO DE INSTALACAO ELETRICA EM LUMINARIAS</t>
  </si>
  <si>
    <t xml:space="preserve"> 1.12 </t>
  </si>
  <si>
    <t xml:space="preserve"> 260104 </t>
  </si>
  <si>
    <t xml:space="preserve"> 1.13 </t>
  </si>
  <si>
    <t xml:space="preserve"> COMP.600 </t>
  </si>
  <si>
    <t>Próprio</t>
  </si>
  <si>
    <t>REMOÇÃO DE MARMORE OU GRANITO</t>
  </si>
  <si>
    <t xml:space="preserve"> 1.14 </t>
  </si>
  <si>
    <t xml:space="preserve"> 104791 </t>
  </si>
  <si>
    <t xml:space="preserve"> 1.15 </t>
  </si>
  <si>
    <t xml:space="preserve"> 020112 </t>
  </si>
  <si>
    <t xml:space="preserve"> 1.16 </t>
  </si>
  <si>
    <t xml:space="preserve"> 020111 </t>
  </si>
  <si>
    <t xml:space="preserve"> 1.17 </t>
  </si>
  <si>
    <t xml:space="preserve"> COMP.0006 </t>
  </si>
  <si>
    <t>M</t>
  </si>
  <si>
    <t xml:space="preserve"> 1.18 </t>
  </si>
  <si>
    <t xml:space="preserve"> 97660 </t>
  </si>
  <si>
    <t>TRANSPORTE</t>
  </si>
  <si>
    <t xml:space="preserve"> 2.1 </t>
  </si>
  <si>
    <t xml:space="preserve"> 030105 </t>
  </si>
  <si>
    <t xml:space="preserve"> 2.2 </t>
  </si>
  <si>
    <t xml:space="preserve"> 97914 </t>
  </si>
  <si>
    <t>M3XKM</t>
  </si>
  <si>
    <t xml:space="preserve"> 2.3 </t>
  </si>
  <si>
    <t xml:space="preserve"> 030112 </t>
  </si>
  <si>
    <t>un</t>
  </si>
  <si>
    <t>INSTALAÇÕES ELÉTRICAS</t>
  </si>
  <si>
    <t xml:space="preserve"> 3.1 </t>
  </si>
  <si>
    <t xml:space="preserve"> 071648 </t>
  </si>
  <si>
    <t>LUMINÁRIA PLAFON LED QUADRADA DE SOBREPOR, 30W, 40X40 CM (MEDIDAS APROXIMADAS)</t>
  </si>
  <si>
    <t xml:space="preserve"> 3.2 </t>
  </si>
  <si>
    <t xml:space="preserve"> 91992 </t>
  </si>
  <si>
    <t xml:space="preserve"> 3.3 </t>
  </si>
  <si>
    <t xml:space="preserve"> 91981 </t>
  </si>
  <si>
    <t xml:space="preserve"> 3.4 </t>
  </si>
  <si>
    <t xml:space="preserve"> 101883 </t>
  </si>
  <si>
    <t xml:space="preserve"> 3.5 </t>
  </si>
  <si>
    <t xml:space="preserve"> 101879 </t>
  </si>
  <si>
    <t xml:space="preserve"> 3.6 </t>
  </si>
  <si>
    <t xml:space="preserve"> 91926 </t>
  </si>
  <si>
    <t xml:space="preserve"> 3.7 </t>
  </si>
  <si>
    <t xml:space="preserve"> 90457 </t>
  </si>
  <si>
    <t xml:space="preserve"> 3.8 </t>
  </si>
  <si>
    <t xml:space="preserve"> COMP.601 </t>
  </si>
  <si>
    <t>und</t>
  </si>
  <si>
    <t xml:space="preserve"> 4.1 </t>
  </si>
  <si>
    <t xml:space="preserve"> 86915 </t>
  </si>
  <si>
    <t xml:space="preserve"> 4.2 </t>
  </si>
  <si>
    <t xml:space="preserve"> 86932 </t>
  </si>
  <si>
    <t xml:space="preserve"> 4.3 </t>
  </si>
  <si>
    <t xml:space="preserve"> 100849 </t>
  </si>
  <si>
    <t xml:space="preserve"> 4.4 </t>
  </si>
  <si>
    <t xml:space="preserve"> 100858 </t>
  </si>
  <si>
    <t xml:space="preserve"> 4.5 </t>
  </si>
  <si>
    <t xml:space="preserve"> 150071 </t>
  </si>
  <si>
    <t xml:space="preserve"> 4.6 </t>
  </si>
  <si>
    <t xml:space="preserve"> 100860 </t>
  </si>
  <si>
    <t xml:space="preserve"> 4.7 </t>
  </si>
  <si>
    <t xml:space="preserve"> 95547 </t>
  </si>
  <si>
    <t xml:space="preserve"> 4.8 </t>
  </si>
  <si>
    <t xml:space="preserve"> 95544 </t>
  </si>
  <si>
    <t xml:space="preserve"> 4.9 </t>
  </si>
  <si>
    <t xml:space="preserve"> 95542 </t>
  </si>
  <si>
    <t xml:space="preserve"> 4.10 </t>
  </si>
  <si>
    <t xml:space="preserve"> COMP.580 </t>
  </si>
  <si>
    <t xml:space="preserve"> 5.1 </t>
  </si>
  <si>
    <t xml:space="preserve"> 98555 </t>
  </si>
  <si>
    <t xml:space="preserve"> 5.2 </t>
  </si>
  <si>
    <t xml:space="preserve"> 120210 </t>
  </si>
  <si>
    <t>CM3</t>
  </si>
  <si>
    <t xml:space="preserve"> 6.1 </t>
  </si>
  <si>
    <t xml:space="preserve"> 100683 </t>
  </si>
  <si>
    <t xml:space="preserve"> 6.2 </t>
  </si>
  <si>
    <t xml:space="preserve"> 90844 </t>
  </si>
  <si>
    <t xml:space="preserve"> 6.3 </t>
  </si>
  <si>
    <t xml:space="preserve"> 91307 </t>
  </si>
  <si>
    <t xml:space="preserve"> 6.4 </t>
  </si>
  <si>
    <t xml:space="preserve"> 111219 </t>
  </si>
  <si>
    <t xml:space="preserve"> 6.5 </t>
  </si>
  <si>
    <t xml:space="preserve"> 105037 </t>
  </si>
  <si>
    <t xml:space="preserve"> 6.6 </t>
  </si>
  <si>
    <t xml:space="preserve"> 91341 </t>
  </si>
  <si>
    <t xml:space="preserve"> 7.1 </t>
  </si>
  <si>
    <t xml:space="preserve"> 87878 </t>
  </si>
  <si>
    <t xml:space="preserve"> 7.2 </t>
  </si>
  <si>
    <t xml:space="preserve"> 104959 </t>
  </si>
  <si>
    <t xml:space="preserve"> 7.3 </t>
  </si>
  <si>
    <t xml:space="preserve"> 87554 </t>
  </si>
  <si>
    <t xml:space="preserve"> 7.4 </t>
  </si>
  <si>
    <t xml:space="preserve"> 87273 </t>
  </si>
  <si>
    <t>FORROS</t>
  </si>
  <si>
    <t xml:space="preserve"> 8.1 </t>
  </si>
  <si>
    <t xml:space="preserve"> 87884 </t>
  </si>
  <si>
    <t xml:space="preserve"> 8.2 </t>
  </si>
  <si>
    <t xml:space="preserve"> 90408 </t>
  </si>
  <si>
    <t>REVESTIMENTO DE PISOS</t>
  </si>
  <si>
    <t xml:space="preserve"> 9.1 </t>
  </si>
  <si>
    <t xml:space="preserve"> 120101 </t>
  </si>
  <si>
    <t>REGULARIZAÇÃO DE PISO (1:3)</t>
  </si>
  <si>
    <t xml:space="preserve"> 9.2 </t>
  </si>
  <si>
    <t xml:space="preserve"> 87757 </t>
  </si>
  <si>
    <t xml:space="preserve"> 9.3 </t>
  </si>
  <si>
    <t xml:space="preserve"> 87251 </t>
  </si>
  <si>
    <t xml:space="preserve"> 9.4 </t>
  </si>
  <si>
    <t xml:space="preserve"> 98689 </t>
  </si>
  <si>
    <t xml:space="preserve"> 9.5 </t>
  </si>
  <si>
    <t xml:space="preserve"> 88649 </t>
  </si>
  <si>
    <t xml:space="preserve"> 10.1 </t>
  </si>
  <si>
    <t xml:space="preserve"> 90777 </t>
  </si>
  <si>
    <t>H</t>
  </si>
  <si>
    <t xml:space="preserve"> 10.2 </t>
  </si>
  <si>
    <t xml:space="preserve"> 90776 </t>
  </si>
  <si>
    <t xml:space="preserve"> 11.1 </t>
  </si>
  <si>
    <t xml:space="preserve"> 88485 </t>
  </si>
  <si>
    <t xml:space="preserve"> 11.2 </t>
  </si>
  <si>
    <t xml:space="preserve"> 88497 </t>
  </si>
  <si>
    <t>EMASSAMENTO COM MASSA LÁTEX, APLICAÇÃO EM PAREDE, DUAS DEMÃOS, LIXAMENTO MANUAL. AF_04/2023</t>
  </si>
  <si>
    <t xml:space="preserve"> 11.3 </t>
  </si>
  <si>
    <t xml:space="preserve"> 88496 </t>
  </si>
  <si>
    <t xml:space="preserve"> 11.4 </t>
  </si>
  <si>
    <t xml:space="preserve"> 88489 </t>
  </si>
  <si>
    <t xml:space="preserve"> 11.5 </t>
  </si>
  <si>
    <t xml:space="preserve"> 88488 </t>
  </si>
  <si>
    <t xml:space="preserve"> 11.6 </t>
  </si>
  <si>
    <t xml:space="preserve"> 102214 </t>
  </si>
  <si>
    <t xml:space="preserve"> 12.1 </t>
  </si>
  <si>
    <t xml:space="preserve"> 99804 </t>
  </si>
  <si>
    <t xml:space="preserve"> 12.2 </t>
  </si>
  <si>
    <t xml:space="preserve"> 99807 </t>
  </si>
  <si>
    <t xml:space="preserve"> 12.3 </t>
  </si>
  <si>
    <t xml:space="preserve"> 99818 </t>
  </si>
  <si>
    <t xml:space="preserve"> 12.4 </t>
  </si>
  <si>
    <t xml:space="preserve"> 270809 </t>
  </si>
  <si>
    <t>Un</t>
  </si>
  <si>
    <t>GOINFRA</t>
  </si>
  <si>
    <t>TOTAL</t>
  </si>
  <si>
    <r>
      <t xml:space="preserve">ÁREA DE INTERVENÇÃO: </t>
    </r>
    <r>
      <rPr>
        <sz val="8"/>
        <rFont val="Arial"/>
        <family val="2"/>
      </rPr>
      <t>360,27 m²</t>
    </r>
  </si>
  <si>
    <t>Tipo</t>
  </si>
  <si>
    <t>Composição</t>
  </si>
  <si>
    <t>Insumo</t>
  </si>
  <si>
    <t>Material</t>
  </si>
  <si>
    <t xml:space="preserve"> 099034 </t>
  </si>
  <si>
    <t>AJUDANTE DE BOMBEIRO OU ENCANADOR</t>
  </si>
  <si>
    <t>Mão de Obra</t>
  </si>
  <si>
    <t xml:space="preserve"> 099200 </t>
  </si>
  <si>
    <t>BOMBEIRO OU ENCANADOR</t>
  </si>
  <si>
    <t>REFORMA E RECONSTRUCAO</t>
  </si>
  <si>
    <t xml:space="preserve"> 099806 </t>
  </si>
  <si>
    <t>AJUDANTE DE ELETRICISTA</t>
  </si>
  <si>
    <t xml:space="preserve"> 003030 </t>
  </si>
  <si>
    <t xml:space="preserve"> 003421 </t>
  </si>
  <si>
    <t xml:space="preserve"> 004989 </t>
  </si>
  <si>
    <t xml:space="preserve"> 099250 </t>
  </si>
  <si>
    <t>ELETRICISTA</t>
  </si>
  <si>
    <t xml:space="preserve"> 003420 </t>
  </si>
  <si>
    <t>FITA ISOLANTE HIGHLAND ADESIVA 19m x 20mm</t>
  </si>
  <si>
    <t xml:space="preserve"> 007731 </t>
  </si>
  <si>
    <t xml:space="preserve"> 003480 </t>
  </si>
  <si>
    <t>SERP - SERVIÇOS PRELIMINARES</t>
  </si>
  <si>
    <t>Composição Auxiliar</t>
  </si>
  <si>
    <t xml:space="preserve"> 88316 </t>
  </si>
  <si>
    <t>SERVENTE COM ENCARGOS COMPLEMENTARES</t>
  </si>
  <si>
    <t>Livro SINAPI: Cálculos e Parâmetros</t>
  </si>
  <si>
    <t xml:space="preserve"> 88309 </t>
  </si>
  <si>
    <t>PEDREIRO COM ENCARGOS COMPLEMENTARES</t>
  </si>
  <si>
    <t xml:space="preserve"> 0005 </t>
  </si>
  <si>
    <t>SERVENTE</t>
  </si>
  <si>
    <t xml:space="preserve"> 0028 </t>
  </si>
  <si>
    <t>AZULEJISTA</t>
  </si>
  <si>
    <t>INEL - INSTALAÇÃO ELÉTRICA/ELETRIFICAÇÃO E ILUMINAÇÃO EXTERNA</t>
  </si>
  <si>
    <t xml:space="preserve"> 88264 </t>
  </si>
  <si>
    <t>ELETRICISTA COM ENCARGOS COMPLEMENTARES</t>
  </si>
  <si>
    <t xml:space="preserve"> 88243 </t>
  </si>
  <si>
    <t>AJUDANTE ESPECIALIZADO COM ENCARGOS COMPLEMENTARES</t>
  </si>
  <si>
    <t xml:space="preserve"> 099537 </t>
  </si>
  <si>
    <t>VIDRACEIRO</t>
  </si>
  <si>
    <t xml:space="preserve"> 099661 </t>
  </si>
  <si>
    <t>AJUDANTE ESPECIALIZADO - VIDRACEIRO</t>
  </si>
  <si>
    <t xml:space="preserve"> 068063 </t>
  </si>
  <si>
    <t>ESPELHO CRISTAL 5mm</t>
  </si>
  <si>
    <t>Louças e Metais</t>
  </si>
  <si>
    <t xml:space="preserve"> 2858 </t>
  </si>
  <si>
    <t>DISPENSER PARA PAPEL TOALHA INTERFOLHA</t>
  </si>
  <si>
    <t>ESQUADRIAS DE FERRO</t>
  </si>
  <si>
    <t xml:space="preserve"> 099662 </t>
  </si>
  <si>
    <t>AJUDANTE DE SERRALHEIRO</t>
  </si>
  <si>
    <t xml:space="preserve"> 021128 </t>
  </si>
  <si>
    <t>PORTINHOLA DE ABRIR VENEZIANA DE ALUMINIO VENTILADA PARA ABRIGO 1 FOLHA 60x60x20cm</t>
  </si>
  <si>
    <t xml:space="preserve"> 000050 </t>
  </si>
  <si>
    <t>CIMENTO PORTLAND CP III 32RS NBR 11578 (quilo)</t>
  </si>
  <si>
    <t>KG</t>
  </si>
  <si>
    <t xml:space="preserve"> 099230 </t>
  </si>
  <si>
    <t>SERRALHEIRO</t>
  </si>
  <si>
    <t xml:space="preserve"> 000100 </t>
  </si>
  <si>
    <t>AREIA GROSSA LAVADA</t>
  </si>
  <si>
    <t>Obs 2: Os encargos sociais adotados foram os da Tabela Referencial SINAPI, sendo utilizado o mais recente publicado.</t>
  </si>
  <si>
    <r>
      <rPr>
        <b/>
        <sz val="8"/>
        <color indexed="8"/>
        <rFont val="Calibri"/>
        <family val="2"/>
      </rPr>
      <t>DATA BASE:</t>
    </r>
    <r>
      <rPr>
        <sz val="8"/>
        <color indexed="8"/>
        <rFont val="Calibri"/>
        <family val="2"/>
      </rPr>
      <t xml:space="preserve"> SINAPI 08/2025 Goiás, SBC 08/2025 GNA-Goiânia, GOINFRA 06/2025</t>
    </r>
  </si>
  <si>
    <t>Obs 1: A planilha orçamentária teve como base a Tabela SINAPI 08/2025 Goiás. Os itens não encontrados nestas tabelas foram usados da Tabela GOINFRA 06/2025 e SBC 08/2025 GNA-Goiânia. Em último caso, foram realizadas pesquisas de mercado.</t>
  </si>
  <si>
    <t>24004 SBC</t>
  </si>
  <si>
    <t>Tributos (Contribuição Previdenciária sobre a Receita Bruta - 0% ou 3,6%)</t>
  </si>
  <si>
    <r>
      <t xml:space="preserve">3) Atendendo a Lei n. 13.161/2015, após comparação feita com as Planilhas Orçamentárias COM e SEM desoneração, declaro para os devidos fins que o regime de Contribuição Previdenciária sobre a Receita Bruta adotado para elaboração do orçamento foi </t>
    </r>
    <r>
      <rPr>
        <u/>
        <sz val="12"/>
        <rFont val="Arial"/>
        <family val="2"/>
      </rPr>
      <t>com desoneração</t>
    </r>
    <r>
      <rPr>
        <sz val="12"/>
        <rFont val="Arial"/>
        <family val="2"/>
      </rPr>
      <t xml:space="preserve"> e, que esta é a alternativa mais vantajosa para a Administração Pública. </t>
    </r>
  </si>
  <si>
    <t>Segunda Feira, 29 de setembro de 2025</t>
  </si>
  <si>
    <r>
      <rPr>
        <b/>
        <sz val="8"/>
        <rFont val="Arial"/>
        <family val="2"/>
      </rPr>
      <t>DATA BASE:</t>
    </r>
    <r>
      <rPr>
        <sz val="8"/>
        <rFont val="Arial"/>
        <family val="2"/>
      </rPr>
      <t xml:space="preserve"> SINAPI 08/2025 Goiás, SBC 08/2025 GNA-Goiânia, GOINFRA 06/2025</t>
    </r>
  </si>
  <si>
    <r>
      <t xml:space="preserve">DATA BASE: </t>
    </r>
    <r>
      <rPr>
        <sz val="8"/>
        <rFont val="Arial"/>
        <family val="2"/>
      </rPr>
      <t>SINAPI 08/2025 Goiás, SBC 08/2025 GNA-Goiânia, GOINFRA 06/2025</t>
    </r>
  </si>
  <si>
    <r>
      <t xml:space="preserve">BDI SERVIÇOS: </t>
    </r>
    <r>
      <rPr>
        <sz val="8"/>
        <color rgb="FF000000"/>
        <rFont val="Calibri"/>
        <family val="2"/>
      </rPr>
      <t>30,21%</t>
    </r>
  </si>
  <si>
    <r>
      <rPr>
        <b/>
        <sz val="8"/>
        <rFont val="Arial"/>
        <family val="2"/>
      </rPr>
      <t>ENCARGOS SOCIAIS</t>
    </r>
    <r>
      <rPr>
        <sz val="8"/>
        <rFont val="Arial"/>
        <family val="2"/>
      </rPr>
      <t>: Desonerado - Horista:  87,82% Mensalista: 50,32%</t>
    </r>
  </si>
  <si>
    <r>
      <t xml:space="preserve">ENCARGOS SOCIAIS: </t>
    </r>
    <r>
      <rPr>
        <sz val="8"/>
        <color rgb="FF000000"/>
        <rFont val="Calibri"/>
        <family val="2"/>
      </rPr>
      <t>Desonerado - Horista:  87,82% Mensalista: 50,32%</t>
    </r>
  </si>
  <si>
    <t>AGETOP CIVIL</t>
  </si>
  <si>
    <t xml:space="preserve"> 024004 </t>
  </si>
  <si>
    <t>REVISAO E INSTALACAO-PONTO DE AGUA-TUBOS PVC</t>
  </si>
  <si>
    <t>SERVICOS DE MANUTENCAO</t>
  </si>
  <si>
    <t xml:space="preserve"> 004636 </t>
  </si>
  <si>
    <t>FITA TEFLON VEDA ROSCA 18mm x 25m</t>
  </si>
  <si>
    <t xml:space="preserve"> 005715 </t>
  </si>
  <si>
    <t>NIPLE PVC ROSCA 3/4""</t>
  </si>
  <si>
    <t xml:space="preserve"> 000682 </t>
  </si>
  <si>
    <t>LUVA PVC AGUA ROSCAVEL 3/4""</t>
  </si>
  <si>
    <t xml:space="preserve"> 003373 </t>
  </si>
  <si>
    <t>TUBO PVC AGUA ROSCA 3/4"" (METRO)</t>
  </si>
  <si>
    <t xml:space="preserve"> 005769 </t>
  </si>
  <si>
    <t>LUVA REDUCAO PVC ROSCAVEL 1"" x 3/4""</t>
  </si>
  <si>
    <t xml:space="preserve"> 005181 </t>
  </si>
  <si>
    <t>JOELHO 90 PVC ROSCAVEL 3/4""</t>
  </si>
  <si>
    <t>ELETRODUTO ZINCADO ELETROLITICAMENTE (LEVE) NBR 5598 15mm 1/</t>
  </si>
  <si>
    <t>BUCHA DE ALUMINIO PARA ELETRODUTO 1/2""</t>
  </si>
  <si>
    <t>FIO SUPERASTIC FLEX 450/750V 2,5mm2 CORES DIVERSAS</t>
  </si>
  <si>
    <t>CAIXA FERRO ESMALTADO 4""x2""</t>
  </si>
  <si>
    <t>ARRUELA ALUMINIO PARA ELETRODUTO 1/2""</t>
  </si>
  <si>
    <r>
      <rPr>
        <b/>
        <sz val="8"/>
        <rFont val="Arial"/>
        <family val="2"/>
      </rPr>
      <t>BDI SERVIÇOS</t>
    </r>
    <r>
      <rPr>
        <sz val="8"/>
        <rFont val="Arial"/>
        <family val="2"/>
      </rPr>
      <t xml:space="preserve">: </t>
    </r>
    <r>
      <rPr>
        <b/>
        <sz val="8"/>
        <color rgb="FFFF0000"/>
        <rFont val="Arial"/>
        <family val="2"/>
      </rPr>
      <t>30,21%</t>
    </r>
  </si>
  <si>
    <r>
      <rPr>
        <b/>
        <sz val="8"/>
        <rFont val="Arial"/>
        <family val="2"/>
      </rPr>
      <t>BDI SERVIÇOS</t>
    </r>
    <r>
      <rPr>
        <sz val="8"/>
        <rFont val="Arial"/>
        <family val="2"/>
      </rPr>
      <t>:</t>
    </r>
    <r>
      <rPr>
        <b/>
        <sz val="8"/>
        <color rgb="FFFF0000"/>
        <rFont val="Arial"/>
        <family val="2"/>
      </rPr>
      <t xml:space="preserve"> 30,21%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</si>
</sst>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\-??_);_(@_)"/>
    <numFmt numFmtId="166" formatCode="0.00&quot; m²&quot;"/>
    <numFmt numFmtId="167" formatCode="0.00&quot; m&quot;"/>
    <numFmt numFmtId="168" formatCode="#"/>
    <numFmt numFmtId="169" formatCode="0.00&quot; und&quot;"/>
    <numFmt numFmtId="170" formatCode="0.00&quot; m³&quot;"/>
    <numFmt numFmtId="171" formatCode="#,##0.0000000"/>
    <numFmt numFmtId="172" formatCode="0.00&quot; km&quot;"/>
    <numFmt numFmtId="173" formatCode="0.00&quot; tKm&quot;"/>
    <numFmt numFmtId="174" formatCode="0.00&quot; m³x Km&quot;"/>
  </numFmts>
  <fonts count="41" x14ac:knownFonts="1">
    <font>
      <sz val="11"/>
      <name val="Arial"/>
      <family val="1"/>
    </font>
    <font>
      <b/>
      <sz val="10"/>
      <name val="Arial"/>
      <family val="1"/>
    </font>
    <font>
      <b/>
      <sz val="8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indexed="8"/>
      <name val="Calibri"/>
      <family val="2"/>
    </font>
    <font>
      <sz val="8"/>
      <color indexed="8"/>
      <name val="Calibri"/>
      <family val="2"/>
    </font>
    <font>
      <u/>
      <sz val="8"/>
      <name val="Arial"/>
      <family val="2"/>
    </font>
    <font>
      <b/>
      <sz val="8"/>
      <name val="Arial"/>
      <family val="1"/>
    </font>
    <font>
      <sz val="9"/>
      <name val="Arial"/>
      <family val="1"/>
    </font>
    <font>
      <b/>
      <sz val="9"/>
      <name val="Arial"/>
      <family val="1"/>
    </font>
    <font>
      <b/>
      <sz val="11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b/>
      <sz val="10"/>
      <color rgb="FF000000"/>
      <name val="Arial"/>
      <family val="1"/>
    </font>
    <font>
      <sz val="11"/>
      <name val="Arial"/>
      <family val="2"/>
    </font>
    <font>
      <b/>
      <sz val="11"/>
      <color theme="0"/>
      <name val="Arial"/>
      <family val="1"/>
    </font>
    <font>
      <sz val="8"/>
      <name val="Arial"/>
      <family val="1"/>
    </font>
    <font>
      <u/>
      <sz val="12"/>
      <name val="Arial"/>
      <family val="2"/>
    </font>
    <font>
      <sz val="8"/>
      <color rgb="FF000000"/>
      <name val="Calibri"/>
      <family val="2"/>
    </font>
    <font>
      <sz val="12"/>
      <color rgb="FFFF0000"/>
      <name val="Arial"/>
      <family val="2"/>
    </font>
    <font>
      <u/>
      <sz val="8"/>
      <color theme="1"/>
      <name val="Calibri"/>
      <family val="2"/>
      <scheme val="minor"/>
    </font>
    <font>
      <b/>
      <u/>
      <sz val="8"/>
      <color theme="1"/>
      <name val="Arial"/>
      <family val="2"/>
    </font>
    <font>
      <sz val="11"/>
      <name val="Arial"/>
      <family val="1"/>
    </font>
    <font>
      <b/>
      <sz val="11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E6E6E6"/>
      </patternFill>
    </fill>
    <fill>
      <patternFill patternType="solid">
        <fgColor theme="0" tint="-0.14999847407452621"/>
        <bgColor rgb="FFE6E6E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0E0E0"/>
        <bgColor rgb="FFE0E0E0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rgb="FFFF5500"/>
      </bottom>
      <diagonal/>
    </border>
  </borders>
  <cellStyleXfs count="7">
    <xf numFmtId="0" fontId="0" fillId="0" borderId="0"/>
    <xf numFmtId="0" fontId="5" fillId="0" borderId="0"/>
    <xf numFmtId="165" fontId="5" fillId="0" borderId="0" applyFill="0" applyBorder="0" applyAlignment="0" applyProtection="0"/>
    <xf numFmtId="0" fontId="5" fillId="0" borderId="0"/>
    <xf numFmtId="0" fontId="17" fillId="0" borderId="0"/>
    <xf numFmtId="9" fontId="5" fillId="0" borderId="0" applyFill="0" applyBorder="0" applyAlignment="0" applyProtection="0"/>
    <xf numFmtId="44" fontId="39" fillId="0" borderId="0" applyFont="0" applyFill="0" applyBorder="0" applyAlignment="0" applyProtection="0"/>
  </cellStyleXfs>
  <cellXfs count="332">
    <xf numFmtId="0" fontId="0" fillId="0" borderId="0" xfId="0"/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2" fontId="0" fillId="3" borderId="0" xfId="0" applyNumberFormat="1" applyFill="1"/>
    <xf numFmtId="2" fontId="0" fillId="0" borderId="0" xfId="0" applyNumberFormat="1"/>
    <xf numFmtId="0" fontId="0" fillId="3" borderId="6" xfId="0" applyFill="1" applyBorder="1"/>
    <xf numFmtId="0" fontId="1" fillId="2" borderId="0" xfId="0" applyFont="1" applyFill="1" applyAlignment="1">
      <alignment horizontal="center" vertical="top" wrapText="1"/>
    </xf>
    <xf numFmtId="2" fontId="1" fillId="2" borderId="0" xfId="0" applyNumberFormat="1" applyFont="1" applyFill="1" applyAlignment="1">
      <alignment horizontal="center" vertical="top" wrapText="1"/>
    </xf>
    <xf numFmtId="0" fontId="1" fillId="2" borderId="0" xfId="0" quotePrefix="1" applyFont="1" applyFill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7" fillId="2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 vertical="center"/>
    </xf>
    <xf numFmtId="0" fontId="4" fillId="3" borderId="13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vertical="center" wrapText="1"/>
    </xf>
    <xf numFmtId="0" fontId="4" fillId="5" borderId="13" xfId="0" applyFont="1" applyFill="1" applyBorder="1" applyAlignment="1">
      <alignment horizontal="center" vertical="center"/>
    </xf>
    <xf numFmtId="10" fontId="9" fillId="3" borderId="13" xfId="0" applyNumberFormat="1" applyFont="1" applyFill="1" applyBorder="1" applyAlignment="1">
      <alignment horizontal="center" vertical="center"/>
    </xf>
    <xf numFmtId="164" fontId="9" fillId="3" borderId="13" xfId="0" applyNumberFormat="1" applyFont="1" applyFill="1" applyBorder="1" applyAlignment="1">
      <alignment horizontal="center" vertical="center"/>
    </xf>
    <xf numFmtId="10" fontId="9" fillId="3" borderId="0" xfId="0" applyNumberFormat="1" applyFont="1" applyFill="1" applyAlignment="1">
      <alignment horizontal="center" vertical="center"/>
    </xf>
    <xf numFmtId="164" fontId="9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3" borderId="5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5" fillId="0" borderId="0" xfId="1"/>
    <xf numFmtId="0" fontId="11" fillId="3" borderId="0" xfId="1" applyFont="1" applyFill="1"/>
    <xf numFmtId="43" fontId="12" fillId="3" borderId="0" xfId="2" applyNumberFormat="1" applyFont="1" applyFill="1" applyBorder="1" applyAlignment="1"/>
    <xf numFmtId="166" fontId="11" fillId="3" borderId="0" xfId="1" applyNumberFormat="1" applyFont="1" applyFill="1"/>
    <xf numFmtId="166" fontId="11" fillId="3" borderId="0" xfId="1" applyNumberFormat="1" applyFont="1" applyFill="1" applyAlignment="1">
      <alignment horizontal="center" vertical="center"/>
    </xf>
    <xf numFmtId="2" fontId="11" fillId="3" borderId="0" xfId="1" applyNumberFormat="1" applyFont="1" applyFill="1" applyAlignment="1">
      <alignment horizontal="center" vertical="center" wrapText="1"/>
    </xf>
    <xf numFmtId="167" fontId="11" fillId="3" borderId="0" xfId="1" applyNumberFormat="1" applyFont="1" applyFill="1" applyAlignment="1">
      <alignment horizontal="center" vertical="center" wrapText="1"/>
    </xf>
    <xf numFmtId="168" fontId="12" fillId="3" borderId="0" xfId="1" applyNumberFormat="1" applyFont="1" applyFill="1" applyAlignment="1">
      <alignment horizontal="left" vertical="center" wrapText="1"/>
    </xf>
    <xf numFmtId="168" fontId="12" fillId="3" borderId="0" xfId="1" applyNumberFormat="1" applyFont="1" applyFill="1" applyAlignment="1">
      <alignment horizontal="left" vertical="center"/>
    </xf>
    <xf numFmtId="0" fontId="12" fillId="3" borderId="0" xfId="1" applyFont="1" applyFill="1"/>
    <xf numFmtId="0" fontId="12" fillId="3" borderId="0" xfId="1" applyFont="1" applyFill="1" applyAlignment="1">
      <alignment horizontal="left" vertical="center"/>
    </xf>
    <xf numFmtId="0" fontId="12" fillId="3" borderId="0" xfId="1" applyFont="1" applyFill="1" applyAlignment="1">
      <alignment horizontal="left" vertical="center" wrapText="1"/>
    </xf>
    <xf numFmtId="169" fontId="11" fillId="3" borderId="0" xfId="1" applyNumberFormat="1" applyFont="1" applyFill="1" applyAlignment="1">
      <alignment horizontal="center" vertical="center"/>
    </xf>
    <xf numFmtId="2" fontId="12" fillId="3" borderId="0" xfId="1" applyNumberFormat="1" applyFont="1" applyFill="1" applyAlignment="1">
      <alignment horizontal="right" vertical="center"/>
    </xf>
    <xf numFmtId="168" fontId="11" fillId="3" borderId="0" xfId="1" applyNumberFormat="1" applyFont="1" applyFill="1" applyAlignment="1">
      <alignment horizontal="left" vertical="center"/>
    </xf>
    <xf numFmtId="0" fontId="11" fillId="3" borderId="0" xfId="3" applyFont="1" applyFill="1" applyAlignment="1">
      <alignment horizontal="left" vertical="center"/>
    </xf>
    <xf numFmtId="0" fontId="11" fillId="3" borderId="15" xfId="1" applyFont="1" applyFill="1" applyBorder="1"/>
    <xf numFmtId="167" fontId="11" fillId="3" borderId="15" xfId="1" applyNumberFormat="1" applyFont="1" applyFill="1" applyBorder="1" applyAlignment="1">
      <alignment horizontal="center" vertical="center" wrapText="1"/>
    </xf>
    <xf numFmtId="166" fontId="11" fillId="3" borderId="15" xfId="1" applyNumberFormat="1" applyFont="1" applyFill="1" applyBorder="1" applyAlignment="1">
      <alignment vertical="center"/>
    </xf>
    <xf numFmtId="2" fontId="11" fillId="3" borderId="15" xfId="1" applyNumberFormat="1" applyFont="1" applyFill="1" applyBorder="1" applyAlignment="1">
      <alignment horizontal="center" vertical="center" wrapText="1"/>
    </xf>
    <xf numFmtId="0" fontId="11" fillId="3" borderId="15" xfId="3" applyFont="1" applyFill="1" applyBorder="1" applyAlignment="1">
      <alignment vertical="center"/>
    </xf>
    <xf numFmtId="0" fontId="5" fillId="3" borderId="0" xfId="1" applyFill="1"/>
    <xf numFmtId="2" fontId="11" fillId="3" borderId="0" xfId="1" applyNumberFormat="1" applyFont="1" applyFill="1" applyAlignment="1">
      <alignment horizontal="center"/>
    </xf>
    <xf numFmtId="0" fontId="11" fillId="3" borderId="0" xfId="1" applyFont="1" applyFill="1" applyAlignment="1">
      <alignment horizontal="center"/>
    </xf>
    <xf numFmtId="167" fontId="12" fillId="3" borderId="0" xfId="1" applyNumberFormat="1" applyFont="1" applyFill="1" applyAlignment="1">
      <alignment horizontal="center" vertical="center" wrapText="1"/>
    </xf>
    <xf numFmtId="43" fontId="12" fillId="3" borderId="0" xfId="1" applyNumberFormat="1" applyFont="1" applyFill="1" applyAlignment="1">
      <alignment horizontal="right" vertical="center"/>
    </xf>
    <xf numFmtId="0" fontId="11" fillId="3" borderId="0" xfId="1" applyFont="1" applyFill="1" applyAlignment="1">
      <alignment horizontal="right"/>
    </xf>
    <xf numFmtId="2" fontId="12" fillId="3" borderId="0" xfId="1" applyNumberFormat="1" applyFont="1" applyFill="1" applyAlignment="1">
      <alignment horizontal="center"/>
    </xf>
    <xf numFmtId="0" fontId="11" fillId="3" borderId="0" xfId="1" applyFont="1" applyFill="1" applyAlignment="1">
      <alignment horizontal="left"/>
    </xf>
    <xf numFmtId="49" fontId="13" fillId="3" borderId="0" xfId="1" applyNumberFormat="1" applyFont="1" applyFill="1"/>
    <xf numFmtId="0" fontId="13" fillId="3" borderId="0" xfId="1" applyFont="1" applyFill="1"/>
    <xf numFmtId="0" fontId="12" fillId="3" borderId="15" xfId="1" applyFont="1" applyFill="1" applyBorder="1" applyAlignment="1">
      <alignment horizontal="center"/>
    </xf>
    <xf numFmtId="0" fontId="11" fillId="6" borderId="0" xfId="1" applyFont="1" applyFill="1" applyAlignment="1">
      <alignment horizontal="right"/>
    </xf>
    <xf numFmtId="166" fontId="11" fillId="3" borderId="0" xfId="1" applyNumberFormat="1" applyFont="1" applyFill="1" applyAlignment="1">
      <alignment horizontal="center" vertical="center" wrapText="1"/>
    </xf>
    <xf numFmtId="166" fontId="12" fillId="3" borderId="0" xfId="1" applyNumberFormat="1" applyFont="1" applyFill="1" applyAlignment="1">
      <alignment horizontal="center" vertical="center" wrapText="1"/>
    </xf>
    <xf numFmtId="0" fontId="12" fillId="3" borderId="0" xfId="1" applyFont="1" applyFill="1" applyAlignment="1">
      <alignment horizontal="center"/>
    </xf>
    <xf numFmtId="0" fontId="12" fillId="3" borderId="15" xfId="1" applyFont="1" applyFill="1" applyBorder="1"/>
    <xf numFmtId="0" fontId="11" fillId="6" borderId="0" xfId="1" applyFont="1" applyFill="1"/>
    <xf numFmtId="166" fontId="12" fillId="3" borderId="0" xfId="1" applyNumberFormat="1" applyFont="1" applyFill="1"/>
    <xf numFmtId="166" fontId="12" fillId="3" borderId="0" xfId="1" applyNumberFormat="1" applyFont="1" applyFill="1" applyAlignment="1">
      <alignment horizontal="center" wrapText="1"/>
    </xf>
    <xf numFmtId="0" fontId="13" fillId="7" borderId="6" xfId="1" applyFont="1" applyFill="1" applyBorder="1"/>
    <xf numFmtId="0" fontId="13" fillId="7" borderId="5" xfId="1" applyFont="1" applyFill="1" applyBorder="1"/>
    <xf numFmtId="0" fontId="13" fillId="7" borderId="4" xfId="1" applyFont="1" applyFill="1" applyBorder="1"/>
    <xf numFmtId="168" fontId="11" fillId="6" borderId="0" xfId="1" applyNumberFormat="1" applyFont="1" applyFill="1" applyAlignment="1">
      <alignment horizontal="center" vertical="center"/>
    </xf>
    <xf numFmtId="0" fontId="12" fillId="3" borderId="15" xfId="1" applyFont="1" applyFill="1" applyBorder="1" applyAlignment="1">
      <alignment horizontal="center" vertical="center"/>
    </xf>
    <xf numFmtId="168" fontId="12" fillId="6" borderId="15" xfId="1" applyNumberFormat="1" applyFont="1" applyFill="1" applyBorder="1" applyAlignment="1">
      <alignment horizontal="center" vertical="center"/>
    </xf>
    <xf numFmtId="170" fontId="11" fillId="3" borderId="0" xfId="1" applyNumberFormat="1" applyFont="1" applyFill="1" applyAlignment="1">
      <alignment horizontal="center" vertical="center" wrapText="1"/>
    </xf>
    <xf numFmtId="169" fontId="11" fillId="3" borderId="0" xfId="1" applyNumberFormat="1" applyFont="1" applyFill="1" applyAlignment="1">
      <alignment horizontal="center" vertical="center" wrapText="1"/>
    </xf>
    <xf numFmtId="0" fontId="11" fillId="6" borderId="0" xfId="1" applyFont="1" applyFill="1" applyAlignment="1">
      <alignment horizontal="center"/>
    </xf>
    <xf numFmtId="0" fontId="13" fillId="3" borderId="15" xfId="1" applyFont="1" applyFill="1" applyBorder="1" applyAlignment="1">
      <alignment horizontal="center"/>
    </xf>
    <xf numFmtId="166" fontId="12" fillId="3" borderId="15" xfId="1" applyNumberFormat="1" applyFont="1" applyFill="1" applyBorder="1" applyAlignment="1">
      <alignment horizontal="center" vertical="center" wrapText="1"/>
    </xf>
    <xf numFmtId="169" fontId="12" fillId="3" borderId="0" xfId="1" applyNumberFormat="1" applyFont="1" applyFill="1" applyAlignment="1">
      <alignment horizontal="center" vertical="center" wrapText="1"/>
    </xf>
    <xf numFmtId="0" fontId="12" fillId="3" borderId="0" xfId="1" applyFont="1" applyFill="1" applyAlignment="1">
      <alignment horizontal="right"/>
    </xf>
    <xf numFmtId="0" fontId="15" fillId="3" borderId="0" xfId="1" applyFont="1" applyFill="1"/>
    <xf numFmtId="168" fontId="11" fillId="3" borderId="0" xfId="1" applyNumberFormat="1" applyFont="1" applyFill="1" applyAlignment="1">
      <alignment horizontal="center" vertical="center"/>
    </xf>
    <xf numFmtId="0" fontId="14" fillId="3" borderId="0" xfId="1" applyFont="1" applyFill="1"/>
    <xf numFmtId="0" fontId="13" fillId="3" borderId="15" xfId="1" applyFont="1" applyFill="1" applyBorder="1"/>
    <xf numFmtId="168" fontId="12" fillId="6" borderId="0" xfId="1" applyNumberFormat="1" applyFont="1" applyFill="1" applyAlignment="1">
      <alignment horizontal="center" vertical="center"/>
    </xf>
    <xf numFmtId="0" fontId="11" fillId="3" borderId="0" xfId="1" applyFont="1" applyFill="1" applyAlignment="1">
      <alignment vertical="center"/>
    </xf>
    <xf numFmtId="166" fontId="11" fillId="3" borderId="0" xfId="1" applyNumberFormat="1" applyFont="1" applyFill="1" applyAlignment="1">
      <alignment horizontal="left" vertical="center"/>
    </xf>
    <xf numFmtId="166" fontId="12" fillId="3" borderId="0" xfId="1" applyNumberFormat="1" applyFont="1" applyFill="1" applyAlignment="1">
      <alignment horizontal="center"/>
    </xf>
    <xf numFmtId="166" fontId="11" fillId="3" borderId="0" xfId="1" applyNumberFormat="1" applyFont="1" applyFill="1" applyAlignment="1">
      <alignment horizontal="center" wrapText="1"/>
    </xf>
    <xf numFmtId="169" fontId="12" fillId="3" borderId="0" xfId="1" applyNumberFormat="1" applyFont="1" applyFill="1" applyAlignment="1">
      <alignment horizontal="center"/>
    </xf>
    <xf numFmtId="169" fontId="11" fillId="3" borderId="0" xfId="1" applyNumberFormat="1" applyFont="1" applyFill="1" applyAlignment="1">
      <alignment horizontal="center"/>
    </xf>
    <xf numFmtId="49" fontId="11" fillId="3" borderId="0" xfId="4" applyNumberFormat="1" applyFont="1" applyFill="1" applyAlignment="1">
      <alignment horizontal="left" vertical="center"/>
    </xf>
    <xf numFmtId="0" fontId="11" fillId="3" borderId="0" xfId="1" applyFont="1" applyFill="1" applyAlignment="1">
      <alignment horizontal="left" vertical="center" wrapText="1"/>
    </xf>
    <xf numFmtId="170" fontId="12" fillId="3" borderId="0" xfId="1" applyNumberFormat="1" applyFont="1" applyFill="1" applyAlignment="1">
      <alignment horizontal="center"/>
    </xf>
    <xf numFmtId="49" fontId="2" fillId="3" borderId="0" xfId="1" applyNumberFormat="1" applyFont="1" applyFill="1"/>
    <xf numFmtId="0" fontId="2" fillId="3" borderId="0" xfId="1" applyFont="1" applyFill="1"/>
    <xf numFmtId="10" fontId="18" fillId="3" borderId="0" xfId="5" applyNumberFormat="1" applyFont="1" applyFill="1" applyAlignment="1">
      <alignment horizontal="center"/>
    </xf>
    <xf numFmtId="9" fontId="16" fillId="3" borderId="0" xfId="5" applyFont="1" applyFill="1" applyAlignment="1">
      <alignment horizontal="center" vertical="center" wrapText="1"/>
    </xf>
    <xf numFmtId="0" fontId="11" fillId="3" borderId="0" xfId="1" applyFont="1" applyFill="1" applyAlignment="1">
      <alignment horizontal="center" vertical="center"/>
    </xf>
    <xf numFmtId="168" fontId="11" fillId="3" borderId="0" xfId="1" applyNumberFormat="1" applyFont="1" applyFill="1" applyAlignment="1">
      <alignment horizontal="right" vertical="center"/>
    </xf>
    <xf numFmtId="0" fontId="13" fillId="3" borderId="0" xfId="1" applyFont="1" applyFill="1" applyAlignment="1">
      <alignment horizontal="left"/>
    </xf>
    <xf numFmtId="168" fontId="11" fillId="3" borderId="0" xfId="1" applyNumberFormat="1" applyFont="1" applyFill="1" applyAlignment="1">
      <alignment horizontal="left" vertical="center" wrapText="1"/>
    </xf>
    <xf numFmtId="166" fontId="11" fillId="3" borderId="0" xfId="1" applyNumberFormat="1" applyFont="1" applyFill="1" applyAlignment="1">
      <alignment horizontal="center"/>
    </xf>
    <xf numFmtId="0" fontId="12" fillId="3" borderId="0" xfId="1" applyFont="1" applyFill="1" applyAlignment="1">
      <alignment vertical="center"/>
    </xf>
    <xf numFmtId="168" fontId="20" fillId="8" borderId="0" xfId="1" applyNumberFormat="1" applyFont="1" applyFill="1" applyAlignment="1" applyProtection="1">
      <alignment horizontal="center" vertical="center"/>
      <protection locked="0"/>
    </xf>
    <xf numFmtId="0" fontId="3" fillId="2" borderId="0" xfId="0" applyFont="1" applyFill="1" applyAlignment="1">
      <alignment horizontal="left" vertical="top" wrapText="1"/>
    </xf>
    <xf numFmtId="164" fontId="6" fillId="2" borderId="0" xfId="0" applyNumberFormat="1" applyFont="1" applyFill="1" applyAlignment="1">
      <alignment horizontal="center" vertical="top" wrapText="1"/>
    </xf>
    <xf numFmtId="0" fontId="26" fillId="2" borderId="0" xfId="0" applyFont="1" applyFill="1" applyAlignment="1">
      <alignment horizontal="right" vertical="top" wrapText="1"/>
    </xf>
    <xf numFmtId="14" fontId="6" fillId="2" borderId="13" xfId="0" applyNumberFormat="1" applyFont="1" applyFill="1" applyBorder="1" applyAlignment="1">
      <alignment horizontal="center" vertical="top" wrapText="1"/>
    </xf>
    <xf numFmtId="164" fontId="6" fillId="2" borderId="13" xfId="0" applyNumberFormat="1" applyFont="1" applyFill="1" applyBorder="1" applyAlignment="1">
      <alignment horizontal="center" vertical="top" wrapText="1"/>
    </xf>
    <xf numFmtId="0" fontId="25" fillId="2" borderId="13" xfId="0" applyFont="1" applyFill="1" applyBorder="1" applyAlignment="1">
      <alignment horizontal="left" vertical="top" wrapText="1"/>
    </xf>
    <xf numFmtId="0" fontId="6" fillId="2" borderId="13" xfId="0" applyFont="1" applyFill="1" applyBorder="1" applyAlignment="1">
      <alignment horizontal="center" vertical="top" wrapText="1"/>
    </xf>
    <xf numFmtId="0" fontId="7" fillId="2" borderId="13" xfId="0" applyFont="1" applyFill="1" applyBorder="1" applyAlignment="1">
      <alignment horizontal="center" vertical="top" wrapText="1"/>
    </xf>
    <xf numFmtId="0" fontId="7" fillId="7" borderId="13" xfId="0" applyFont="1" applyFill="1" applyBorder="1" applyAlignment="1">
      <alignment horizontal="center" vertical="top" wrapText="1"/>
    </xf>
    <xf numFmtId="164" fontId="7" fillId="7" borderId="13" xfId="0" applyNumberFormat="1" applyFont="1" applyFill="1" applyBorder="1" applyAlignment="1">
      <alignment horizontal="center" vertical="top" wrapText="1"/>
    </xf>
    <xf numFmtId="0" fontId="7" fillId="7" borderId="13" xfId="0" applyFont="1" applyFill="1" applyBorder="1" applyAlignment="1">
      <alignment horizontal="left" vertical="top" wrapText="1"/>
    </xf>
    <xf numFmtId="0" fontId="26" fillId="2" borderId="13" xfId="0" applyFont="1" applyFill="1" applyBorder="1" applyAlignment="1">
      <alignment horizontal="center" vertical="top" wrapText="1"/>
    </xf>
    <xf numFmtId="0" fontId="5" fillId="5" borderId="13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27" fillId="2" borderId="0" xfId="0" applyFont="1" applyFill="1" applyAlignment="1">
      <alignment horizontal="left" vertical="top" wrapText="1"/>
    </xf>
    <xf numFmtId="0" fontId="28" fillId="2" borderId="0" xfId="0" applyFont="1" applyFill="1" applyAlignment="1">
      <alignment horizontal="left" vertical="top" wrapText="1"/>
    </xf>
    <xf numFmtId="0" fontId="28" fillId="5" borderId="13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left" vertical="center"/>
    </xf>
    <xf numFmtId="4" fontId="1" fillId="2" borderId="0" xfId="0" applyNumberFormat="1" applyFont="1" applyFill="1" applyAlignment="1">
      <alignment horizontal="right" vertical="top" wrapText="1"/>
    </xf>
    <xf numFmtId="0" fontId="28" fillId="2" borderId="0" xfId="0" applyFont="1" applyFill="1" applyAlignment="1">
      <alignment horizontal="center" vertical="top" wrapText="1"/>
    </xf>
    <xf numFmtId="0" fontId="0" fillId="0" borderId="0" xfId="0" applyAlignment="1">
      <alignment horizontal="left"/>
    </xf>
    <xf numFmtId="0" fontId="27" fillId="10" borderId="20" xfId="0" applyFont="1" applyFill="1" applyBorder="1" applyAlignment="1">
      <alignment horizontal="center" vertical="center" wrapText="1"/>
    </xf>
    <xf numFmtId="2" fontId="27" fillId="10" borderId="20" xfId="0" applyNumberFormat="1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2" fillId="2" borderId="0" xfId="0" quotePrefix="1" applyFont="1" applyFill="1" applyAlignment="1">
      <alignment horizontal="center" vertical="top" wrapText="1"/>
    </xf>
    <xf numFmtId="0" fontId="2" fillId="2" borderId="0" xfId="0" quotePrefix="1" applyFont="1" applyFill="1" applyAlignment="1">
      <alignment horizontal="left" vertical="top" wrapText="1"/>
    </xf>
    <xf numFmtId="0" fontId="32" fillId="11" borderId="21" xfId="0" applyFont="1" applyFill="1" applyBorder="1" applyAlignment="1">
      <alignment horizontal="center" vertical="center" wrapText="1"/>
    </xf>
    <xf numFmtId="0" fontId="32" fillId="11" borderId="20" xfId="0" applyFont="1" applyFill="1" applyBorder="1" applyAlignment="1">
      <alignment horizontal="center" vertical="center" wrapText="1"/>
    </xf>
    <xf numFmtId="0" fontId="11" fillId="3" borderId="0" xfId="3" applyFont="1" applyFill="1" applyAlignment="1">
      <alignment vertical="center"/>
    </xf>
    <xf numFmtId="0" fontId="3" fillId="2" borderId="15" xfId="0" applyFont="1" applyFill="1" applyBorder="1" applyAlignment="1">
      <alignment horizontal="center" vertical="top"/>
    </xf>
    <xf numFmtId="0" fontId="0" fillId="3" borderId="0" xfId="0" applyFill="1" applyAlignment="1">
      <alignment horizontal="left"/>
    </xf>
    <xf numFmtId="0" fontId="32" fillId="11" borderId="2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top" wrapText="1"/>
    </xf>
    <xf numFmtId="2" fontId="28" fillId="2" borderId="0" xfId="0" applyNumberFormat="1" applyFont="1" applyFill="1" applyAlignment="1">
      <alignment horizontal="center" vertical="top" wrapText="1"/>
    </xf>
    <xf numFmtId="2" fontId="1" fillId="2" borderId="0" xfId="0" applyNumberFormat="1" applyFont="1" applyFill="1" applyAlignment="1">
      <alignment horizontal="right" vertical="top" wrapText="1"/>
    </xf>
    <xf numFmtId="168" fontId="19" fillId="8" borderId="0" xfId="1" applyNumberFormat="1" applyFont="1" applyFill="1" applyAlignment="1" applyProtection="1">
      <alignment horizontal="left" vertical="center" wrapText="1"/>
      <protection locked="0"/>
    </xf>
    <xf numFmtId="0" fontId="6" fillId="2" borderId="13" xfId="0" applyFont="1" applyFill="1" applyBorder="1" applyAlignment="1">
      <alignment horizontal="center" vertical="center" wrapText="1"/>
    </xf>
    <xf numFmtId="0" fontId="25" fillId="2" borderId="13" xfId="0" applyFont="1" applyFill="1" applyBorder="1" applyAlignment="1">
      <alignment horizontal="left" vertical="center" wrapText="1"/>
    </xf>
    <xf numFmtId="164" fontId="6" fillId="2" borderId="13" xfId="0" applyNumberFormat="1" applyFont="1" applyFill="1" applyBorder="1" applyAlignment="1">
      <alignment horizontal="center" vertical="center" wrapText="1"/>
    </xf>
    <xf numFmtId="14" fontId="6" fillId="2" borderId="13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25" fillId="2" borderId="0" xfId="0" applyFont="1" applyFill="1" applyAlignment="1">
      <alignment horizontal="left" vertical="top" wrapText="1"/>
    </xf>
    <xf numFmtId="14" fontId="6" fillId="2" borderId="0" xfId="0" applyNumberFormat="1" applyFont="1" applyFill="1" applyAlignment="1">
      <alignment horizontal="center" vertical="top" wrapText="1"/>
    </xf>
    <xf numFmtId="14" fontId="6" fillId="2" borderId="0" xfId="0" applyNumberFormat="1" applyFont="1" applyFill="1" applyAlignment="1">
      <alignment horizontal="center" vertical="center" wrapText="1"/>
    </xf>
    <xf numFmtId="0" fontId="25" fillId="7" borderId="13" xfId="0" applyFont="1" applyFill="1" applyBorder="1" applyAlignment="1">
      <alignment horizontal="center" vertical="center"/>
    </xf>
    <xf numFmtId="0" fontId="25" fillId="7" borderId="4" xfId="0" applyFont="1" applyFill="1" applyBorder="1" applyAlignment="1">
      <alignment horizontal="left" vertical="center" wrapText="1"/>
    </xf>
    <xf numFmtId="0" fontId="25" fillId="7" borderId="4" xfId="0" applyFont="1" applyFill="1" applyBorder="1" applyAlignment="1">
      <alignment horizontal="center" vertical="center"/>
    </xf>
    <xf numFmtId="172" fontId="11" fillId="3" borderId="0" xfId="1" applyNumberFormat="1" applyFont="1" applyFill="1" applyAlignment="1">
      <alignment horizontal="center" vertical="center" wrapText="1"/>
    </xf>
    <xf numFmtId="173" fontId="12" fillId="3" borderId="0" xfId="1" applyNumberFormat="1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top"/>
    </xf>
    <xf numFmtId="0" fontId="0" fillId="3" borderId="0" xfId="0" applyFill="1" applyAlignment="1">
      <alignment horizontal="center" vertical="center"/>
    </xf>
    <xf numFmtId="0" fontId="3" fillId="3" borderId="9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6" fillId="2" borderId="0" xfId="0" quotePrefix="1" applyFont="1" applyFill="1" applyAlignment="1">
      <alignment horizontal="center" vertical="center" wrapText="1"/>
    </xf>
    <xf numFmtId="0" fontId="6" fillId="7" borderId="13" xfId="0" applyFont="1" applyFill="1" applyBorder="1" applyAlignment="1">
      <alignment horizontal="center" vertical="center" wrapText="1"/>
    </xf>
    <xf numFmtId="0" fontId="25" fillId="7" borderId="13" xfId="0" applyFont="1" applyFill="1" applyBorder="1" applyAlignment="1">
      <alignment horizontal="left" vertical="center" wrapText="1"/>
    </xf>
    <xf numFmtId="0" fontId="25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6" fillId="7" borderId="13" xfId="0" applyFont="1" applyFill="1" applyBorder="1" applyAlignment="1">
      <alignment horizontal="center" vertical="top" wrapText="1"/>
    </xf>
    <xf numFmtId="0" fontId="3" fillId="3" borderId="9" xfId="0" applyFont="1" applyFill="1" applyBorder="1" applyAlignment="1">
      <alignment vertical="center"/>
    </xf>
    <xf numFmtId="2" fontId="3" fillId="3" borderId="9" xfId="0" applyNumberFormat="1" applyFont="1" applyFill="1" applyBorder="1" applyAlignment="1">
      <alignment vertical="center"/>
    </xf>
    <xf numFmtId="0" fontId="3" fillId="3" borderId="10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/>
    </xf>
    <xf numFmtId="2" fontId="3" fillId="3" borderId="1" xfId="0" applyNumberFormat="1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2" fillId="3" borderId="8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left" vertical="center"/>
    </xf>
    <xf numFmtId="4" fontId="12" fillId="3" borderId="18" xfId="1" applyNumberFormat="1" applyFont="1" applyFill="1" applyBorder="1" applyAlignment="1">
      <alignment vertical="center"/>
    </xf>
    <xf numFmtId="0" fontId="5" fillId="3" borderId="0" xfId="1" applyFill="1" applyAlignment="1">
      <alignment vertical="center"/>
    </xf>
    <xf numFmtId="0" fontId="21" fillId="3" borderId="0" xfId="1" applyFont="1" applyFill="1" applyAlignment="1">
      <alignment vertical="center"/>
    </xf>
    <xf numFmtId="0" fontId="11" fillId="3" borderId="17" xfId="1" applyFont="1" applyFill="1" applyBorder="1" applyAlignment="1">
      <alignment vertical="center"/>
    </xf>
    <xf numFmtId="4" fontId="12" fillId="3" borderId="2" xfId="1" applyNumberFormat="1" applyFont="1" applyFill="1" applyBorder="1" applyAlignment="1">
      <alignment vertical="center"/>
    </xf>
    <xf numFmtId="0" fontId="12" fillId="3" borderId="3" xfId="1" applyFont="1" applyFill="1" applyBorder="1" applyAlignment="1">
      <alignment vertical="center"/>
    </xf>
    <xf numFmtId="0" fontId="11" fillId="3" borderId="3" xfId="1" applyFont="1" applyFill="1" applyBorder="1" applyAlignment="1">
      <alignment vertical="center"/>
    </xf>
    <xf numFmtId="0" fontId="21" fillId="3" borderId="3" xfId="1" applyFont="1" applyFill="1" applyBorder="1" applyAlignment="1">
      <alignment vertical="center"/>
    </xf>
    <xf numFmtId="4" fontId="11" fillId="3" borderId="3" xfId="1" applyNumberFormat="1" applyFont="1" applyFill="1" applyBorder="1" applyAlignment="1">
      <alignment vertical="center"/>
    </xf>
    <xf numFmtId="0" fontId="11" fillId="3" borderId="16" xfId="1" applyFont="1" applyFill="1" applyBorder="1" applyAlignment="1">
      <alignment vertical="center"/>
    </xf>
    <xf numFmtId="170" fontId="11" fillId="3" borderId="0" xfId="1" applyNumberFormat="1" applyFont="1" applyFill="1" applyAlignment="1">
      <alignment horizontal="center"/>
    </xf>
    <xf numFmtId="174" fontId="11" fillId="3" borderId="0" xfId="1" applyNumberFormat="1" applyFont="1" applyFill="1" applyAlignment="1">
      <alignment horizontal="center" vertical="center" wrapText="1"/>
    </xf>
    <xf numFmtId="167" fontId="11" fillId="3" borderId="0" xfId="1" applyNumberFormat="1" applyFont="1" applyFill="1" applyAlignment="1">
      <alignment horizontal="left" vertical="center"/>
    </xf>
    <xf numFmtId="166" fontId="12" fillId="3" borderId="0" xfId="1" applyNumberFormat="1" applyFont="1" applyFill="1" applyAlignment="1">
      <alignment horizontal="center" vertical="center"/>
    </xf>
    <xf numFmtId="0" fontId="11" fillId="3" borderId="0" xfId="1" applyFont="1" applyFill="1" applyAlignment="1">
      <alignment horizontal="center" vertical="center" wrapText="1"/>
    </xf>
    <xf numFmtId="0" fontId="11" fillId="6" borderId="0" xfId="1" applyFont="1" applyFill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3" fillId="3" borderId="0" xfId="1" applyFont="1" applyFill="1" applyAlignment="1">
      <alignment horizontal="right"/>
    </xf>
    <xf numFmtId="0" fontId="37" fillId="3" borderId="0" xfId="1" applyFont="1" applyFill="1" applyAlignment="1">
      <alignment horizontal="center"/>
    </xf>
    <xf numFmtId="167" fontId="16" fillId="3" borderId="0" xfId="5" applyNumberFormat="1" applyFont="1" applyFill="1" applyAlignment="1">
      <alignment horizontal="center" vertical="center" wrapText="1"/>
    </xf>
    <xf numFmtId="170" fontId="16" fillId="3" borderId="0" xfId="5" applyNumberFormat="1" applyFont="1" applyFill="1" applyAlignment="1">
      <alignment horizontal="center" vertical="center" wrapText="1"/>
    </xf>
    <xf numFmtId="2" fontId="16" fillId="3" borderId="0" xfId="5" applyNumberFormat="1" applyFont="1" applyFill="1" applyAlignment="1">
      <alignment horizontal="center" vertical="center" wrapText="1"/>
    </xf>
    <xf numFmtId="0" fontId="12" fillId="3" borderId="0" xfId="1" applyFont="1" applyFill="1" applyAlignment="1">
      <alignment horizontal="center" vertical="center"/>
    </xf>
    <xf numFmtId="169" fontId="12" fillId="3" borderId="0" xfId="1" applyNumberFormat="1" applyFont="1" applyFill="1" applyAlignment="1">
      <alignment horizontal="center" vertical="center"/>
    </xf>
    <xf numFmtId="169" fontId="12" fillId="3" borderId="0" xfId="1" applyNumberFormat="1" applyFont="1" applyFill="1" applyAlignment="1">
      <alignment horizontal="left" vertical="top"/>
    </xf>
    <xf numFmtId="166" fontId="16" fillId="3" borderId="0" xfId="1" applyNumberFormat="1" applyFont="1" applyFill="1" applyAlignment="1">
      <alignment horizontal="center" vertical="center" wrapText="1"/>
    </xf>
    <xf numFmtId="0" fontId="38" fillId="3" borderId="0" xfId="1" applyFont="1" applyFill="1"/>
    <xf numFmtId="1" fontId="11" fillId="3" borderId="0" xfId="1" applyNumberFormat="1" applyFont="1" applyFill="1" applyAlignment="1">
      <alignment horizontal="center" vertical="center" wrapText="1"/>
    </xf>
    <xf numFmtId="167" fontId="12" fillId="3" borderId="0" xfId="1" applyNumberFormat="1" applyFont="1" applyFill="1" applyAlignment="1">
      <alignment horizontal="center"/>
    </xf>
    <xf numFmtId="43" fontId="11" fillId="3" borderId="0" xfId="1" applyNumberFormat="1" applyFont="1" applyFill="1" applyAlignment="1">
      <alignment horizontal="right" vertical="center"/>
    </xf>
    <xf numFmtId="9" fontId="14" fillId="3" borderId="0" xfId="1" applyNumberFormat="1" applyFont="1" applyFill="1"/>
    <xf numFmtId="0" fontId="30" fillId="12" borderId="20" xfId="0" applyFont="1" applyFill="1" applyBorder="1" applyAlignment="1">
      <alignment horizontal="left" vertical="top" wrapText="1"/>
    </xf>
    <xf numFmtId="0" fontId="30" fillId="12" borderId="20" xfId="0" applyFont="1" applyFill="1" applyBorder="1" applyAlignment="1">
      <alignment horizontal="center" vertical="top" wrapText="1"/>
    </xf>
    <xf numFmtId="0" fontId="30" fillId="12" borderId="20" xfId="0" applyFont="1" applyFill="1" applyBorder="1" applyAlignment="1">
      <alignment horizontal="right" vertical="top" wrapText="1"/>
    </xf>
    <xf numFmtId="4" fontId="30" fillId="12" borderId="20" xfId="0" applyNumberFormat="1" applyFont="1" applyFill="1" applyBorder="1" applyAlignment="1">
      <alignment horizontal="right" vertical="top" wrapText="1"/>
    </xf>
    <xf numFmtId="0" fontId="29" fillId="13" borderId="20" xfId="0" applyFont="1" applyFill="1" applyBorder="1" applyAlignment="1">
      <alignment horizontal="left" vertical="top" wrapText="1"/>
    </xf>
    <xf numFmtId="0" fontId="29" fillId="13" borderId="20" xfId="0" applyFont="1" applyFill="1" applyBorder="1" applyAlignment="1">
      <alignment horizontal="center" vertical="top" wrapText="1"/>
    </xf>
    <xf numFmtId="4" fontId="29" fillId="13" borderId="20" xfId="0" applyNumberFormat="1" applyFont="1" applyFill="1" applyBorder="1" applyAlignment="1">
      <alignment horizontal="right" vertical="top" wrapText="1"/>
    </xf>
    <xf numFmtId="2" fontId="30" fillId="12" borderId="20" xfId="0" applyNumberFormat="1" applyFont="1" applyFill="1" applyBorder="1" applyAlignment="1">
      <alignment horizontal="right" vertical="top" wrapText="1"/>
    </xf>
    <xf numFmtId="2" fontId="29" fillId="13" borderId="20" xfId="0" applyNumberFormat="1" applyFont="1" applyFill="1" applyBorder="1" applyAlignment="1">
      <alignment horizontal="right" vertical="top" wrapText="1"/>
    </xf>
    <xf numFmtId="0" fontId="1" fillId="13" borderId="0" xfId="0" applyFont="1" applyFill="1" applyAlignment="1">
      <alignment horizontal="right" vertical="top" wrapText="1"/>
    </xf>
    <xf numFmtId="0" fontId="27" fillId="13" borderId="20" xfId="0" applyFont="1" applyFill="1" applyBorder="1" applyAlignment="1">
      <alignment horizontal="left" vertical="top" wrapText="1"/>
    </xf>
    <xf numFmtId="0" fontId="27" fillId="13" borderId="20" xfId="0" applyFont="1" applyFill="1" applyBorder="1" applyAlignment="1">
      <alignment horizontal="center" vertical="top" wrapText="1"/>
    </xf>
    <xf numFmtId="0" fontId="27" fillId="13" borderId="20" xfId="0" applyFont="1" applyFill="1" applyBorder="1" applyAlignment="1">
      <alignment horizontal="right" vertical="top" wrapText="1"/>
    </xf>
    <xf numFmtId="0" fontId="29" fillId="13" borderId="20" xfId="0" applyFont="1" applyFill="1" applyBorder="1" applyAlignment="1">
      <alignment horizontal="right" vertical="top" wrapText="1"/>
    </xf>
    <xf numFmtId="171" fontId="29" fillId="13" borderId="20" xfId="0" applyNumberFormat="1" applyFont="1" applyFill="1" applyBorder="1" applyAlignment="1">
      <alignment horizontal="right" vertical="top" wrapText="1"/>
    </xf>
    <xf numFmtId="0" fontId="29" fillId="13" borderId="19" xfId="0" applyFont="1" applyFill="1" applyBorder="1" applyAlignment="1">
      <alignment horizontal="left" vertical="top" wrapText="1"/>
    </xf>
    <xf numFmtId="0" fontId="28" fillId="14" borderId="20" xfId="0" applyFont="1" applyFill="1" applyBorder="1" applyAlignment="1">
      <alignment horizontal="left" vertical="top" wrapText="1"/>
    </xf>
    <xf numFmtId="0" fontId="28" fillId="14" borderId="20" xfId="0" applyFont="1" applyFill="1" applyBorder="1" applyAlignment="1">
      <alignment horizontal="center" vertical="top" wrapText="1"/>
    </xf>
    <xf numFmtId="0" fontId="28" fillId="14" borderId="20" xfId="0" applyFont="1" applyFill="1" applyBorder="1" applyAlignment="1">
      <alignment horizontal="right" vertical="top" wrapText="1"/>
    </xf>
    <xf numFmtId="4" fontId="28" fillId="14" borderId="20" xfId="0" applyNumberFormat="1" applyFont="1" applyFill="1" applyBorder="1" applyAlignment="1">
      <alignment horizontal="right" vertical="top" wrapText="1"/>
    </xf>
    <xf numFmtId="171" fontId="28" fillId="14" borderId="20" xfId="0" applyNumberFormat="1" applyFont="1" applyFill="1" applyBorder="1" applyAlignment="1">
      <alignment horizontal="right" vertical="top" wrapText="1"/>
    </xf>
    <xf numFmtId="0" fontId="28" fillId="15" borderId="20" xfId="0" applyFont="1" applyFill="1" applyBorder="1" applyAlignment="1">
      <alignment horizontal="left" vertical="top" wrapText="1"/>
    </xf>
    <xf numFmtId="0" fontId="28" fillId="15" borderId="20" xfId="0" applyFont="1" applyFill="1" applyBorder="1" applyAlignment="1">
      <alignment horizontal="center" vertical="top" wrapText="1"/>
    </xf>
    <xf numFmtId="0" fontId="28" fillId="15" borderId="20" xfId="0" applyFont="1" applyFill="1" applyBorder="1" applyAlignment="1">
      <alignment horizontal="right" vertical="top" wrapText="1"/>
    </xf>
    <xf numFmtId="4" fontId="28" fillId="15" borderId="20" xfId="0" applyNumberFormat="1" applyFont="1" applyFill="1" applyBorder="1" applyAlignment="1">
      <alignment horizontal="right" vertical="top" wrapText="1"/>
    </xf>
    <xf numFmtId="171" fontId="28" fillId="15" borderId="20" xfId="0" applyNumberFormat="1" applyFont="1" applyFill="1" applyBorder="1" applyAlignment="1">
      <alignment horizontal="right" vertical="top" wrapText="1"/>
    </xf>
    <xf numFmtId="0" fontId="1" fillId="13" borderId="0" xfId="0" applyFont="1" applyFill="1" applyAlignment="1">
      <alignment horizontal="center" vertical="top" wrapText="1"/>
    </xf>
    <xf numFmtId="0" fontId="28" fillId="13" borderId="0" xfId="0" applyFont="1" applyFill="1" applyAlignment="1">
      <alignment horizontal="left" vertical="top" wrapText="1"/>
    </xf>
    <xf numFmtId="0" fontId="28" fillId="13" borderId="0" xfId="0" applyFont="1" applyFill="1" applyAlignment="1">
      <alignment horizontal="center" vertical="top" wrapText="1"/>
    </xf>
    <xf numFmtId="0" fontId="28" fillId="13" borderId="0" xfId="0" applyFont="1" applyFill="1" applyAlignment="1">
      <alignment horizontal="right" vertical="top" wrapText="1"/>
    </xf>
    <xf numFmtId="4" fontId="28" fillId="13" borderId="0" xfId="0" applyNumberFormat="1" applyFont="1" applyFill="1" applyAlignment="1">
      <alignment horizontal="right" vertical="top" wrapText="1"/>
    </xf>
    <xf numFmtId="0" fontId="29" fillId="12" borderId="25" xfId="0" applyFont="1" applyFill="1" applyBorder="1" applyAlignment="1">
      <alignment horizontal="center" vertical="top" wrapText="1"/>
    </xf>
    <xf numFmtId="0" fontId="23" fillId="2" borderId="0" xfId="0" applyFont="1" applyFill="1" applyAlignment="1">
      <alignment horizontal="right" vertical="top" wrapText="1"/>
    </xf>
    <xf numFmtId="0" fontId="7" fillId="2" borderId="0" xfId="0" quotePrefix="1" applyFont="1" applyFill="1" applyAlignment="1">
      <alignment horizontal="right" vertical="center" wrapText="1"/>
    </xf>
    <xf numFmtId="0" fontId="6" fillId="2" borderId="0" xfId="0" quotePrefix="1" applyFont="1" applyFill="1" applyAlignment="1">
      <alignment horizontal="center" vertical="top" wrapText="1"/>
    </xf>
    <xf numFmtId="0" fontId="6" fillId="2" borderId="15" xfId="0" applyFont="1" applyFill="1" applyBorder="1" applyAlignment="1">
      <alignment horizontal="center" vertical="top" wrapText="1"/>
    </xf>
    <xf numFmtId="0" fontId="5" fillId="2" borderId="0" xfId="0" quotePrefix="1" applyFont="1" applyFill="1" applyAlignment="1">
      <alignment horizontal="center" vertical="top" wrapText="1"/>
    </xf>
    <xf numFmtId="0" fontId="6" fillId="2" borderId="15" xfId="0" applyFont="1" applyFill="1" applyBorder="1" applyAlignment="1">
      <alignment horizontal="left" vertical="top" wrapText="1"/>
    </xf>
    <xf numFmtId="0" fontId="2" fillId="2" borderId="14" xfId="0" applyFont="1" applyFill="1" applyBorder="1" applyAlignment="1">
      <alignment horizontal="center" vertical="top" wrapText="1"/>
    </xf>
    <xf numFmtId="0" fontId="7" fillId="2" borderId="0" xfId="0" quotePrefix="1" applyFont="1" applyFill="1" applyAlignment="1">
      <alignment horizontal="center" vertical="top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3" borderId="8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right" vertical="top" wrapText="1"/>
    </xf>
    <xf numFmtId="4" fontId="1" fillId="2" borderId="0" xfId="0" applyNumberFormat="1" applyFont="1" applyFill="1" applyAlignment="1">
      <alignment horizontal="right" vertical="top" wrapText="1"/>
    </xf>
    <xf numFmtId="164" fontId="1" fillId="2" borderId="0" xfId="6" applyNumberFormat="1" applyFont="1" applyFill="1" applyAlignment="1">
      <alignment horizontal="right" vertical="top" wrapText="1"/>
    </xf>
    <xf numFmtId="0" fontId="28" fillId="15" borderId="20" xfId="0" applyFont="1" applyFill="1" applyBorder="1" applyAlignment="1">
      <alignment horizontal="left" vertical="top" wrapText="1"/>
    </xf>
    <xf numFmtId="0" fontId="28" fillId="13" borderId="0" xfId="0" applyFont="1" applyFill="1" applyAlignment="1">
      <alignment horizontal="right" vertical="top" wrapText="1"/>
    </xf>
    <xf numFmtId="0" fontId="27" fillId="13" borderId="20" xfId="0" applyFont="1" applyFill="1" applyBorder="1" applyAlignment="1">
      <alignment horizontal="left" vertical="top" wrapText="1"/>
    </xf>
    <xf numFmtId="0" fontId="29" fillId="13" borderId="20" xfId="0" applyFont="1" applyFill="1" applyBorder="1" applyAlignment="1">
      <alignment horizontal="left" vertical="top" wrapText="1"/>
    </xf>
    <xf numFmtId="0" fontId="28" fillId="14" borderId="20" xfId="0" applyFont="1" applyFill="1" applyBorder="1" applyAlignment="1">
      <alignment horizontal="left" vertical="top" wrapText="1"/>
    </xf>
    <xf numFmtId="0" fontId="1" fillId="13" borderId="0" xfId="0" applyFont="1" applyFill="1" applyAlignment="1">
      <alignment horizontal="right" vertical="top" wrapText="1"/>
    </xf>
    <xf numFmtId="0" fontId="1" fillId="13" borderId="0" xfId="0" applyFont="1" applyFill="1" applyAlignment="1">
      <alignment horizontal="left" vertical="top" wrapText="1"/>
    </xf>
    <xf numFmtId="4" fontId="1" fillId="13" borderId="0" xfId="0" applyNumberFormat="1" applyFont="1" applyFill="1" applyAlignment="1">
      <alignment horizontal="right" vertical="top" wrapText="1"/>
    </xf>
    <xf numFmtId="0" fontId="3" fillId="2" borderId="15" xfId="0" applyFont="1" applyFill="1" applyBorder="1" applyAlignment="1">
      <alignment horizontal="left" vertical="top" wrapText="1"/>
    </xf>
    <xf numFmtId="0" fontId="2" fillId="2" borderId="14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24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1" fillId="2" borderId="15" xfId="0" applyFont="1" applyFill="1" applyBorder="1" applyAlignment="1">
      <alignment horizontal="left" vertical="top" wrapText="1"/>
    </xf>
    <xf numFmtId="0" fontId="1" fillId="2" borderId="14" xfId="0" applyFont="1" applyFill="1" applyBorder="1" applyAlignment="1">
      <alignment horizontal="left" vertical="top" wrapText="1"/>
    </xf>
    <xf numFmtId="0" fontId="10" fillId="3" borderId="15" xfId="0" applyFont="1" applyFill="1" applyBorder="1" applyAlignment="1">
      <alignment horizontal="left"/>
    </xf>
    <xf numFmtId="0" fontId="27" fillId="2" borderId="0" xfId="0" applyFont="1" applyFill="1" applyAlignment="1">
      <alignment horizontal="left" vertical="top" wrapText="1"/>
    </xf>
    <xf numFmtId="0" fontId="2" fillId="3" borderId="8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10" fontId="9" fillId="3" borderId="4" xfId="0" applyNumberFormat="1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left" vertical="center" wrapText="1"/>
    </xf>
    <xf numFmtId="0" fontId="4" fillId="3" borderId="0" xfId="0" applyFont="1" applyFill="1" applyAlignment="1">
      <alignment horizontal="left" vertical="center"/>
    </xf>
    <xf numFmtId="0" fontId="9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36" fillId="3" borderId="0" xfId="0" applyFont="1" applyFill="1" applyAlignment="1">
      <alignment horizontal="left" vertical="center" wrapText="1"/>
    </xf>
    <xf numFmtId="10" fontId="4" fillId="3" borderId="4" xfId="0" applyNumberFormat="1" applyFont="1" applyFill="1" applyBorder="1" applyAlignment="1">
      <alignment horizontal="center" vertical="center"/>
    </xf>
    <xf numFmtId="10" fontId="4" fillId="3" borderId="6" xfId="0" applyNumberFormat="1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164" fontId="9" fillId="3" borderId="13" xfId="0" applyNumberFormat="1" applyFont="1" applyFill="1" applyBorder="1" applyAlignment="1">
      <alignment horizontal="center" vertical="center"/>
    </xf>
    <xf numFmtId="164" fontId="4" fillId="3" borderId="13" xfId="0" applyNumberFormat="1" applyFont="1" applyFill="1" applyBorder="1" applyAlignment="1">
      <alignment horizontal="center" vertical="center"/>
    </xf>
    <xf numFmtId="0" fontId="3" fillId="2" borderId="0" xfId="0" quotePrefix="1" applyFont="1" applyFill="1" applyAlignment="1">
      <alignment horizontal="center" vertical="top"/>
    </xf>
    <xf numFmtId="0" fontId="3" fillId="3" borderId="23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vertical="top" wrapText="1"/>
    </xf>
    <xf numFmtId="0" fontId="1" fillId="2" borderId="15" xfId="0" applyFont="1" applyFill="1" applyBorder="1" applyAlignment="1">
      <alignment vertical="top" wrapText="1"/>
    </xf>
    <xf numFmtId="0" fontId="2" fillId="2" borderId="14" xfId="0" quotePrefix="1" applyFont="1" applyFill="1" applyBorder="1" applyAlignment="1">
      <alignment horizontal="center" vertical="top"/>
    </xf>
    <xf numFmtId="0" fontId="12" fillId="3" borderId="0" xfId="1" applyFont="1" applyFill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168" fontId="20" fillId="9" borderId="4" xfId="1" applyNumberFormat="1" applyFont="1" applyFill="1" applyBorder="1" applyAlignment="1" applyProtection="1">
      <alignment horizontal="center" vertical="center"/>
      <protection locked="0"/>
    </xf>
    <xf numFmtId="168" fontId="20" fillId="9" borderId="5" xfId="1" applyNumberFormat="1" applyFont="1" applyFill="1" applyBorder="1" applyAlignment="1" applyProtection="1">
      <alignment horizontal="center" vertical="center"/>
      <protection locked="0"/>
    </xf>
    <xf numFmtId="168" fontId="20" fillId="9" borderId="6" xfId="1" applyNumberFormat="1" applyFont="1" applyFill="1" applyBorder="1" applyAlignment="1" applyProtection="1">
      <alignment horizontal="center" vertical="center"/>
      <protection locked="0"/>
    </xf>
    <xf numFmtId="0" fontId="22" fillId="3" borderId="5" xfId="1" applyFont="1" applyFill="1" applyBorder="1" applyAlignment="1">
      <alignment horizontal="left" vertical="center" wrapText="1"/>
    </xf>
    <xf numFmtId="0" fontId="22" fillId="3" borderId="12" xfId="1" applyFont="1" applyFill="1" applyBorder="1" applyAlignment="1">
      <alignment horizontal="left" vertical="center" wrapText="1"/>
    </xf>
    <xf numFmtId="4" fontId="12" fillId="3" borderId="11" xfId="1" applyNumberFormat="1" applyFont="1" applyFill="1" applyBorder="1" applyAlignment="1">
      <alignment horizontal="left" vertical="center"/>
    </xf>
    <xf numFmtId="4" fontId="12" fillId="3" borderId="5" xfId="1" applyNumberFormat="1" applyFont="1" applyFill="1" applyBorder="1" applyAlignment="1">
      <alignment horizontal="left" vertical="center"/>
    </xf>
    <xf numFmtId="0" fontId="11" fillId="3" borderId="0" xfId="1" quotePrefix="1" applyFont="1" applyFill="1" applyAlignment="1">
      <alignment horizontal="center" vertical="center"/>
    </xf>
    <xf numFmtId="166" fontId="11" fillId="3" borderId="0" xfId="1" quotePrefix="1" applyNumberFormat="1" applyFont="1" applyFill="1" applyAlignment="1">
      <alignment horizontal="center" vertical="center"/>
    </xf>
    <xf numFmtId="0" fontId="11" fillId="3" borderId="0" xfId="1" applyFont="1" applyFill="1" applyAlignment="1">
      <alignment horizontal="center" vertical="center"/>
    </xf>
    <xf numFmtId="166" fontId="12" fillId="3" borderId="14" xfId="1" applyNumberFormat="1" applyFont="1" applyFill="1" applyBorder="1" applyAlignment="1">
      <alignment horizontal="center" vertical="center"/>
    </xf>
    <xf numFmtId="168" fontId="19" fillId="8" borderId="0" xfId="1" applyNumberFormat="1" applyFont="1" applyFill="1" applyAlignment="1" applyProtection="1">
      <alignment horizontal="left" vertical="center" wrapText="1"/>
      <protection locked="0"/>
    </xf>
    <xf numFmtId="166" fontId="12" fillId="3" borderId="0" xfId="1" applyNumberFormat="1" applyFont="1" applyFill="1" applyAlignment="1">
      <alignment horizontal="center" wrapText="1"/>
    </xf>
    <xf numFmtId="10" fontId="40" fillId="0" borderId="0" xfId="0" applyNumberFormat="1" applyFont="1"/>
    <xf numFmtId="4" fontId="0" fillId="0" borderId="0" xfId="0" applyNumberFormat="1"/>
  </cellXfs>
  <cellStyles count="7">
    <cellStyle name="Moeda" xfId="6" builtinId="4"/>
    <cellStyle name="Normal" xfId="0" builtinId="0"/>
    <cellStyle name="Normal 2" xfId="1" xr:uid="{00000000-0005-0000-0000-000002000000}"/>
    <cellStyle name="Normal 23" xfId="4" xr:uid="{00000000-0005-0000-0000-000003000000}"/>
    <cellStyle name="Normal 25" xfId="3" xr:uid="{00000000-0005-0000-0000-000004000000}"/>
    <cellStyle name="Porcentagem 2" xfId="5" xr:uid="{00000000-0005-0000-0000-000005000000}"/>
    <cellStyle name="Vírgula 2" xfId="2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png"/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28575</xdr:rowOff>
    </xdr:from>
    <xdr:ext cx="1019175" cy="847725"/>
    <xdr:pic>
      <xdr:nvPicPr>
        <xdr:cNvPr id="2" name="Imagem 4">
          <a:extLst>
            <a:ext uri="{FF2B5EF4-FFF2-40B4-BE49-F238E27FC236}">
              <a16:creationId xmlns:a16="http://schemas.microsoft.com/office/drawing/2014/main" id="{F3989A75-C87F-4D8A-931E-0560928BE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8575"/>
          <a:ext cx="10191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356152</xdr:colOff>
      <xdr:row>0</xdr:row>
      <xdr:rowOff>124239</xdr:rowOff>
    </xdr:from>
    <xdr:to>
      <xdr:col>8</xdr:col>
      <xdr:colOff>1069414</xdr:colOff>
      <xdr:row>4</xdr:row>
      <xdr:rowOff>27482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0B42E2B-645F-49A1-9CBD-B46F22DE9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05391" y="124239"/>
          <a:ext cx="1847980" cy="6321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213014</xdr:colOff>
      <xdr:row>0</xdr:row>
      <xdr:rowOff>89188</xdr:rowOff>
    </xdr:from>
    <xdr:ext cx="1021416" cy="838455"/>
    <xdr:pic>
      <xdr:nvPicPr>
        <xdr:cNvPr id="2" name="Imagem 4">
          <a:extLst>
            <a:ext uri="{FF2B5EF4-FFF2-40B4-BE49-F238E27FC236}">
              <a16:creationId xmlns:a16="http://schemas.microsoft.com/office/drawing/2014/main" id="{A9CD3866-9764-4688-AD4F-22374EC251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014" y="89188"/>
          <a:ext cx="1021416" cy="838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8</xdr:col>
      <xdr:colOff>44824</xdr:colOff>
      <xdr:row>0</xdr:row>
      <xdr:rowOff>123264</xdr:rowOff>
    </xdr:from>
    <xdr:to>
      <xdr:col>9</xdr:col>
      <xdr:colOff>839451</xdr:colOff>
      <xdr:row>4</xdr:row>
      <xdr:rowOff>38201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A47D2E4-C650-4AAE-8588-9494663D4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97236" y="123264"/>
          <a:ext cx="1847980" cy="63211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28575</xdr:rowOff>
    </xdr:from>
    <xdr:ext cx="1019175" cy="851189"/>
    <xdr:pic>
      <xdr:nvPicPr>
        <xdr:cNvPr id="2" name="Imagem 4">
          <a:extLst>
            <a:ext uri="{FF2B5EF4-FFF2-40B4-BE49-F238E27FC236}">
              <a16:creationId xmlns:a16="http://schemas.microsoft.com/office/drawing/2014/main" id="{9ADA059D-E9F8-438F-A225-20CA01ADF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8575"/>
          <a:ext cx="1019175" cy="8511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5</xdr:col>
      <xdr:colOff>381000</xdr:colOff>
      <xdr:row>0</xdr:row>
      <xdr:rowOff>112569</xdr:rowOff>
    </xdr:from>
    <xdr:to>
      <xdr:col>6</xdr:col>
      <xdr:colOff>774253</xdr:colOff>
      <xdr:row>4</xdr:row>
      <xdr:rowOff>17318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F58B202-50F7-445E-9463-BB18738D7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3455" y="112569"/>
          <a:ext cx="1847980" cy="63211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84604</xdr:rowOff>
    </xdr:from>
    <xdr:to>
      <xdr:col>2</xdr:col>
      <xdr:colOff>590396</xdr:colOff>
      <xdr:row>5</xdr:row>
      <xdr:rowOff>29134</xdr:rowOff>
    </xdr:to>
    <xdr:pic>
      <xdr:nvPicPr>
        <xdr:cNvPr id="4" name="Imagem 4">
          <a:extLst>
            <a:ext uri="{FF2B5EF4-FFF2-40B4-BE49-F238E27FC236}">
              <a16:creationId xmlns:a16="http://schemas.microsoft.com/office/drawing/2014/main" id="{62CF8240-7FC1-4268-8E4B-5777654C80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84604"/>
          <a:ext cx="1018155" cy="853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2130136</xdr:colOff>
      <xdr:row>28</xdr:row>
      <xdr:rowOff>213945</xdr:rowOff>
    </xdr:from>
    <xdr:to>
      <xdr:col>5</xdr:col>
      <xdr:colOff>865909</xdr:colOff>
      <xdr:row>30</xdr:row>
      <xdr:rowOff>347718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51AC0D2A-FBA3-4A1C-B76E-1682BEFC4A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1568" y="6994013"/>
          <a:ext cx="3532909" cy="7918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675409</xdr:colOff>
      <xdr:row>0</xdr:row>
      <xdr:rowOff>69273</xdr:rowOff>
    </xdr:from>
    <xdr:to>
      <xdr:col>9</xdr:col>
      <xdr:colOff>159457</xdr:colOff>
      <xdr:row>3</xdr:row>
      <xdr:rowOff>155863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467E983-A7AF-4A65-BF61-92458A00C1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90659" y="69273"/>
          <a:ext cx="1847980" cy="63211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143741</xdr:colOff>
      <xdr:row>0</xdr:row>
      <xdr:rowOff>89189</xdr:rowOff>
    </xdr:from>
    <xdr:ext cx="1077760" cy="893618"/>
    <xdr:pic>
      <xdr:nvPicPr>
        <xdr:cNvPr id="2" name="Imagem 4">
          <a:extLst>
            <a:ext uri="{FF2B5EF4-FFF2-40B4-BE49-F238E27FC236}">
              <a16:creationId xmlns:a16="http://schemas.microsoft.com/office/drawing/2014/main" id="{87251855-316D-486C-90B2-B95319E3D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741" y="89189"/>
          <a:ext cx="1077760" cy="8936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5</xdr:col>
      <xdr:colOff>476250</xdr:colOff>
      <xdr:row>0</xdr:row>
      <xdr:rowOff>114300</xdr:rowOff>
    </xdr:from>
    <xdr:to>
      <xdr:col>5</xdr:col>
      <xdr:colOff>2324230</xdr:colOff>
      <xdr:row>4</xdr:row>
      <xdr:rowOff>22513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21D3B564-F063-4881-9E7B-CE1874B811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2850" y="114300"/>
          <a:ext cx="1847980" cy="63211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142875</xdr:colOff>
      <xdr:row>0</xdr:row>
      <xdr:rowOff>66675</xdr:rowOff>
    </xdr:from>
    <xdr:ext cx="1133475" cy="847725"/>
    <xdr:pic>
      <xdr:nvPicPr>
        <xdr:cNvPr id="2" name="Imagem 4">
          <a:extLst>
            <a:ext uri="{FF2B5EF4-FFF2-40B4-BE49-F238E27FC236}">
              <a16:creationId xmlns:a16="http://schemas.microsoft.com/office/drawing/2014/main" id="{A4D09280-B456-499D-9C24-66E4705E7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66675"/>
          <a:ext cx="11334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17</xdr:col>
      <xdr:colOff>648942</xdr:colOff>
      <xdr:row>0</xdr:row>
      <xdr:rowOff>120098</xdr:rowOff>
    </xdr:from>
    <xdr:to>
      <xdr:col>23</xdr:col>
      <xdr:colOff>47755</xdr:colOff>
      <xdr:row>4</xdr:row>
      <xdr:rowOff>104511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6A55249E-0053-43FC-86E2-44AD4CAFE1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6464" y="120098"/>
          <a:ext cx="1858748" cy="6470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10"/>
  <sheetViews>
    <sheetView tabSelected="1" zoomScaleNormal="100" workbookViewId="0">
      <selection activeCell="K19" sqref="K19"/>
    </sheetView>
  </sheetViews>
  <sheetFormatPr defaultRowHeight="14.25" x14ac:dyDescent="0.2"/>
  <cols>
    <col min="1" max="1" width="7.75" style="3" customWidth="1"/>
    <col min="2" max="2" width="10.625" style="3" customWidth="1"/>
    <col min="3" max="3" width="10.5" style="3" customWidth="1"/>
    <col min="4" max="4" width="67.375" customWidth="1"/>
    <col min="5" max="5" width="7.5" customWidth="1"/>
    <col min="6" max="6" width="11" style="5" customWidth="1"/>
    <col min="7" max="7" width="14.625" customWidth="1"/>
    <col min="8" max="8" width="14.875" customWidth="1"/>
    <col min="9" max="9" width="15.75" customWidth="1"/>
    <col min="13" max="13" width="0" hidden="1" customWidth="1"/>
  </cols>
  <sheetData>
    <row r="1" spans="1:13" x14ac:dyDescent="0.2">
      <c r="A1" s="2"/>
      <c r="B1" s="2"/>
      <c r="C1" s="2"/>
      <c r="D1" s="1"/>
      <c r="E1" s="1"/>
      <c r="F1" s="4"/>
      <c r="G1" s="1"/>
      <c r="H1" s="1"/>
      <c r="I1" s="1"/>
    </row>
    <row r="2" spans="1:13" x14ac:dyDescent="0.2">
      <c r="A2" s="2"/>
      <c r="B2" s="2"/>
      <c r="C2" s="257" t="s">
        <v>0</v>
      </c>
      <c r="D2" s="257"/>
      <c r="E2" s="257"/>
      <c r="F2" s="257"/>
      <c r="G2" s="257"/>
      <c r="H2" s="257"/>
      <c r="I2" s="1"/>
    </row>
    <row r="3" spans="1:13" x14ac:dyDescent="0.2">
      <c r="A3" s="2"/>
      <c r="B3" s="2"/>
      <c r="C3" s="257" t="s">
        <v>322</v>
      </c>
      <c r="D3" s="257"/>
      <c r="E3" s="257"/>
      <c r="F3" s="257"/>
      <c r="G3" s="257"/>
      <c r="H3" s="257"/>
      <c r="I3" s="1"/>
    </row>
    <row r="4" spans="1:13" x14ac:dyDescent="0.2">
      <c r="A4" s="2"/>
      <c r="B4" s="2"/>
      <c r="C4" s="257" t="s">
        <v>1</v>
      </c>
      <c r="D4" s="257"/>
      <c r="E4" s="257"/>
      <c r="F4" s="257"/>
      <c r="G4" s="257"/>
      <c r="H4" s="257"/>
      <c r="I4" s="1"/>
    </row>
    <row r="5" spans="1:13" x14ac:dyDescent="0.2">
      <c r="A5" s="2"/>
      <c r="B5" s="2"/>
      <c r="C5" s="257" t="s">
        <v>2</v>
      </c>
      <c r="D5" s="257"/>
      <c r="E5" s="257"/>
      <c r="F5" s="257"/>
      <c r="G5" s="257"/>
      <c r="H5" s="257"/>
      <c r="I5" s="1"/>
    </row>
    <row r="6" spans="1:13" ht="15" thickBot="1" x14ac:dyDescent="0.25">
      <c r="A6" s="2"/>
      <c r="B6" s="2"/>
      <c r="C6" s="2"/>
      <c r="D6" s="1"/>
      <c r="E6" s="1"/>
      <c r="F6" s="4"/>
      <c r="G6" s="1"/>
      <c r="H6" s="1"/>
      <c r="I6" s="1"/>
    </row>
    <row r="7" spans="1:13" x14ac:dyDescent="0.2">
      <c r="A7" s="258" t="s">
        <v>327</v>
      </c>
      <c r="B7" s="259"/>
      <c r="C7" s="259"/>
      <c r="D7" s="259"/>
      <c r="E7" s="171" t="s">
        <v>871</v>
      </c>
      <c r="F7" s="172"/>
      <c r="G7" s="171"/>
      <c r="H7" s="171"/>
      <c r="I7" s="173"/>
    </row>
    <row r="8" spans="1:13" x14ac:dyDescent="0.2">
      <c r="A8" s="260" t="s">
        <v>331</v>
      </c>
      <c r="B8" s="261"/>
      <c r="C8" s="261"/>
      <c r="D8" s="261"/>
      <c r="E8" s="264" t="s">
        <v>868</v>
      </c>
      <c r="F8" s="264"/>
      <c r="G8" s="264"/>
      <c r="H8" s="264"/>
      <c r="I8" s="265"/>
    </row>
    <row r="9" spans="1:13" ht="15" thickBot="1" x14ac:dyDescent="0.25">
      <c r="A9" s="262" t="s">
        <v>636</v>
      </c>
      <c r="B9" s="263"/>
      <c r="C9" s="263"/>
      <c r="D9" s="263"/>
      <c r="E9" s="175" t="s">
        <v>894</v>
      </c>
      <c r="F9" s="176"/>
      <c r="G9" s="175"/>
      <c r="H9" s="175"/>
      <c r="I9" s="177"/>
    </row>
    <row r="10" spans="1:13" x14ac:dyDescent="0.2">
      <c r="A10" s="2"/>
      <c r="B10" s="2"/>
      <c r="C10" s="2"/>
      <c r="D10" s="1"/>
      <c r="E10" s="1"/>
      <c r="F10" s="4"/>
      <c r="G10" s="1"/>
      <c r="H10" s="1"/>
      <c r="I10" s="1"/>
    </row>
    <row r="11" spans="1:13" ht="15.75" x14ac:dyDescent="0.2">
      <c r="A11" s="254" t="s">
        <v>175</v>
      </c>
      <c r="B11" s="255"/>
      <c r="C11" s="255"/>
      <c r="D11" s="255"/>
      <c r="E11" s="255"/>
      <c r="F11" s="255"/>
      <c r="G11" s="255"/>
      <c r="H11" s="255"/>
      <c r="I11" s="256"/>
    </row>
    <row r="12" spans="1:13" ht="15" x14ac:dyDescent="0.25">
      <c r="A12" s="2"/>
      <c r="B12" s="2"/>
      <c r="C12" s="2"/>
      <c r="D12" s="1"/>
      <c r="E12" s="1"/>
      <c r="F12" s="4"/>
      <c r="G12" s="1"/>
      <c r="H12" s="1"/>
      <c r="I12" s="1"/>
      <c r="J12" s="330">
        <v>0.30209999999999998</v>
      </c>
    </row>
    <row r="13" spans="1:13" ht="30" x14ac:dyDescent="0.2">
      <c r="A13" s="128" t="s">
        <v>174</v>
      </c>
      <c r="B13" s="128" t="s">
        <v>156</v>
      </c>
      <c r="C13" s="128" t="s">
        <v>155</v>
      </c>
      <c r="D13" s="128" t="s">
        <v>154</v>
      </c>
      <c r="E13" s="128" t="s">
        <v>153</v>
      </c>
      <c r="F13" s="129" t="s">
        <v>152</v>
      </c>
      <c r="G13" s="128" t="s">
        <v>151</v>
      </c>
      <c r="H13" s="128" t="s">
        <v>173</v>
      </c>
      <c r="I13" s="128" t="s">
        <v>52</v>
      </c>
    </row>
    <row r="14" spans="1:13" x14ac:dyDescent="0.2">
      <c r="A14" s="214" t="s">
        <v>172</v>
      </c>
      <c r="B14" s="214" t="s">
        <v>637</v>
      </c>
      <c r="C14" s="214"/>
      <c r="D14" s="214" t="s">
        <v>113</v>
      </c>
      <c r="E14" s="215"/>
      <c r="F14" s="221">
        <v>1</v>
      </c>
      <c r="G14" s="216" t="s">
        <v>638</v>
      </c>
      <c r="H14" s="217">
        <f>I15 + I16 + I17 + I18 + I19 + I20 + I21 + I22 + I23 + I24 + I25 + I26 + I27 + I28 + I29 + I30 + I31 + I32</f>
        <v>0</v>
      </c>
      <c r="I14" s="217">
        <f>SUM(I15:I32)</f>
        <v>0</v>
      </c>
      <c r="M14" t="e">
        <f>F14*G14</f>
        <v>#VALUE!</v>
      </c>
    </row>
    <row r="15" spans="1:13" ht="25.5" x14ac:dyDescent="0.2">
      <c r="A15" s="218" t="s">
        <v>639</v>
      </c>
      <c r="B15" s="218" t="s">
        <v>640</v>
      </c>
      <c r="C15" s="218" t="s">
        <v>641</v>
      </c>
      <c r="D15" s="218" t="s">
        <v>334</v>
      </c>
      <c r="E15" s="219" t="s">
        <v>642</v>
      </c>
      <c r="F15" s="222">
        <v>7.5</v>
      </c>
      <c r="G15" s="220"/>
      <c r="H15" s="220">
        <f>TRUNC(TRUNC(G15 * J12, 2) + G15, 2)</f>
        <v>0</v>
      </c>
      <c r="I15" s="220">
        <f t="shared" ref="I14:I77" si="0">TRUNC(F15 * H15,2)</f>
        <v>0</v>
      </c>
      <c r="K15" s="331"/>
      <c r="M15">
        <f t="shared" ref="M15:M78" si="1">F15*G15</f>
        <v>0</v>
      </c>
    </row>
    <row r="16" spans="1:13" ht="25.5" x14ac:dyDescent="0.2">
      <c r="A16" s="218" t="s">
        <v>643</v>
      </c>
      <c r="B16" s="218" t="s">
        <v>644</v>
      </c>
      <c r="C16" s="218" t="s">
        <v>641</v>
      </c>
      <c r="D16" s="218" t="s">
        <v>336</v>
      </c>
      <c r="E16" s="219" t="s">
        <v>642</v>
      </c>
      <c r="F16" s="222">
        <v>213.06</v>
      </c>
      <c r="G16" s="220"/>
      <c r="H16" s="220">
        <f>TRUNC(TRUNC(G16 * J12, 2) + G16, 2)</f>
        <v>0</v>
      </c>
      <c r="I16" s="220">
        <f t="shared" si="0"/>
        <v>0</v>
      </c>
      <c r="M16">
        <f t="shared" si="1"/>
        <v>0</v>
      </c>
    </row>
    <row r="17" spans="1:13" ht="25.5" x14ac:dyDescent="0.2">
      <c r="A17" s="218" t="s">
        <v>645</v>
      </c>
      <c r="B17" s="218" t="s">
        <v>646</v>
      </c>
      <c r="C17" s="218" t="s">
        <v>641</v>
      </c>
      <c r="D17" s="218" t="s">
        <v>337</v>
      </c>
      <c r="E17" s="219" t="s">
        <v>647</v>
      </c>
      <c r="F17" s="222">
        <v>12</v>
      </c>
      <c r="G17" s="220"/>
      <c r="H17" s="220">
        <f>TRUNC(TRUNC(G17 * J12, 2) + G17, 2)</f>
        <v>0</v>
      </c>
      <c r="I17" s="220">
        <f t="shared" si="0"/>
        <v>0</v>
      </c>
      <c r="M17">
        <f t="shared" si="1"/>
        <v>0</v>
      </c>
    </row>
    <row r="18" spans="1:13" ht="25.5" x14ac:dyDescent="0.2">
      <c r="A18" s="218" t="s">
        <v>648</v>
      </c>
      <c r="B18" s="218" t="s">
        <v>649</v>
      </c>
      <c r="C18" s="218" t="s">
        <v>641</v>
      </c>
      <c r="D18" s="218" t="s">
        <v>338</v>
      </c>
      <c r="E18" s="219" t="s">
        <v>647</v>
      </c>
      <c r="F18" s="222">
        <v>32</v>
      </c>
      <c r="G18" s="220"/>
      <c r="H18" s="220">
        <f>TRUNC(TRUNC(G18 * J12, 2) + G18, 2)</f>
        <v>0</v>
      </c>
      <c r="I18" s="220">
        <f t="shared" si="0"/>
        <v>0</v>
      </c>
      <c r="M18">
        <f t="shared" si="1"/>
        <v>0</v>
      </c>
    </row>
    <row r="19" spans="1:13" ht="25.5" x14ac:dyDescent="0.2">
      <c r="A19" s="218" t="s">
        <v>650</v>
      </c>
      <c r="B19" s="218" t="s">
        <v>651</v>
      </c>
      <c r="C19" s="218" t="s">
        <v>641</v>
      </c>
      <c r="D19" s="218" t="s">
        <v>339</v>
      </c>
      <c r="E19" s="219" t="s">
        <v>647</v>
      </c>
      <c r="F19" s="222">
        <v>29</v>
      </c>
      <c r="G19" s="220"/>
      <c r="H19" s="220">
        <f>TRUNC(TRUNC(G19 * J12, 2) + G19, 2)</f>
        <v>0</v>
      </c>
      <c r="I19" s="220">
        <f t="shared" si="0"/>
        <v>0</v>
      </c>
      <c r="M19">
        <f t="shared" si="1"/>
        <v>0</v>
      </c>
    </row>
    <row r="20" spans="1:13" ht="25.5" x14ac:dyDescent="0.2">
      <c r="A20" s="218" t="s">
        <v>652</v>
      </c>
      <c r="B20" s="218" t="s">
        <v>653</v>
      </c>
      <c r="C20" s="218" t="s">
        <v>641</v>
      </c>
      <c r="D20" s="218" t="s">
        <v>340</v>
      </c>
      <c r="E20" s="219" t="s">
        <v>642</v>
      </c>
      <c r="F20" s="222">
        <v>7.27</v>
      </c>
      <c r="G20" s="220"/>
      <c r="H20" s="220">
        <f>TRUNC(TRUNC(G20 * J12, 2) + G20, 2)</f>
        <v>0</v>
      </c>
      <c r="I20" s="220">
        <f t="shared" si="0"/>
        <v>0</v>
      </c>
      <c r="M20">
        <f t="shared" si="1"/>
        <v>0</v>
      </c>
    </row>
    <row r="21" spans="1:13" ht="25.5" x14ac:dyDescent="0.2">
      <c r="A21" s="218" t="s">
        <v>654</v>
      </c>
      <c r="B21" s="218" t="s">
        <v>655</v>
      </c>
      <c r="C21" s="218" t="s">
        <v>641</v>
      </c>
      <c r="D21" s="218" t="s">
        <v>341</v>
      </c>
      <c r="E21" s="219" t="s">
        <v>656</v>
      </c>
      <c r="F21" s="222">
        <v>21.91</v>
      </c>
      <c r="G21" s="220"/>
      <c r="H21" s="220">
        <f>TRUNC(TRUNC(G21 * J12, 2) + G21, 2)</f>
        <v>0</v>
      </c>
      <c r="I21" s="220">
        <f t="shared" si="0"/>
        <v>0</v>
      </c>
      <c r="M21">
        <f t="shared" si="1"/>
        <v>0</v>
      </c>
    </row>
    <row r="22" spans="1:13" ht="25.5" x14ac:dyDescent="0.2">
      <c r="A22" s="218" t="s">
        <v>657</v>
      </c>
      <c r="B22" s="218" t="s">
        <v>658</v>
      </c>
      <c r="C22" s="218" t="s">
        <v>800</v>
      </c>
      <c r="D22" s="218" t="s">
        <v>343</v>
      </c>
      <c r="E22" s="219" t="s">
        <v>656</v>
      </c>
      <c r="F22" s="222">
        <v>1.56</v>
      </c>
      <c r="G22" s="220"/>
      <c r="H22" s="220">
        <f>TRUNC(TRUNC(G22 * J12, 2) + G22, 2)</f>
        <v>0</v>
      </c>
      <c r="I22" s="220">
        <f t="shared" si="0"/>
        <v>0</v>
      </c>
      <c r="M22">
        <f t="shared" si="1"/>
        <v>0</v>
      </c>
    </row>
    <row r="23" spans="1:13" ht="25.5" x14ac:dyDescent="0.2">
      <c r="A23" s="218" t="s">
        <v>659</v>
      </c>
      <c r="B23" s="218" t="s">
        <v>660</v>
      </c>
      <c r="C23" s="218" t="s">
        <v>800</v>
      </c>
      <c r="D23" s="218" t="s">
        <v>345</v>
      </c>
      <c r="E23" s="219" t="s">
        <v>642</v>
      </c>
      <c r="F23" s="222">
        <v>1.26</v>
      </c>
      <c r="G23" s="220"/>
      <c r="H23" s="220">
        <f>TRUNC(TRUNC(G23 * J12, 2) + G23, 2)</f>
        <v>0</v>
      </c>
      <c r="I23" s="220">
        <f t="shared" si="0"/>
        <v>0</v>
      </c>
      <c r="M23">
        <f t="shared" si="1"/>
        <v>0</v>
      </c>
    </row>
    <row r="24" spans="1:13" x14ac:dyDescent="0.2">
      <c r="A24" s="218" t="s">
        <v>661</v>
      </c>
      <c r="B24" s="218" t="s">
        <v>874</v>
      </c>
      <c r="C24" s="218" t="s">
        <v>662</v>
      </c>
      <c r="D24" s="218" t="s">
        <v>346</v>
      </c>
      <c r="E24" s="219" t="s">
        <v>647</v>
      </c>
      <c r="F24" s="222">
        <v>17</v>
      </c>
      <c r="G24" s="220"/>
      <c r="H24" s="220">
        <f>TRUNC(TRUNC(G24 * J12, 2) + G24, 2)</f>
        <v>0</v>
      </c>
      <c r="I24" s="220">
        <f t="shared" si="0"/>
        <v>0</v>
      </c>
      <c r="M24">
        <f t="shared" si="1"/>
        <v>0</v>
      </c>
    </row>
    <row r="25" spans="1:13" x14ac:dyDescent="0.2">
      <c r="A25" s="218" t="s">
        <v>663</v>
      </c>
      <c r="B25" s="218" t="s">
        <v>664</v>
      </c>
      <c r="C25" s="218" t="s">
        <v>662</v>
      </c>
      <c r="D25" s="218" t="s">
        <v>665</v>
      </c>
      <c r="E25" s="219" t="s">
        <v>647</v>
      </c>
      <c r="F25" s="222">
        <v>4</v>
      </c>
      <c r="G25" s="220"/>
      <c r="H25" s="220">
        <f>TRUNC(TRUNC(G25 * J12, 2) + G25, 2)</f>
        <v>0</v>
      </c>
      <c r="I25" s="220">
        <f t="shared" si="0"/>
        <v>0</v>
      </c>
      <c r="M25">
        <f t="shared" si="1"/>
        <v>0</v>
      </c>
    </row>
    <row r="26" spans="1:13" x14ac:dyDescent="0.2">
      <c r="A26" s="218" t="s">
        <v>666</v>
      </c>
      <c r="B26" s="218" t="s">
        <v>667</v>
      </c>
      <c r="C26" s="218" t="s">
        <v>800</v>
      </c>
      <c r="D26" s="218" t="s">
        <v>407</v>
      </c>
      <c r="E26" s="219" t="s">
        <v>642</v>
      </c>
      <c r="F26" s="222">
        <v>252.99</v>
      </c>
      <c r="G26" s="220"/>
      <c r="H26" s="220">
        <f>TRUNC(TRUNC(G26 * J12, 2) + G26, 2)</f>
        <v>0</v>
      </c>
      <c r="I26" s="220">
        <f t="shared" si="0"/>
        <v>0</v>
      </c>
      <c r="M26">
        <f t="shared" si="1"/>
        <v>0</v>
      </c>
    </row>
    <row r="27" spans="1:13" x14ac:dyDescent="0.2">
      <c r="A27" s="218" t="s">
        <v>668</v>
      </c>
      <c r="B27" s="218" t="s">
        <v>669</v>
      </c>
      <c r="C27" s="218" t="s">
        <v>670</v>
      </c>
      <c r="D27" s="218" t="s">
        <v>671</v>
      </c>
      <c r="E27" s="219" t="s">
        <v>642</v>
      </c>
      <c r="F27" s="222">
        <v>3.47</v>
      </c>
      <c r="G27" s="220"/>
      <c r="H27" s="220">
        <f>TRUNC(TRUNC(G27 * J12, 2) + G27, 2)</f>
        <v>0</v>
      </c>
      <c r="I27" s="220">
        <f t="shared" si="0"/>
        <v>0</v>
      </c>
      <c r="M27">
        <f t="shared" si="1"/>
        <v>0</v>
      </c>
    </row>
    <row r="28" spans="1:13" ht="25.5" x14ac:dyDescent="0.2">
      <c r="A28" s="218" t="s">
        <v>672</v>
      </c>
      <c r="B28" s="218" t="s">
        <v>673</v>
      </c>
      <c r="C28" s="218" t="s">
        <v>641</v>
      </c>
      <c r="D28" s="218" t="s">
        <v>506</v>
      </c>
      <c r="E28" s="219" t="s">
        <v>642</v>
      </c>
      <c r="F28" s="222">
        <v>208.68</v>
      </c>
      <c r="G28" s="220"/>
      <c r="H28" s="220">
        <f>TRUNC(TRUNC(G28 * J12, 2) + G28, 2)</f>
        <v>0</v>
      </c>
      <c r="I28" s="220">
        <f t="shared" si="0"/>
        <v>0</v>
      </c>
      <c r="M28">
        <f t="shared" si="1"/>
        <v>0</v>
      </c>
    </row>
    <row r="29" spans="1:13" ht="25.5" x14ac:dyDescent="0.2">
      <c r="A29" s="218" t="s">
        <v>674</v>
      </c>
      <c r="B29" s="218" t="s">
        <v>675</v>
      </c>
      <c r="C29" s="218" t="s">
        <v>800</v>
      </c>
      <c r="D29" s="218" t="s">
        <v>509</v>
      </c>
      <c r="E29" s="219" t="s">
        <v>642</v>
      </c>
      <c r="F29" s="222">
        <v>83.76</v>
      </c>
      <c r="G29" s="220"/>
      <c r="H29" s="220">
        <f>TRUNC(TRUNC(G29 * J12, 2) + G29, 2)</f>
        <v>0</v>
      </c>
      <c r="I29" s="220">
        <f t="shared" si="0"/>
        <v>0</v>
      </c>
      <c r="M29">
        <f t="shared" si="1"/>
        <v>0</v>
      </c>
    </row>
    <row r="30" spans="1:13" ht="25.5" x14ac:dyDescent="0.2">
      <c r="A30" s="218" t="s">
        <v>676</v>
      </c>
      <c r="B30" s="218" t="s">
        <v>677</v>
      </c>
      <c r="C30" s="218" t="s">
        <v>800</v>
      </c>
      <c r="D30" s="218" t="s">
        <v>517</v>
      </c>
      <c r="E30" s="219" t="s">
        <v>642</v>
      </c>
      <c r="F30" s="222">
        <v>284.75</v>
      </c>
      <c r="G30" s="220"/>
      <c r="H30" s="220">
        <f>TRUNC(TRUNC(G30 * J12, 2) + G30, 2)</f>
        <v>0</v>
      </c>
      <c r="I30" s="220">
        <f t="shared" si="0"/>
        <v>0</v>
      </c>
      <c r="M30">
        <f t="shared" si="1"/>
        <v>0</v>
      </c>
    </row>
    <row r="31" spans="1:13" ht="25.5" x14ac:dyDescent="0.2">
      <c r="A31" s="218" t="s">
        <v>678</v>
      </c>
      <c r="B31" s="218" t="s">
        <v>679</v>
      </c>
      <c r="C31" s="218" t="s">
        <v>670</v>
      </c>
      <c r="D31" s="218" t="s">
        <v>520</v>
      </c>
      <c r="E31" s="219" t="s">
        <v>680</v>
      </c>
      <c r="F31" s="222">
        <v>215.61</v>
      </c>
      <c r="G31" s="220"/>
      <c r="H31" s="220">
        <f>TRUNC(TRUNC(G31 * J12, 2) + G31, 2)</f>
        <v>0</v>
      </c>
      <c r="I31" s="220">
        <f t="shared" si="0"/>
        <v>0</v>
      </c>
      <c r="M31">
        <f t="shared" si="1"/>
        <v>0</v>
      </c>
    </row>
    <row r="32" spans="1:13" ht="25.5" x14ac:dyDescent="0.2">
      <c r="A32" s="218" t="s">
        <v>681</v>
      </c>
      <c r="B32" s="218" t="s">
        <v>682</v>
      </c>
      <c r="C32" s="218" t="s">
        <v>641</v>
      </c>
      <c r="D32" s="218" t="s">
        <v>631</v>
      </c>
      <c r="E32" s="219" t="s">
        <v>647</v>
      </c>
      <c r="F32" s="222">
        <v>20</v>
      </c>
      <c r="G32" s="220"/>
      <c r="H32" s="220">
        <f>TRUNC(TRUNC(G32 * J12, 2) + G32, 2)</f>
        <v>0</v>
      </c>
      <c r="I32" s="220">
        <f t="shared" si="0"/>
        <v>0</v>
      </c>
      <c r="M32">
        <f t="shared" si="1"/>
        <v>0</v>
      </c>
    </row>
    <row r="33" spans="1:13" x14ac:dyDescent="0.2">
      <c r="A33" s="214" t="s">
        <v>171</v>
      </c>
      <c r="B33" s="214" t="s">
        <v>637</v>
      </c>
      <c r="C33" s="214"/>
      <c r="D33" s="214" t="s">
        <v>683</v>
      </c>
      <c r="E33" s="215"/>
      <c r="F33" s="221"/>
      <c r="G33" s="216"/>
      <c r="H33" s="217">
        <f>I34 + I35 + I36</f>
        <v>0</v>
      </c>
      <c r="I33" s="217">
        <f>SUM(I34:I36)</f>
        <v>0</v>
      </c>
      <c r="M33">
        <f t="shared" si="1"/>
        <v>0</v>
      </c>
    </row>
    <row r="34" spans="1:13" ht="25.5" x14ac:dyDescent="0.2">
      <c r="A34" s="218" t="s">
        <v>684</v>
      </c>
      <c r="B34" s="218" t="s">
        <v>685</v>
      </c>
      <c r="C34" s="218" t="s">
        <v>800</v>
      </c>
      <c r="D34" s="218" t="s">
        <v>95</v>
      </c>
      <c r="E34" s="219" t="s">
        <v>656</v>
      </c>
      <c r="F34" s="222">
        <v>124.9</v>
      </c>
      <c r="G34" s="220"/>
      <c r="H34" s="220">
        <f>TRUNC(TRUNC(G34 * J12, 2) + G34, 2)</f>
        <v>0</v>
      </c>
      <c r="I34" s="220">
        <f t="shared" si="0"/>
        <v>0</v>
      </c>
      <c r="M34">
        <f t="shared" si="1"/>
        <v>0</v>
      </c>
    </row>
    <row r="35" spans="1:13" ht="25.5" x14ac:dyDescent="0.2">
      <c r="A35" s="218" t="s">
        <v>686</v>
      </c>
      <c r="B35" s="218" t="s">
        <v>687</v>
      </c>
      <c r="C35" s="218" t="s">
        <v>641</v>
      </c>
      <c r="D35" s="218" t="s">
        <v>354</v>
      </c>
      <c r="E35" s="219" t="s">
        <v>688</v>
      </c>
      <c r="F35" s="222">
        <v>641</v>
      </c>
      <c r="G35" s="220"/>
      <c r="H35" s="220">
        <f>TRUNC(TRUNC(G35 * J12, 2) + G35, 2)</f>
        <v>0</v>
      </c>
      <c r="I35" s="220">
        <f t="shared" si="0"/>
        <v>0</v>
      </c>
      <c r="M35">
        <f t="shared" si="1"/>
        <v>0</v>
      </c>
    </row>
    <row r="36" spans="1:13" ht="25.5" x14ac:dyDescent="0.2">
      <c r="A36" s="218" t="s">
        <v>689</v>
      </c>
      <c r="B36" s="218" t="s">
        <v>690</v>
      </c>
      <c r="C36" s="218" t="s">
        <v>800</v>
      </c>
      <c r="D36" s="218" t="s">
        <v>543</v>
      </c>
      <c r="E36" s="219" t="s">
        <v>691</v>
      </c>
      <c r="F36" s="222">
        <v>2</v>
      </c>
      <c r="G36" s="220"/>
      <c r="H36" s="220">
        <f>TRUNC(TRUNC(G36 * J12, 2) + G36, 2)</f>
        <v>0</v>
      </c>
      <c r="I36" s="220">
        <f t="shared" si="0"/>
        <v>0</v>
      </c>
      <c r="M36">
        <f t="shared" si="1"/>
        <v>0</v>
      </c>
    </row>
    <row r="37" spans="1:13" x14ac:dyDescent="0.2">
      <c r="A37" s="214" t="s">
        <v>170</v>
      </c>
      <c r="B37" s="214" t="s">
        <v>637</v>
      </c>
      <c r="C37" s="214"/>
      <c r="D37" s="214" t="s">
        <v>692</v>
      </c>
      <c r="E37" s="215"/>
      <c r="F37" s="221"/>
      <c r="G37" s="216"/>
      <c r="H37" s="217">
        <f>I38 + I39 + I40 + I41 + I42 + I43 + I44 + I45</f>
        <v>0</v>
      </c>
      <c r="I37" s="217">
        <f>SUM(I38:I45)</f>
        <v>0</v>
      </c>
      <c r="M37">
        <f t="shared" si="1"/>
        <v>0</v>
      </c>
    </row>
    <row r="38" spans="1:13" ht="25.5" x14ac:dyDescent="0.2">
      <c r="A38" s="218" t="s">
        <v>693</v>
      </c>
      <c r="B38" s="218" t="s">
        <v>694</v>
      </c>
      <c r="C38" s="218" t="s">
        <v>800</v>
      </c>
      <c r="D38" s="218" t="s">
        <v>695</v>
      </c>
      <c r="E38" s="219" t="s">
        <v>691</v>
      </c>
      <c r="F38" s="222">
        <v>29</v>
      </c>
      <c r="G38" s="220"/>
      <c r="H38" s="220">
        <f>TRUNC(TRUNC(G38 * J12, 2) + G38, 2)</f>
        <v>0</v>
      </c>
      <c r="I38" s="220">
        <f t="shared" si="0"/>
        <v>0</v>
      </c>
      <c r="M38">
        <f t="shared" si="1"/>
        <v>0</v>
      </c>
    </row>
    <row r="39" spans="1:13" ht="25.5" x14ac:dyDescent="0.2">
      <c r="A39" s="218" t="s">
        <v>696</v>
      </c>
      <c r="B39" s="218" t="s">
        <v>697</v>
      </c>
      <c r="C39" s="218" t="s">
        <v>641</v>
      </c>
      <c r="D39" s="218" t="s">
        <v>494</v>
      </c>
      <c r="E39" s="219" t="s">
        <v>647</v>
      </c>
      <c r="F39" s="222">
        <v>15</v>
      </c>
      <c r="G39" s="220"/>
      <c r="H39" s="220">
        <f>TRUNC(TRUNC(G39 * J12, 2) + G39, 2)</f>
        <v>0</v>
      </c>
      <c r="I39" s="220">
        <f t="shared" si="0"/>
        <v>0</v>
      </c>
      <c r="M39">
        <f t="shared" si="1"/>
        <v>0</v>
      </c>
    </row>
    <row r="40" spans="1:13" ht="25.5" x14ac:dyDescent="0.2">
      <c r="A40" s="218" t="s">
        <v>698</v>
      </c>
      <c r="B40" s="218" t="s">
        <v>699</v>
      </c>
      <c r="C40" s="218" t="s">
        <v>641</v>
      </c>
      <c r="D40" s="218" t="s">
        <v>551</v>
      </c>
      <c r="E40" s="219" t="s">
        <v>647</v>
      </c>
      <c r="F40" s="222">
        <v>5</v>
      </c>
      <c r="G40" s="220"/>
      <c r="H40" s="220">
        <f>TRUNC(TRUNC(G40 * J12, 2) + G40, 2)</f>
        <v>0</v>
      </c>
      <c r="I40" s="220">
        <f t="shared" si="0"/>
        <v>0</v>
      </c>
      <c r="M40">
        <f t="shared" si="1"/>
        <v>0</v>
      </c>
    </row>
    <row r="41" spans="1:13" ht="38.25" x14ac:dyDescent="0.2">
      <c r="A41" s="218" t="s">
        <v>700</v>
      </c>
      <c r="B41" s="218" t="s">
        <v>701</v>
      </c>
      <c r="C41" s="218" t="s">
        <v>641</v>
      </c>
      <c r="D41" s="218" t="s">
        <v>621</v>
      </c>
      <c r="E41" s="219" t="s">
        <v>647</v>
      </c>
      <c r="F41" s="222">
        <v>1</v>
      </c>
      <c r="G41" s="220"/>
      <c r="H41" s="220">
        <f>TRUNC(TRUNC(G41 * J12, 2) + G41, 2)</f>
        <v>0</v>
      </c>
      <c r="I41" s="220">
        <f t="shared" si="0"/>
        <v>0</v>
      </c>
      <c r="M41">
        <f t="shared" si="1"/>
        <v>0</v>
      </c>
    </row>
    <row r="42" spans="1:13" ht="38.25" x14ac:dyDescent="0.2">
      <c r="A42" s="218" t="s">
        <v>702</v>
      </c>
      <c r="B42" s="218" t="s">
        <v>703</v>
      </c>
      <c r="C42" s="218" t="s">
        <v>641</v>
      </c>
      <c r="D42" s="218" t="s">
        <v>605</v>
      </c>
      <c r="E42" s="219" t="s">
        <v>647</v>
      </c>
      <c r="F42" s="222">
        <v>1</v>
      </c>
      <c r="G42" s="220"/>
      <c r="H42" s="220">
        <f>TRUNC(TRUNC(G42 * J12, 2) + G42, 2)</f>
        <v>0</v>
      </c>
      <c r="I42" s="220">
        <f t="shared" si="0"/>
        <v>0</v>
      </c>
      <c r="M42">
        <f t="shared" si="1"/>
        <v>0</v>
      </c>
    </row>
    <row r="43" spans="1:13" ht="25.5" x14ac:dyDescent="0.2">
      <c r="A43" s="218" t="s">
        <v>704</v>
      </c>
      <c r="B43" s="218" t="s">
        <v>705</v>
      </c>
      <c r="C43" s="218" t="s">
        <v>641</v>
      </c>
      <c r="D43" s="218" t="s">
        <v>607</v>
      </c>
      <c r="E43" s="219" t="s">
        <v>680</v>
      </c>
      <c r="F43" s="222">
        <v>50</v>
      </c>
      <c r="G43" s="220"/>
      <c r="H43" s="220">
        <f>TRUNC(TRUNC(G43 * J12, 2) + G43, 2)</f>
        <v>0</v>
      </c>
      <c r="I43" s="220">
        <f t="shared" si="0"/>
        <v>0</v>
      </c>
      <c r="M43">
        <f t="shared" si="1"/>
        <v>0</v>
      </c>
    </row>
    <row r="44" spans="1:13" ht="25.5" x14ac:dyDescent="0.2">
      <c r="A44" s="218" t="s">
        <v>706</v>
      </c>
      <c r="B44" s="218" t="s">
        <v>707</v>
      </c>
      <c r="C44" s="218" t="s">
        <v>641</v>
      </c>
      <c r="D44" s="218" t="s">
        <v>610</v>
      </c>
      <c r="E44" s="219" t="s">
        <v>647</v>
      </c>
      <c r="F44" s="222">
        <v>2</v>
      </c>
      <c r="G44" s="220"/>
      <c r="H44" s="220">
        <f>TRUNC(TRUNC(G44 * J12, 2) + G44, 2)</f>
        <v>0</v>
      </c>
      <c r="I44" s="220">
        <f t="shared" si="0"/>
        <v>0</v>
      </c>
      <c r="M44">
        <f t="shared" si="1"/>
        <v>0</v>
      </c>
    </row>
    <row r="45" spans="1:13" x14ac:dyDescent="0.2">
      <c r="A45" s="218" t="s">
        <v>708</v>
      </c>
      <c r="B45" s="218" t="s">
        <v>709</v>
      </c>
      <c r="C45" s="218" t="s">
        <v>670</v>
      </c>
      <c r="D45" s="218" t="s">
        <v>616</v>
      </c>
      <c r="E45" s="219" t="s">
        <v>710</v>
      </c>
      <c r="F45" s="222">
        <v>2</v>
      </c>
      <c r="G45" s="220"/>
      <c r="H45" s="220">
        <f>TRUNC(TRUNC(G45 * J12, 2) + G45, 2)</f>
        <v>0</v>
      </c>
      <c r="I45" s="220">
        <f t="shared" si="0"/>
        <v>0</v>
      </c>
      <c r="M45">
        <f t="shared" si="1"/>
        <v>0</v>
      </c>
    </row>
    <row r="46" spans="1:13" x14ac:dyDescent="0.2">
      <c r="A46" s="214" t="s">
        <v>169</v>
      </c>
      <c r="B46" s="214" t="s">
        <v>637</v>
      </c>
      <c r="C46" s="214"/>
      <c r="D46" s="214" t="s">
        <v>165</v>
      </c>
      <c r="E46" s="215"/>
      <c r="F46" s="221"/>
      <c r="G46" s="216"/>
      <c r="H46" s="217">
        <f>I47 + I48 + I49 + I50 + I51 + I52 + I53 + I54 + I55 + I56</f>
        <v>0</v>
      </c>
      <c r="I46" s="217">
        <f>SUM(I47:I56)</f>
        <v>0</v>
      </c>
      <c r="M46">
        <f t="shared" si="1"/>
        <v>0</v>
      </c>
    </row>
    <row r="47" spans="1:13" ht="25.5" x14ac:dyDescent="0.2">
      <c r="A47" s="218" t="s">
        <v>711</v>
      </c>
      <c r="B47" s="218" t="s">
        <v>712</v>
      </c>
      <c r="C47" s="218" t="s">
        <v>641</v>
      </c>
      <c r="D47" s="218" t="s">
        <v>358</v>
      </c>
      <c r="E47" s="219" t="s">
        <v>647</v>
      </c>
      <c r="F47" s="222">
        <v>7</v>
      </c>
      <c r="G47" s="220"/>
      <c r="H47" s="220">
        <f>TRUNC(TRUNC(G47 * J12, 2) + G47, 2)</f>
        <v>0</v>
      </c>
      <c r="I47" s="220">
        <f t="shared" si="0"/>
        <v>0</v>
      </c>
      <c r="M47">
        <f t="shared" si="1"/>
        <v>0</v>
      </c>
    </row>
    <row r="48" spans="1:13" ht="38.25" x14ac:dyDescent="0.2">
      <c r="A48" s="218" t="s">
        <v>713</v>
      </c>
      <c r="B48" s="218" t="s">
        <v>714</v>
      </c>
      <c r="C48" s="218" t="s">
        <v>641</v>
      </c>
      <c r="D48" s="218" t="s">
        <v>360</v>
      </c>
      <c r="E48" s="219" t="s">
        <v>647</v>
      </c>
      <c r="F48" s="222">
        <v>7</v>
      </c>
      <c r="G48" s="220"/>
      <c r="H48" s="220">
        <f>TRUNC(TRUNC(G48 * J12, 2) + G48, 2)</f>
        <v>0</v>
      </c>
      <c r="I48" s="220">
        <f t="shared" si="0"/>
        <v>0</v>
      </c>
      <c r="M48">
        <f t="shared" si="1"/>
        <v>0</v>
      </c>
    </row>
    <row r="49" spans="1:13" ht="25.5" x14ac:dyDescent="0.2">
      <c r="A49" s="218" t="s">
        <v>715</v>
      </c>
      <c r="B49" s="218" t="s">
        <v>716</v>
      </c>
      <c r="C49" s="218" t="s">
        <v>641</v>
      </c>
      <c r="D49" s="218" t="s">
        <v>362</v>
      </c>
      <c r="E49" s="219" t="s">
        <v>647</v>
      </c>
      <c r="F49" s="222">
        <v>7</v>
      </c>
      <c r="G49" s="220"/>
      <c r="H49" s="220">
        <f>TRUNC(TRUNC(G49 * J12, 2) + G49, 2)</f>
        <v>0</v>
      </c>
      <c r="I49" s="220">
        <f t="shared" si="0"/>
        <v>0</v>
      </c>
      <c r="M49">
        <f t="shared" si="1"/>
        <v>0</v>
      </c>
    </row>
    <row r="50" spans="1:13" ht="25.5" x14ac:dyDescent="0.2">
      <c r="A50" s="218" t="s">
        <v>717</v>
      </c>
      <c r="B50" s="218" t="s">
        <v>718</v>
      </c>
      <c r="C50" s="218" t="s">
        <v>641</v>
      </c>
      <c r="D50" s="218" t="s">
        <v>490</v>
      </c>
      <c r="E50" s="219" t="s">
        <v>647</v>
      </c>
      <c r="F50" s="222">
        <v>6</v>
      </c>
      <c r="G50" s="220"/>
      <c r="H50" s="220">
        <f>TRUNC(TRUNC(G50 * J12, 2) + G50, 2)</f>
        <v>0</v>
      </c>
      <c r="I50" s="220">
        <f t="shared" si="0"/>
        <v>0</v>
      </c>
      <c r="M50">
        <f t="shared" si="1"/>
        <v>0</v>
      </c>
    </row>
    <row r="51" spans="1:13" x14ac:dyDescent="0.2">
      <c r="A51" s="218" t="s">
        <v>719</v>
      </c>
      <c r="B51" s="218" t="s">
        <v>720</v>
      </c>
      <c r="C51" s="218" t="s">
        <v>662</v>
      </c>
      <c r="D51" s="218" t="s">
        <v>321</v>
      </c>
      <c r="E51" s="219" t="s">
        <v>642</v>
      </c>
      <c r="F51" s="222">
        <v>4.38</v>
      </c>
      <c r="G51" s="220"/>
      <c r="H51" s="220">
        <f>TRUNC(TRUNC(G51 * J12, 2) + G51, 2)</f>
        <v>0</v>
      </c>
      <c r="I51" s="220">
        <f t="shared" si="0"/>
        <v>0</v>
      </c>
      <c r="M51">
        <f t="shared" si="1"/>
        <v>0</v>
      </c>
    </row>
    <row r="52" spans="1:13" ht="25.5" x14ac:dyDescent="0.2">
      <c r="A52" s="218" t="s">
        <v>721</v>
      </c>
      <c r="B52" s="218" t="s">
        <v>722</v>
      </c>
      <c r="C52" s="218" t="s">
        <v>641</v>
      </c>
      <c r="D52" s="218" t="s">
        <v>496</v>
      </c>
      <c r="E52" s="219" t="s">
        <v>647</v>
      </c>
      <c r="F52" s="222">
        <v>1</v>
      </c>
      <c r="G52" s="220"/>
      <c r="H52" s="220">
        <f>TRUNC(TRUNC(G52 * J12, 2) + G52, 2)</f>
        <v>0</v>
      </c>
      <c r="I52" s="220">
        <f t="shared" si="0"/>
        <v>0</v>
      </c>
      <c r="M52">
        <f t="shared" si="1"/>
        <v>0</v>
      </c>
    </row>
    <row r="53" spans="1:13" ht="25.5" x14ac:dyDescent="0.2">
      <c r="A53" s="218" t="s">
        <v>723</v>
      </c>
      <c r="B53" s="218" t="s">
        <v>724</v>
      </c>
      <c r="C53" s="218" t="s">
        <v>641</v>
      </c>
      <c r="D53" s="218" t="s">
        <v>579</v>
      </c>
      <c r="E53" s="219" t="s">
        <v>647</v>
      </c>
      <c r="F53" s="222">
        <v>2</v>
      </c>
      <c r="G53" s="220"/>
      <c r="H53" s="220">
        <f>TRUNC(TRUNC(G53 * J12, 2) + G53, 2)</f>
        <v>0</v>
      </c>
      <c r="I53" s="220">
        <f t="shared" si="0"/>
        <v>0</v>
      </c>
      <c r="M53">
        <f t="shared" si="1"/>
        <v>0</v>
      </c>
    </row>
    <row r="54" spans="1:13" ht="25.5" x14ac:dyDescent="0.2">
      <c r="A54" s="218" t="s">
        <v>725</v>
      </c>
      <c r="B54" s="218" t="s">
        <v>726</v>
      </c>
      <c r="C54" s="218" t="s">
        <v>641</v>
      </c>
      <c r="D54" s="218" t="s">
        <v>581</v>
      </c>
      <c r="E54" s="219" t="s">
        <v>647</v>
      </c>
      <c r="F54" s="222">
        <v>7</v>
      </c>
      <c r="G54" s="220"/>
      <c r="H54" s="220">
        <f>TRUNC(TRUNC(G54 * J12, 2) + G54, 2)</f>
        <v>0</v>
      </c>
      <c r="I54" s="220">
        <f t="shared" si="0"/>
        <v>0</v>
      </c>
      <c r="M54">
        <f t="shared" si="1"/>
        <v>0</v>
      </c>
    </row>
    <row r="55" spans="1:13" ht="25.5" x14ac:dyDescent="0.2">
      <c r="A55" s="218" t="s">
        <v>727</v>
      </c>
      <c r="B55" s="218" t="s">
        <v>728</v>
      </c>
      <c r="C55" s="218" t="s">
        <v>641</v>
      </c>
      <c r="D55" s="218" t="s">
        <v>584</v>
      </c>
      <c r="E55" s="219" t="s">
        <v>647</v>
      </c>
      <c r="F55" s="222">
        <v>4</v>
      </c>
      <c r="G55" s="220"/>
      <c r="H55" s="220">
        <f>TRUNC(TRUNC(G55 * J12, 2) + G55, 2)</f>
        <v>0</v>
      </c>
      <c r="I55" s="220">
        <f t="shared" si="0"/>
        <v>0</v>
      </c>
      <c r="M55">
        <f t="shared" si="1"/>
        <v>0</v>
      </c>
    </row>
    <row r="56" spans="1:13" ht="25.5" x14ac:dyDescent="0.2">
      <c r="A56" s="218" t="s">
        <v>729</v>
      </c>
      <c r="B56" s="218" t="s">
        <v>730</v>
      </c>
      <c r="C56" s="218" t="s">
        <v>670</v>
      </c>
      <c r="D56" s="218" t="s">
        <v>587</v>
      </c>
      <c r="E56" s="219" t="s">
        <v>647</v>
      </c>
      <c r="F56" s="222">
        <v>2</v>
      </c>
      <c r="G56" s="220"/>
      <c r="H56" s="220">
        <f>TRUNC(TRUNC(G56 * J12, 2) + G56, 2)</f>
        <v>0</v>
      </c>
      <c r="I56" s="220">
        <f t="shared" si="0"/>
        <v>0</v>
      </c>
      <c r="M56">
        <f t="shared" si="1"/>
        <v>0</v>
      </c>
    </row>
    <row r="57" spans="1:13" x14ac:dyDescent="0.2">
      <c r="A57" s="214" t="s">
        <v>168</v>
      </c>
      <c r="B57" s="214" t="s">
        <v>637</v>
      </c>
      <c r="C57" s="214"/>
      <c r="D57" s="214" t="s">
        <v>161</v>
      </c>
      <c r="E57" s="215"/>
      <c r="F57" s="221"/>
      <c r="G57" s="216"/>
      <c r="H57" s="217">
        <f>I58 + I59</f>
        <v>0</v>
      </c>
      <c r="I57" s="217">
        <f>SUM(I58:I59)</f>
        <v>0</v>
      </c>
      <c r="M57">
        <f t="shared" si="1"/>
        <v>0</v>
      </c>
    </row>
    <row r="58" spans="1:13" ht="25.5" x14ac:dyDescent="0.2">
      <c r="A58" s="218" t="s">
        <v>731</v>
      </c>
      <c r="B58" s="218" t="s">
        <v>732</v>
      </c>
      <c r="C58" s="218" t="s">
        <v>641</v>
      </c>
      <c r="D58" s="218" t="s">
        <v>528</v>
      </c>
      <c r="E58" s="219" t="s">
        <v>642</v>
      </c>
      <c r="F58" s="222">
        <v>188.1</v>
      </c>
      <c r="G58" s="220"/>
      <c r="H58" s="220">
        <f>TRUNC(TRUNC(G58 * J12, 2) + G58, 2)</f>
        <v>0</v>
      </c>
      <c r="I58" s="220">
        <f t="shared" si="0"/>
        <v>0</v>
      </c>
      <c r="M58">
        <f t="shared" si="1"/>
        <v>0</v>
      </c>
    </row>
    <row r="59" spans="1:13" ht="25.5" x14ac:dyDescent="0.2">
      <c r="A59" s="218" t="s">
        <v>733</v>
      </c>
      <c r="B59" s="218" t="s">
        <v>734</v>
      </c>
      <c r="C59" s="218" t="s">
        <v>800</v>
      </c>
      <c r="D59" s="218" t="s">
        <v>539</v>
      </c>
      <c r="E59" s="219" t="s">
        <v>735</v>
      </c>
      <c r="F59" s="222">
        <v>1650</v>
      </c>
      <c r="G59" s="220"/>
      <c r="H59" s="220">
        <f>TRUNC(TRUNC(G59 * J12, 2) + G59, 2)</f>
        <v>0</v>
      </c>
      <c r="I59" s="220">
        <f t="shared" si="0"/>
        <v>0</v>
      </c>
      <c r="M59">
        <f t="shared" si="1"/>
        <v>0</v>
      </c>
    </row>
    <row r="60" spans="1:13" x14ac:dyDescent="0.2">
      <c r="A60" s="214" t="s">
        <v>167</v>
      </c>
      <c r="B60" s="214" t="s">
        <v>637</v>
      </c>
      <c r="C60" s="214"/>
      <c r="D60" s="214" t="s">
        <v>370</v>
      </c>
      <c r="E60" s="215"/>
      <c r="F60" s="221"/>
      <c r="G60" s="216"/>
      <c r="H60" s="217">
        <f>I61 + I62 + I63 + I64 + I65 + I66</f>
        <v>0</v>
      </c>
      <c r="I60" s="217">
        <f>SUM(I61:I66)</f>
        <v>0</v>
      </c>
      <c r="M60">
        <f t="shared" si="1"/>
        <v>0</v>
      </c>
    </row>
    <row r="61" spans="1:13" ht="51" x14ac:dyDescent="0.2">
      <c r="A61" s="218" t="s">
        <v>736</v>
      </c>
      <c r="B61" s="218" t="s">
        <v>737</v>
      </c>
      <c r="C61" s="218" t="s">
        <v>641</v>
      </c>
      <c r="D61" s="218" t="s">
        <v>368</v>
      </c>
      <c r="E61" s="219" t="s">
        <v>647</v>
      </c>
      <c r="F61" s="222">
        <v>5</v>
      </c>
      <c r="G61" s="220"/>
      <c r="H61" s="220">
        <f>TRUNC(TRUNC(G61 * J12, 2) + G61, 2)</f>
        <v>0</v>
      </c>
      <c r="I61" s="220">
        <f t="shared" si="0"/>
        <v>0</v>
      </c>
      <c r="M61">
        <f t="shared" si="1"/>
        <v>0</v>
      </c>
    </row>
    <row r="62" spans="1:13" ht="51" x14ac:dyDescent="0.2">
      <c r="A62" s="218" t="s">
        <v>738</v>
      </c>
      <c r="B62" s="218" t="s">
        <v>739</v>
      </c>
      <c r="C62" s="218" t="s">
        <v>641</v>
      </c>
      <c r="D62" s="218" t="s">
        <v>553</v>
      </c>
      <c r="E62" s="219" t="s">
        <v>647</v>
      </c>
      <c r="F62" s="222">
        <v>2</v>
      </c>
      <c r="G62" s="220"/>
      <c r="H62" s="220">
        <f>TRUNC(TRUNC(G62 * J12, 2) + G62, 2)</f>
        <v>0</v>
      </c>
      <c r="I62" s="220">
        <f t="shared" si="0"/>
        <v>0</v>
      </c>
      <c r="M62">
        <f t="shared" si="1"/>
        <v>0</v>
      </c>
    </row>
    <row r="63" spans="1:13" ht="38.25" x14ac:dyDescent="0.2">
      <c r="A63" s="218" t="s">
        <v>740</v>
      </c>
      <c r="B63" s="218" t="s">
        <v>741</v>
      </c>
      <c r="C63" s="218" t="s">
        <v>641</v>
      </c>
      <c r="D63" s="218" t="s">
        <v>372</v>
      </c>
      <c r="E63" s="219" t="s">
        <v>647</v>
      </c>
      <c r="F63" s="222">
        <v>3</v>
      </c>
      <c r="G63" s="220"/>
      <c r="H63" s="220">
        <f>TRUNC(TRUNC(G63 * J12, 2) + G63, 2)</f>
        <v>0</v>
      </c>
      <c r="I63" s="220">
        <f t="shared" si="0"/>
        <v>0</v>
      </c>
      <c r="M63">
        <f t="shared" si="1"/>
        <v>0</v>
      </c>
    </row>
    <row r="64" spans="1:13" x14ac:dyDescent="0.2">
      <c r="A64" s="218" t="s">
        <v>742</v>
      </c>
      <c r="B64" s="218" t="s">
        <v>743</v>
      </c>
      <c r="C64" s="218" t="s">
        <v>662</v>
      </c>
      <c r="D64" s="218" t="s">
        <v>374</v>
      </c>
      <c r="E64" s="219" t="s">
        <v>647</v>
      </c>
      <c r="F64" s="222">
        <v>1</v>
      </c>
      <c r="G64" s="220"/>
      <c r="H64" s="220">
        <f>TRUNC(TRUNC(G64 * J12, 2) + G64, 2)</f>
        <v>0</v>
      </c>
      <c r="I64" s="220">
        <f t="shared" si="0"/>
        <v>0</v>
      </c>
      <c r="M64">
        <f t="shared" si="1"/>
        <v>0</v>
      </c>
    </row>
    <row r="65" spans="1:13" ht="25.5" x14ac:dyDescent="0.2">
      <c r="A65" s="218" t="s">
        <v>744</v>
      </c>
      <c r="B65" s="218" t="s">
        <v>745</v>
      </c>
      <c r="C65" s="218" t="s">
        <v>641</v>
      </c>
      <c r="D65" s="218" t="s">
        <v>558</v>
      </c>
      <c r="E65" s="219" t="s">
        <v>680</v>
      </c>
      <c r="F65" s="222">
        <v>3.2</v>
      </c>
      <c r="G65" s="220"/>
      <c r="H65" s="220">
        <f>TRUNC(TRUNC(G65 * J12, 2) + G65, 2)</f>
        <v>0</v>
      </c>
      <c r="I65" s="220">
        <f t="shared" si="0"/>
        <v>0</v>
      </c>
      <c r="M65">
        <f t="shared" si="1"/>
        <v>0</v>
      </c>
    </row>
    <row r="66" spans="1:13" ht="25.5" x14ac:dyDescent="0.2">
      <c r="A66" s="218" t="s">
        <v>746</v>
      </c>
      <c r="B66" s="218" t="s">
        <v>747</v>
      </c>
      <c r="C66" s="218" t="s">
        <v>641</v>
      </c>
      <c r="D66" s="218" t="s">
        <v>590</v>
      </c>
      <c r="E66" s="219" t="s">
        <v>642</v>
      </c>
      <c r="F66" s="222">
        <v>0.96</v>
      </c>
      <c r="G66" s="220"/>
      <c r="H66" s="220">
        <f>TRUNC(TRUNC(G66 * J12, 2) + G66, 2)</f>
        <v>0</v>
      </c>
      <c r="I66" s="220">
        <f t="shared" si="0"/>
        <v>0</v>
      </c>
      <c r="M66">
        <f t="shared" si="1"/>
        <v>0</v>
      </c>
    </row>
    <row r="67" spans="1:13" x14ac:dyDescent="0.2">
      <c r="A67" s="214" t="s">
        <v>166</v>
      </c>
      <c r="B67" s="214" t="s">
        <v>637</v>
      </c>
      <c r="C67" s="214"/>
      <c r="D67" s="214" t="s">
        <v>66</v>
      </c>
      <c r="E67" s="215"/>
      <c r="F67" s="221"/>
      <c r="G67" s="216"/>
      <c r="H67" s="217">
        <f>I68 + I69 + I70 + I71</f>
        <v>0</v>
      </c>
      <c r="I67" s="217">
        <f>SUM(I68:I71)</f>
        <v>0</v>
      </c>
      <c r="M67">
        <f t="shared" si="1"/>
        <v>0</v>
      </c>
    </row>
    <row r="68" spans="1:13" ht="38.25" x14ac:dyDescent="0.2">
      <c r="A68" s="218" t="s">
        <v>748</v>
      </c>
      <c r="B68" s="218" t="s">
        <v>749</v>
      </c>
      <c r="C68" s="218" t="s">
        <v>641</v>
      </c>
      <c r="D68" s="218" t="s">
        <v>390</v>
      </c>
      <c r="E68" s="219" t="s">
        <v>642</v>
      </c>
      <c r="F68" s="222">
        <v>272.39</v>
      </c>
      <c r="G68" s="220"/>
      <c r="H68" s="220">
        <f>TRUNC(TRUNC(G68 * J12, 2) + G68, 2)</f>
        <v>0</v>
      </c>
      <c r="I68" s="220">
        <f t="shared" si="0"/>
        <v>0</v>
      </c>
      <c r="M68">
        <f t="shared" si="1"/>
        <v>0</v>
      </c>
    </row>
    <row r="69" spans="1:13" ht="38.25" x14ac:dyDescent="0.2">
      <c r="A69" s="218" t="s">
        <v>750</v>
      </c>
      <c r="B69" s="218" t="s">
        <v>751</v>
      </c>
      <c r="C69" s="218" t="s">
        <v>641</v>
      </c>
      <c r="D69" s="218" t="s">
        <v>388</v>
      </c>
      <c r="E69" s="219" t="s">
        <v>642</v>
      </c>
      <c r="F69" s="222">
        <v>65.040000000000006</v>
      </c>
      <c r="G69" s="220"/>
      <c r="H69" s="220">
        <f>TRUNC(TRUNC(G69 * J12, 2) + G69, 2)</f>
        <v>0</v>
      </c>
      <c r="I69" s="220">
        <f t="shared" si="0"/>
        <v>0</v>
      </c>
      <c r="M69">
        <f t="shared" si="1"/>
        <v>0</v>
      </c>
    </row>
    <row r="70" spans="1:13" ht="38.25" x14ac:dyDescent="0.2">
      <c r="A70" s="218" t="s">
        <v>752</v>
      </c>
      <c r="B70" s="218" t="s">
        <v>753</v>
      </c>
      <c r="C70" s="218" t="s">
        <v>641</v>
      </c>
      <c r="D70" s="218" t="s">
        <v>378</v>
      </c>
      <c r="E70" s="219" t="s">
        <v>642</v>
      </c>
      <c r="F70" s="222">
        <v>207.34</v>
      </c>
      <c r="G70" s="220"/>
      <c r="H70" s="220">
        <f>TRUNC(TRUNC(G70 * J12, 2) + G70, 2)</f>
        <v>0</v>
      </c>
      <c r="I70" s="220">
        <f t="shared" si="0"/>
        <v>0</v>
      </c>
      <c r="M70">
        <f t="shared" si="1"/>
        <v>0</v>
      </c>
    </row>
    <row r="71" spans="1:13" ht="38.25" x14ac:dyDescent="0.2">
      <c r="A71" s="218" t="s">
        <v>754</v>
      </c>
      <c r="B71" s="218" t="s">
        <v>755</v>
      </c>
      <c r="C71" s="218" t="s">
        <v>641</v>
      </c>
      <c r="D71" s="218" t="s">
        <v>379</v>
      </c>
      <c r="E71" s="219" t="s">
        <v>642</v>
      </c>
      <c r="F71" s="222">
        <v>207.34</v>
      </c>
      <c r="G71" s="220"/>
      <c r="H71" s="220">
        <f>TRUNC(TRUNC(G71 * J12, 2) + G71, 2)</f>
        <v>0</v>
      </c>
      <c r="I71" s="220">
        <f t="shared" si="0"/>
        <v>0</v>
      </c>
      <c r="M71">
        <f t="shared" si="1"/>
        <v>0</v>
      </c>
    </row>
    <row r="72" spans="1:13" x14ac:dyDescent="0.2">
      <c r="A72" s="214" t="s">
        <v>164</v>
      </c>
      <c r="B72" s="214" t="s">
        <v>637</v>
      </c>
      <c r="C72" s="214"/>
      <c r="D72" s="214" t="s">
        <v>756</v>
      </c>
      <c r="E72" s="215"/>
      <c r="F72" s="221"/>
      <c r="G72" s="216"/>
      <c r="H72" s="217">
        <f>I73 + I74</f>
        <v>0</v>
      </c>
      <c r="I72" s="217">
        <f>SUM(I73:I74)</f>
        <v>0</v>
      </c>
      <c r="M72">
        <f t="shared" si="1"/>
        <v>0</v>
      </c>
    </row>
    <row r="73" spans="1:13" ht="38.25" x14ac:dyDescent="0.2">
      <c r="A73" s="218" t="s">
        <v>757</v>
      </c>
      <c r="B73" s="218" t="s">
        <v>758</v>
      </c>
      <c r="C73" s="218" t="s">
        <v>641</v>
      </c>
      <c r="D73" s="218" t="s">
        <v>385</v>
      </c>
      <c r="E73" s="219" t="s">
        <v>642</v>
      </c>
      <c r="F73" s="222">
        <v>35.840000000000003</v>
      </c>
      <c r="G73" s="220"/>
      <c r="H73" s="220">
        <f>TRUNC(TRUNC(G73 * J12, 2) + G73, 2)</f>
        <v>0</v>
      </c>
      <c r="I73" s="220">
        <f t="shared" si="0"/>
        <v>0</v>
      </c>
      <c r="M73">
        <f t="shared" si="1"/>
        <v>0</v>
      </c>
    </row>
    <row r="74" spans="1:13" ht="25.5" x14ac:dyDescent="0.2">
      <c r="A74" s="218" t="s">
        <v>759</v>
      </c>
      <c r="B74" s="218" t="s">
        <v>760</v>
      </c>
      <c r="C74" s="218" t="s">
        <v>641</v>
      </c>
      <c r="D74" s="218" t="s">
        <v>386</v>
      </c>
      <c r="E74" s="219" t="s">
        <v>642</v>
      </c>
      <c r="F74" s="222">
        <v>35.840000000000003</v>
      </c>
      <c r="G74" s="220"/>
      <c r="H74" s="220">
        <f>TRUNC(TRUNC(G74 * J12, 2) + G74, 2)</f>
        <v>0</v>
      </c>
      <c r="I74" s="220">
        <f t="shared" si="0"/>
        <v>0</v>
      </c>
      <c r="M74">
        <f t="shared" si="1"/>
        <v>0</v>
      </c>
    </row>
    <row r="75" spans="1:13" x14ac:dyDescent="0.2">
      <c r="A75" s="214" t="s">
        <v>163</v>
      </c>
      <c r="B75" s="214" t="s">
        <v>637</v>
      </c>
      <c r="C75" s="214"/>
      <c r="D75" s="214" t="s">
        <v>761</v>
      </c>
      <c r="E75" s="215"/>
      <c r="F75" s="221"/>
      <c r="G75" s="216"/>
      <c r="H75" s="217">
        <f>I76 + I77 + I78 + I79 + I80</f>
        <v>0</v>
      </c>
      <c r="I75" s="217">
        <f>SUM(I76:I80)</f>
        <v>0</v>
      </c>
      <c r="M75">
        <f t="shared" si="1"/>
        <v>0</v>
      </c>
    </row>
    <row r="76" spans="1:13" x14ac:dyDescent="0.2">
      <c r="A76" s="218" t="s">
        <v>762</v>
      </c>
      <c r="B76" s="218" t="s">
        <v>763</v>
      </c>
      <c r="C76" s="218" t="s">
        <v>800</v>
      </c>
      <c r="D76" s="218" t="s">
        <v>764</v>
      </c>
      <c r="E76" s="219" t="s">
        <v>642</v>
      </c>
      <c r="F76" s="222">
        <v>284.75</v>
      </c>
      <c r="G76" s="220"/>
      <c r="H76" s="220">
        <f>TRUNC(TRUNC(G76 * J12, 2) + G76, 2)</f>
        <v>0</v>
      </c>
      <c r="I76" s="220">
        <f t="shared" si="0"/>
        <v>0</v>
      </c>
      <c r="M76">
        <f t="shared" si="1"/>
        <v>0</v>
      </c>
    </row>
    <row r="77" spans="1:13" ht="38.25" x14ac:dyDescent="0.2">
      <c r="A77" s="218" t="s">
        <v>765</v>
      </c>
      <c r="B77" s="218" t="s">
        <v>766</v>
      </c>
      <c r="C77" s="218" t="s">
        <v>641</v>
      </c>
      <c r="D77" s="218" t="s">
        <v>396</v>
      </c>
      <c r="E77" s="219" t="s">
        <v>642</v>
      </c>
      <c r="F77" s="222">
        <v>83.82</v>
      </c>
      <c r="G77" s="220"/>
      <c r="H77" s="220">
        <f>TRUNC(TRUNC(G77 * J12, 2) + G77, 2)</f>
        <v>0</v>
      </c>
      <c r="I77" s="220">
        <f t="shared" si="0"/>
        <v>0</v>
      </c>
      <c r="M77">
        <f t="shared" si="1"/>
        <v>0</v>
      </c>
    </row>
    <row r="78" spans="1:13" ht="38.25" x14ac:dyDescent="0.2">
      <c r="A78" s="218" t="s">
        <v>767</v>
      </c>
      <c r="B78" s="218" t="s">
        <v>768</v>
      </c>
      <c r="C78" s="218" t="s">
        <v>641</v>
      </c>
      <c r="D78" s="218" t="s">
        <v>533</v>
      </c>
      <c r="E78" s="219" t="s">
        <v>642</v>
      </c>
      <c r="F78" s="222">
        <v>368.57</v>
      </c>
      <c r="G78" s="220"/>
      <c r="H78" s="220">
        <f>TRUNC(TRUNC(G78 * J12, 2) + G78, 2)</f>
        <v>0</v>
      </c>
      <c r="I78" s="220">
        <f t="shared" ref="I78:I95" si="2">TRUNC(F78 * H78,2)</f>
        <v>0</v>
      </c>
      <c r="M78">
        <f t="shared" si="1"/>
        <v>0</v>
      </c>
    </row>
    <row r="79" spans="1:13" x14ac:dyDescent="0.2">
      <c r="A79" s="218" t="s">
        <v>769</v>
      </c>
      <c r="B79" s="218" t="s">
        <v>770</v>
      </c>
      <c r="C79" s="218" t="s">
        <v>641</v>
      </c>
      <c r="D79" s="218" t="s">
        <v>399</v>
      </c>
      <c r="E79" s="219" t="s">
        <v>680</v>
      </c>
      <c r="F79" s="222">
        <v>5.8</v>
      </c>
      <c r="G79" s="220"/>
      <c r="H79" s="220">
        <f>TRUNC(TRUNC(G79 * J12, 2) + G79, 2)</f>
        <v>0</v>
      </c>
      <c r="I79" s="220">
        <f t="shared" si="2"/>
        <v>0</v>
      </c>
      <c r="M79">
        <f t="shared" ref="M79:M95" si="3">F79*G79</f>
        <v>0</v>
      </c>
    </row>
    <row r="80" spans="1:13" ht="25.5" x14ac:dyDescent="0.2">
      <c r="A80" s="218" t="s">
        <v>771</v>
      </c>
      <c r="B80" s="218" t="s">
        <v>772</v>
      </c>
      <c r="C80" s="218" t="s">
        <v>641</v>
      </c>
      <c r="D80" s="218" t="s">
        <v>536</v>
      </c>
      <c r="E80" s="219" t="s">
        <v>680</v>
      </c>
      <c r="F80" s="222">
        <v>238.1</v>
      </c>
      <c r="G80" s="220"/>
      <c r="H80" s="220">
        <f>TRUNC(TRUNC(G80 * J12, 2) + G80, 2)</f>
        <v>0</v>
      </c>
      <c r="I80" s="220">
        <f t="shared" si="2"/>
        <v>0</v>
      </c>
      <c r="M80">
        <f t="shared" si="3"/>
        <v>0</v>
      </c>
    </row>
    <row r="81" spans="1:13" x14ac:dyDescent="0.2">
      <c r="A81" s="214" t="s">
        <v>162</v>
      </c>
      <c r="B81" s="214" t="s">
        <v>637</v>
      </c>
      <c r="C81" s="214"/>
      <c r="D81" s="214" t="s">
        <v>61</v>
      </c>
      <c r="E81" s="215"/>
      <c r="F81" s="221"/>
      <c r="G81" s="216"/>
      <c r="H81" s="217">
        <f>I82 + I83</f>
        <v>0</v>
      </c>
      <c r="I81" s="217">
        <f>SUM(I82:I83)</f>
        <v>0</v>
      </c>
      <c r="M81">
        <f t="shared" si="3"/>
        <v>0</v>
      </c>
    </row>
    <row r="82" spans="1:13" x14ac:dyDescent="0.2">
      <c r="A82" s="218" t="s">
        <v>773</v>
      </c>
      <c r="B82" s="218" t="s">
        <v>774</v>
      </c>
      <c r="C82" s="218" t="s">
        <v>641</v>
      </c>
      <c r="D82" s="218" t="s">
        <v>401</v>
      </c>
      <c r="E82" s="219" t="s">
        <v>775</v>
      </c>
      <c r="F82" s="222">
        <v>88</v>
      </c>
      <c r="G82" s="220"/>
      <c r="H82" s="220">
        <f>TRUNC(TRUNC(G82 * J12, 2) + G82, 2)</f>
        <v>0</v>
      </c>
      <c r="I82" s="220">
        <f t="shared" si="2"/>
        <v>0</v>
      </c>
      <c r="M82">
        <f t="shared" si="3"/>
        <v>0</v>
      </c>
    </row>
    <row r="83" spans="1:13" x14ac:dyDescent="0.2">
      <c r="A83" s="218" t="s">
        <v>776</v>
      </c>
      <c r="B83" s="218" t="s">
        <v>777</v>
      </c>
      <c r="C83" s="218" t="s">
        <v>641</v>
      </c>
      <c r="D83" s="218" t="s">
        <v>619</v>
      </c>
      <c r="E83" s="219" t="s">
        <v>775</v>
      </c>
      <c r="F83" s="222">
        <v>440</v>
      </c>
      <c r="G83" s="220"/>
      <c r="H83" s="220">
        <f>TRUNC(TRUNC(G83 * J12, 2) + G83, 2)</f>
        <v>0</v>
      </c>
      <c r="I83" s="220">
        <f t="shared" si="2"/>
        <v>0</v>
      </c>
      <c r="M83">
        <f t="shared" si="3"/>
        <v>0</v>
      </c>
    </row>
    <row r="84" spans="1:13" x14ac:dyDescent="0.2">
      <c r="A84" s="214" t="s">
        <v>160</v>
      </c>
      <c r="B84" s="214" t="s">
        <v>637</v>
      </c>
      <c r="C84" s="214"/>
      <c r="D84" s="214" t="s">
        <v>158</v>
      </c>
      <c r="E84" s="215"/>
      <c r="F84" s="221"/>
      <c r="G84" s="216"/>
      <c r="H84" s="217">
        <f>I85 + I86 + I87 + I88 + I89 + I90</f>
        <v>0</v>
      </c>
      <c r="I84" s="217">
        <f>SUM(I85:I90)</f>
        <v>0</v>
      </c>
      <c r="M84">
        <f t="shared" si="3"/>
        <v>0</v>
      </c>
    </row>
    <row r="85" spans="1:13" ht="25.5" x14ac:dyDescent="0.2">
      <c r="A85" s="218" t="s">
        <v>778</v>
      </c>
      <c r="B85" s="218" t="s">
        <v>779</v>
      </c>
      <c r="C85" s="218" t="s">
        <v>641</v>
      </c>
      <c r="D85" s="218" t="s">
        <v>424</v>
      </c>
      <c r="E85" s="219" t="s">
        <v>642</v>
      </c>
      <c r="F85" s="222">
        <v>447.45</v>
      </c>
      <c r="G85" s="220"/>
      <c r="H85" s="220">
        <f>TRUNC(TRUNC(G85 * J12, 2) + G85, 2)</f>
        <v>0</v>
      </c>
      <c r="I85" s="220">
        <f t="shared" si="2"/>
        <v>0</v>
      </c>
      <c r="M85">
        <f t="shared" si="3"/>
        <v>0</v>
      </c>
    </row>
    <row r="86" spans="1:13" ht="25.5" x14ac:dyDescent="0.2">
      <c r="A86" s="218" t="s">
        <v>780</v>
      </c>
      <c r="B86" s="218" t="s">
        <v>781</v>
      </c>
      <c r="C86" s="218" t="s">
        <v>641</v>
      </c>
      <c r="D86" s="218" t="s">
        <v>782</v>
      </c>
      <c r="E86" s="219" t="s">
        <v>642</v>
      </c>
      <c r="F86" s="222">
        <v>224.51</v>
      </c>
      <c r="G86" s="220"/>
      <c r="H86" s="220">
        <f>TRUNC(TRUNC(G86 * J12, 2) + G86, 2)</f>
        <v>0</v>
      </c>
      <c r="I86" s="220">
        <f t="shared" si="2"/>
        <v>0</v>
      </c>
      <c r="M86">
        <f t="shared" si="3"/>
        <v>0</v>
      </c>
    </row>
    <row r="87" spans="1:13" ht="25.5" x14ac:dyDescent="0.2">
      <c r="A87" s="218" t="s">
        <v>783</v>
      </c>
      <c r="B87" s="218" t="s">
        <v>784</v>
      </c>
      <c r="C87" s="218" t="s">
        <v>641</v>
      </c>
      <c r="D87" s="218" t="s">
        <v>415</v>
      </c>
      <c r="E87" s="219" t="s">
        <v>642</v>
      </c>
      <c r="F87" s="222">
        <v>278.29000000000002</v>
      </c>
      <c r="G87" s="220"/>
      <c r="H87" s="220">
        <f>TRUNC(TRUNC(G87 * J12, 2) + G87, 2)</f>
        <v>0</v>
      </c>
      <c r="I87" s="220">
        <f t="shared" si="2"/>
        <v>0</v>
      </c>
      <c r="M87">
        <f t="shared" si="3"/>
        <v>0</v>
      </c>
    </row>
    <row r="88" spans="1:13" ht="25.5" x14ac:dyDescent="0.2">
      <c r="A88" s="218" t="s">
        <v>785</v>
      </c>
      <c r="B88" s="218" t="s">
        <v>786</v>
      </c>
      <c r="C88" s="218" t="s">
        <v>641</v>
      </c>
      <c r="D88" s="218" t="s">
        <v>417</v>
      </c>
      <c r="E88" s="219" t="s">
        <v>642</v>
      </c>
      <c r="F88" s="222">
        <v>561.27</v>
      </c>
      <c r="G88" s="220"/>
      <c r="H88" s="220">
        <f>TRUNC(TRUNC(G88 * J12, 2) + G88, 2)</f>
        <v>0</v>
      </c>
      <c r="I88" s="220">
        <f t="shared" si="2"/>
        <v>0</v>
      </c>
      <c r="M88">
        <f t="shared" si="3"/>
        <v>0</v>
      </c>
    </row>
    <row r="89" spans="1:13" ht="25.5" x14ac:dyDescent="0.2">
      <c r="A89" s="218" t="s">
        <v>787</v>
      </c>
      <c r="B89" s="218" t="s">
        <v>788</v>
      </c>
      <c r="C89" s="218" t="s">
        <v>641</v>
      </c>
      <c r="D89" s="218" t="s">
        <v>420</v>
      </c>
      <c r="E89" s="219" t="s">
        <v>642</v>
      </c>
      <c r="F89" s="222">
        <v>358.39</v>
      </c>
      <c r="G89" s="220"/>
      <c r="H89" s="220">
        <f>TRUNC(TRUNC(G89 * J12, 2) + G89, 2)</f>
        <v>0</v>
      </c>
      <c r="I89" s="220">
        <f t="shared" si="2"/>
        <v>0</v>
      </c>
      <c r="M89">
        <f t="shared" si="3"/>
        <v>0</v>
      </c>
    </row>
    <row r="90" spans="1:13" ht="25.5" x14ac:dyDescent="0.2">
      <c r="A90" s="218" t="s">
        <v>789</v>
      </c>
      <c r="B90" s="218" t="s">
        <v>790</v>
      </c>
      <c r="C90" s="218" t="s">
        <v>641</v>
      </c>
      <c r="D90" s="218" t="s">
        <v>422</v>
      </c>
      <c r="E90" s="219" t="s">
        <v>642</v>
      </c>
      <c r="F90" s="222">
        <v>54.18</v>
      </c>
      <c r="G90" s="220"/>
      <c r="H90" s="220">
        <f>TRUNC(TRUNC(G90 * J12, 2) + G90, 2)</f>
        <v>0</v>
      </c>
      <c r="I90" s="220">
        <f t="shared" si="2"/>
        <v>0</v>
      </c>
      <c r="M90">
        <f t="shared" si="3"/>
        <v>0</v>
      </c>
    </row>
    <row r="91" spans="1:13" x14ac:dyDescent="0.2">
      <c r="A91" s="214" t="s">
        <v>159</v>
      </c>
      <c r="B91" s="214" t="s">
        <v>637</v>
      </c>
      <c r="C91" s="214"/>
      <c r="D91" s="214" t="s">
        <v>49</v>
      </c>
      <c r="E91" s="215"/>
      <c r="F91" s="221"/>
      <c r="G91" s="216"/>
      <c r="H91" s="217">
        <f>I92 + I93 + I94 + I95</f>
        <v>0</v>
      </c>
      <c r="I91" s="217">
        <f>SUM(I92:I95)</f>
        <v>0</v>
      </c>
      <c r="M91">
        <f t="shared" si="3"/>
        <v>0</v>
      </c>
    </row>
    <row r="92" spans="1:13" ht="25.5" x14ac:dyDescent="0.2">
      <c r="A92" s="218" t="s">
        <v>791</v>
      </c>
      <c r="B92" s="218" t="s">
        <v>792</v>
      </c>
      <c r="C92" s="218" t="s">
        <v>641</v>
      </c>
      <c r="D92" s="218" t="s">
        <v>426</v>
      </c>
      <c r="E92" s="219" t="s">
        <v>642</v>
      </c>
      <c r="F92" s="222">
        <v>360.93</v>
      </c>
      <c r="G92" s="220"/>
      <c r="H92" s="220">
        <f>TRUNC(TRUNC(G92 * J12, 2) + G92, 2)</f>
        <v>0</v>
      </c>
      <c r="I92" s="220">
        <f t="shared" si="2"/>
        <v>0</v>
      </c>
      <c r="M92">
        <f t="shared" si="3"/>
        <v>0</v>
      </c>
    </row>
    <row r="93" spans="1:13" ht="25.5" x14ac:dyDescent="0.2">
      <c r="A93" s="218" t="s">
        <v>793</v>
      </c>
      <c r="B93" s="218" t="s">
        <v>794</v>
      </c>
      <c r="C93" s="218" t="s">
        <v>641</v>
      </c>
      <c r="D93" s="218" t="s">
        <v>570</v>
      </c>
      <c r="E93" s="219" t="s">
        <v>642</v>
      </c>
      <c r="F93" s="222">
        <v>207.34</v>
      </c>
      <c r="G93" s="220"/>
      <c r="H93" s="220">
        <f>TRUNC(TRUNC(G93 * J12, 2) + G93, 2)</f>
        <v>0</v>
      </c>
      <c r="I93" s="220">
        <f t="shared" si="2"/>
        <v>0</v>
      </c>
      <c r="M93">
        <f t="shared" si="3"/>
        <v>0</v>
      </c>
    </row>
    <row r="94" spans="1:13" ht="25.5" x14ac:dyDescent="0.2">
      <c r="A94" s="218" t="s">
        <v>795</v>
      </c>
      <c r="B94" s="218" t="s">
        <v>796</v>
      </c>
      <c r="C94" s="218" t="s">
        <v>641</v>
      </c>
      <c r="D94" s="218" t="s">
        <v>573</v>
      </c>
      <c r="E94" s="219" t="s">
        <v>647</v>
      </c>
      <c r="F94" s="222">
        <v>20</v>
      </c>
      <c r="G94" s="220"/>
      <c r="H94" s="220">
        <f>TRUNC(TRUNC(G94 * J12, 2) + G94, 2)</f>
        <v>0</v>
      </c>
      <c r="I94" s="220">
        <f t="shared" si="2"/>
        <v>0</v>
      </c>
      <c r="M94">
        <f t="shared" si="3"/>
        <v>0</v>
      </c>
    </row>
    <row r="95" spans="1:13" x14ac:dyDescent="0.2">
      <c r="A95" s="218" t="s">
        <v>797</v>
      </c>
      <c r="B95" s="218" t="s">
        <v>798</v>
      </c>
      <c r="C95" s="218" t="s">
        <v>800</v>
      </c>
      <c r="D95" s="218" t="s">
        <v>47</v>
      </c>
      <c r="E95" s="219" t="s">
        <v>799</v>
      </c>
      <c r="F95" s="222">
        <v>1</v>
      </c>
      <c r="G95" s="220"/>
      <c r="H95" s="220">
        <f>TRUNC(TRUNC(G95 * J12, 2) + G95, 2)</f>
        <v>0</v>
      </c>
      <c r="I95" s="220">
        <f t="shared" si="2"/>
        <v>0</v>
      </c>
      <c r="M95">
        <f t="shared" si="3"/>
        <v>0</v>
      </c>
    </row>
    <row r="96" spans="1:13" x14ac:dyDescent="0.2">
      <c r="A96" s="126"/>
      <c r="B96" s="126"/>
      <c r="C96" s="126"/>
      <c r="D96" s="126"/>
      <c r="E96" s="126"/>
      <c r="F96" s="140"/>
      <c r="G96" s="126"/>
      <c r="H96" s="126"/>
      <c r="I96" s="126"/>
    </row>
    <row r="97" spans="1:10" x14ac:dyDescent="0.2">
      <c r="A97" s="266"/>
      <c r="B97" s="266"/>
      <c r="C97" s="266"/>
      <c r="D97" s="122"/>
      <c r="E97" s="267" t="s">
        <v>247</v>
      </c>
      <c r="F97" s="268"/>
      <c r="G97" s="270">
        <f>SUM(M15:M95)</f>
        <v>0</v>
      </c>
      <c r="H97" s="270"/>
      <c r="I97" s="270"/>
    </row>
    <row r="98" spans="1:10" x14ac:dyDescent="0.2">
      <c r="A98" s="266"/>
      <c r="B98" s="266"/>
      <c r="C98" s="266"/>
      <c r="D98" s="122"/>
      <c r="E98" s="267" t="s">
        <v>248</v>
      </c>
      <c r="F98" s="268"/>
      <c r="G98" s="270">
        <f>G99-G97</f>
        <v>0</v>
      </c>
      <c r="H98" s="270"/>
      <c r="I98" s="270"/>
    </row>
    <row r="99" spans="1:10" x14ac:dyDescent="0.2">
      <c r="A99" s="266"/>
      <c r="B99" s="266"/>
      <c r="C99" s="266"/>
      <c r="D99" s="122"/>
      <c r="E99" s="267" t="s">
        <v>801</v>
      </c>
      <c r="F99" s="268"/>
      <c r="G99" s="270">
        <f>I91+I84+I81+I75+I72+I67+I60+I57+I46+I37+I33+I14</f>
        <v>0</v>
      </c>
      <c r="H99" s="270"/>
      <c r="I99" s="270"/>
    </row>
    <row r="100" spans="1:10" x14ac:dyDescent="0.2">
      <c r="A100" s="126"/>
      <c r="B100" s="126"/>
      <c r="C100" s="126"/>
      <c r="D100" s="126"/>
      <c r="E100" s="126"/>
      <c r="F100" s="140"/>
      <c r="G100" s="126"/>
      <c r="H100" s="126"/>
      <c r="I100" s="126"/>
    </row>
    <row r="101" spans="1:10" x14ac:dyDescent="0.2">
      <c r="A101" s="266"/>
      <c r="B101" s="266"/>
      <c r="C101" s="266"/>
      <c r="D101" s="122"/>
      <c r="E101" s="267"/>
      <c r="F101" s="268"/>
      <c r="G101" s="269"/>
      <c r="H101" s="268"/>
      <c r="I101" s="268"/>
    </row>
    <row r="102" spans="1:10" x14ac:dyDescent="0.2">
      <c r="A102" s="266"/>
      <c r="B102" s="266"/>
      <c r="C102" s="266"/>
      <c r="D102" s="122"/>
      <c r="E102" s="267"/>
      <c r="F102" s="268"/>
      <c r="G102" s="269"/>
      <c r="H102" s="268"/>
      <c r="I102" s="268"/>
    </row>
    <row r="103" spans="1:10" x14ac:dyDescent="0.2">
      <c r="A103" s="266"/>
      <c r="B103" s="266"/>
      <c r="C103" s="266"/>
      <c r="D103" s="122"/>
      <c r="E103" s="267"/>
      <c r="F103" s="268"/>
      <c r="G103" s="269"/>
      <c r="H103" s="268"/>
      <c r="I103" s="268"/>
    </row>
    <row r="104" spans="1:10" x14ac:dyDescent="0.2">
      <c r="A104" s="126"/>
      <c r="B104" s="126"/>
      <c r="C104" s="126"/>
      <c r="D104" s="126"/>
      <c r="E104" s="126"/>
      <c r="F104" s="140"/>
      <c r="G104" s="126"/>
      <c r="H104" s="126"/>
      <c r="I104" s="126"/>
    </row>
    <row r="105" spans="1:10" x14ac:dyDescent="0.2">
      <c r="A105" s="7"/>
      <c r="B105" s="7"/>
      <c r="C105" s="7"/>
      <c r="D105" s="122"/>
      <c r="E105" s="120"/>
      <c r="F105" s="141"/>
      <c r="G105" s="125"/>
      <c r="H105" s="119"/>
      <c r="I105" s="119"/>
    </row>
    <row r="106" spans="1:10" ht="14.25" customHeight="1" x14ac:dyDescent="0.2">
      <c r="A106" s="7"/>
      <c r="B106" s="249" t="s">
        <v>210</v>
      </c>
      <c r="C106" s="249"/>
      <c r="D106" s="250" t="s">
        <v>4</v>
      </c>
      <c r="E106" s="250"/>
      <c r="F106" s="250"/>
      <c r="G106" s="250"/>
      <c r="H106" s="251"/>
      <c r="I106" s="251"/>
      <c r="J106" s="251"/>
    </row>
    <row r="107" spans="1:10" x14ac:dyDescent="0.2">
      <c r="A107" s="7"/>
      <c r="B107" s="252" t="s">
        <v>3</v>
      </c>
      <c r="C107" s="252"/>
      <c r="D107" s="253" t="s">
        <v>6</v>
      </c>
      <c r="E107" s="253"/>
      <c r="F107" s="253"/>
      <c r="G107" s="253"/>
      <c r="H107" s="11" t="s">
        <v>5</v>
      </c>
      <c r="I107" s="7"/>
      <c r="J107" s="1"/>
    </row>
    <row r="108" spans="1:10" x14ac:dyDescent="0.2">
      <c r="A108" s="7"/>
      <c r="B108" s="10"/>
      <c r="C108" s="7"/>
      <c r="D108" s="248"/>
      <c r="E108" s="248"/>
      <c r="F108" s="248"/>
      <c r="G108" s="248"/>
      <c r="H108" s="7"/>
      <c r="I108" s="7"/>
      <c r="J108" s="1"/>
    </row>
    <row r="109" spans="1:10" x14ac:dyDescent="0.2">
      <c r="A109" s="7"/>
      <c r="B109" s="10"/>
      <c r="C109" s="7"/>
      <c r="D109" s="248"/>
      <c r="E109" s="248"/>
      <c r="F109" s="248"/>
      <c r="G109" s="248"/>
      <c r="H109" s="7"/>
      <c r="I109" s="7"/>
      <c r="J109" s="1"/>
    </row>
    <row r="110" spans="1:10" x14ac:dyDescent="0.2">
      <c r="A110" s="7"/>
      <c r="B110" s="10"/>
      <c r="C110" s="7"/>
      <c r="D110" s="248"/>
      <c r="E110" s="248"/>
      <c r="F110" s="248"/>
      <c r="G110" s="248"/>
      <c r="H110" s="7"/>
      <c r="I110" s="7"/>
      <c r="J110" s="1"/>
    </row>
  </sheetData>
  <mergeCells count="35">
    <mergeCell ref="A99:C99"/>
    <mergeCell ref="E99:F99"/>
    <mergeCell ref="G99:I99"/>
    <mergeCell ref="A97:C97"/>
    <mergeCell ref="E97:F97"/>
    <mergeCell ref="G97:I97"/>
    <mergeCell ref="A98:C98"/>
    <mergeCell ref="E98:F98"/>
    <mergeCell ref="G98:I98"/>
    <mergeCell ref="E101:F101"/>
    <mergeCell ref="G101:I101"/>
    <mergeCell ref="A102:C102"/>
    <mergeCell ref="E102:F102"/>
    <mergeCell ref="G102:I102"/>
    <mergeCell ref="H106:J106"/>
    <mergeCell ref="B107:C107"/>
    <mergeCell ref="D107:G107"/>
    <mergeCell ref="A11:I11"/>
    <mergeCell ref="C2:H2"/>
    <mergeCell ref="C3:H3"/>
    <mergeCell ref="C4:H4"/>
    <mergeCell ref="C5:H5"/>
    <mergeCell ref="A7:D7"/>
    <mergeCell ref="A8:D8"/>
    <mergeCell ref="A9:D9"/>
    <mergeCell ref="E8:I8"/>
    <mergeCell ref="A103:C103"/>
    <mergeCell ref="E103:F103"/>
    <mergeCell ref="G103:I103"/>
    <mergeCell ref="A101:C101"/>
    <mergeCell ref="D108:G108"/>
    <mergeCell ref="D110:G110"/>
    <mergeCell ref="D109:G109"/>
    <mergeCell ref="B106:C106"/>
    <mergeCell ref="D106:G106"/>
  </mergeCells>
  <pageMargins left="0.51181102362204722" right="0.51181102362204722" top="0.78740157480314965" bottom="0.78740157480314965" header="0.31496062992125984" footer="0.31496062992125984"/>
  <pageSetup paperSize="9" scale="50" fitToHeight="0" orientation="portrait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96"/>
  <sheetViews>
    <sheetView zoomScale="85" zoomScaleNormal="85" workbookViewId="0">
      <selection activeCell="D17" sqref="D17"/>
    </sheetView>
  </sheetViews>
  <sheetFormatPr defaultRowHeight="14.25" x14ac:dyDescent="0.2"/>
  <cols>
    <col min="1" max="1" width="13.5" customWidth="1"/>
    <col min="2" max="2" width="10.5" customWidth="1"/>
    <col min="3" max="3" width="10.625" customWidth="1"/>
    <col min="4" max="4" width="69" customWidth="1"/>
    <col min="5" max="5" width="12.5" customWidth="1"/>
    <col min="6" max="6" width="10.875" customWidth="1"/>
    <col min="7" max="7" width="10.375" customWidth="1"/>
    <col min="8" max="8" width="13" customWidth="1"/>
    <col min="9" max="9" width="13.875" customWidth="1"/>
    <col min="10" max="10" width="13" customWidth="1"/>
  </cols>
  <sheetData>
    <row r="1" spans="1:10" x14ac:dyDescent="0.2">
      <c r="A1" s="2"/>
      <c r="B1" s="2"/>
      <c r="C1" s="2"/>
      <c r="D1" s="1"/>
      <c r="E1" s="1"/>
      <c r="F1" s="4"/>
      <c r="G1" s="1"/>
      <c r="H1" s="1"/>
      <c r="I1" s="1"/>
      <c r="J1" s="1"/>
    </row>
    <row r="2" spans="1:10" x14ac:dyDescent="0.2">
      <c r="A2" s="2"/>
      <c r="B2" s="2"/>
      <c r="C2" s="257" t="s">
        <v>0</v>
      </c>
      <c r="D2" s="257"/>
      <c r="E2" s="257"/>
      <c r="F2" s="257"/>
      <c r="G2" s="257"/>
      <c r="H2" s="257"/>
      <c r="I2" s="1"/>
      <c r="J2" s="1"/>
    </row>
    <row r="3" spans="1:10" x14ac:dyDescent="0.2">
      <c r="A3" s="2"/>
      <c r="B3" s="2"/>
      <c r="C3" s="257" t="s">
        <v>322</v>
      </c>
      <c r="D3" s="257"/>
      <c r="E3" s="257"/>
      <c r="F3" s="257"/>
      <c r="G3" s="257"/>
      <c r="H3" s="257"/>
      <c r="I3" s="1"/>
      <c r="J3" s="1"/>
    </row>
    <row r="4" spans="1:10" x14ac:dyDescent="0.2">
      <c r="A4" s="2"/>
      <c r="B4" s="2"/>
      <c r="C4" s="257" t="s">
        <v>1</v>
      </c>
      <c r="D4" s="257"/>
      <c r="E4" s="257"/>
      <c r="F4" s="257"/>
      <c r="G4" s="257"/>
      <c r="H4" s="257"/>
      <c r="I4" s="1"/>
      <c r="J4" s="1"/>
    </row>
    <row r="5" spans="1:10" x14ac:dyDescent="0.2">
      <c r="A5" s="2"/>
      <c r="B5" s="2"/>
      <c r="C5" s="257" t="s">
        <v>2</v>
      </c>
      <c r="D5" s="257"/>
      <c r="E5" s="257"/>
      <c r="F5" s="257"/>
      <c r="G5" s="257"/>
      <c r="H5" s="257"/>
      <c r="I5" s="1"/>
      <c r="J5" s="1"/>
    </row>
    <row r="6" spans="1:10" ht="15" thickBot="1" x14ac:dyDescent="0.25">
      <c r="A6" s="2"/>
      <c r="B6" s="2"/>
      <c r="C6" s="2"/>
      <c r="D6" s="1"/>
      <c r="E6" s="1"/>
      <c r="F6" s="4"/>
      <c r="G6" s="1"/>
      <c r="H6" s="1"/>
      <c r="I6" s="1"/>
      <c r="J6" s="1"/>
    </row>
    <row r="7" spans="1:10" x14ac:dyDescent="0.2">
      <c r="A7" s="258" t="s">
        <v>328</v>
      </c>
      <c r="B7" s="259"/>
      <c r="C7" s="259"/>
      <c r="D7" s="259"/>
      <c r="E7" s="171" t="s">
        <v>871</v>
      </c>
      <c r="F7" s="172"/>
      <c r="G7" s="171"/>
      <c r="H7" s="171"/>
      <c r="I7" s="171"/>
      <c r="J7" s="178"/>
    </row>
    <row r="8" spans="1:10" x14ac:dyDescent="0.2">
      <c r="A8" s="260" t="s">
        <v>329</v>
      </c>
      <c r="B8" s="261"/>
      <c r="C8" s="261"/>
      <c r="D8" s="261"/>
      <c r="E8" s="281" t="s">
        <v>869</v>
      </c>
      <c r="F8" s="281"/>
      <c r="G8" s="281"/>
      <c r="H8" s="281"/>
      <c r="I8" s="281"/>
      <c r="J8" s="282"/>
    </row>
    <row r="9" spans="1:10" ht="15" thickBot="1" x14ac:dyDescent="0.25">
      <c r="A9" s="262" t="s">
        <v>802</v>
      </c>
      <c r="B9" s="263"/>
      <c r="C9" s="263"/>
      <c r="D9" s="263"/>
      <c r="E9" s="175" t="s">
        <v>895</v>
      </c>
      <c r="F9" s="176"/>
      <c r="G9" s="175"/>
      <c r="H9" s="175"/>
      <c r="I9" s="175"/>
      <c r="J9" s="179"/>
    </row>
    <row r="10" spans="1:10" x14ac:dyDescent="0.2">
      <c r="A10" s="2"/>
      <c r="B10" s="2"/>
      <c r="C10" s="2"/>
      <c r="D10" s="1"/>
      <c r="E10" s="1"/>
      <c r="F10" s="4"/>
      <c r="G10" s="1"/>
      <c r="H10" s="1"/>
      <c r="I10" s="1"/>
      <c r="J10" s="1"/>
    </row>
    <row r="11" spans="1:10" ht="15.75" x14ac:dyDescent="0.2">
      <c r="A11" s="254" t="s">
        <v>157</v>
      </c>
      <c r="B11" s="255"/>
      <c r="C11" s="255"/>
      <c r="D11" s="255"/>
      <c r="E11" s="255"/>
      <c r="F11" s="255"/>
      <c r="G11" s="255"/>
      <c r="H11" s="255"/>
      <c r="I11" s="255"/>
      <c r="J11" s="6"/>
    </row>
    <row r="12" spans="1:10" x14ac:dyDescent="0.2">
      <c r="A12" s="2"/>
      <c r="B12" s="2"/>
      <c r="C12" s="2"/>
      <c r="D12" s="1"/>
      <c r="E12" s="1"/>
      <c r="F12" s="4"/>
      <c r="G12" s="1"/>
      <c r="H12" s="1"/>
      <c r="I12" s="1"/>
    </row>
    <row r="13" spans="1:10" ht="18" customHeight="1" x14ac:dyDescent="0.2">
      <c r="A13" s="224" t="s">
        <v>661</v>
      </c>
      <c r="B13" s="226" t="s">
        <v>156</v>
      </c>
      <c r="C13" s="224" t="s">
        <v>155</v>
      </c>
      <c r="D13" s="224" t="s">
        <v>154</v>
      </c>
      <c r="E13" s="273" t="s">
        <v>803</v>
      </c>
      <c r="F13" s="273"/>
      <c r="G13" s="225" t="s">
        <v>153</v>
      </c>
      <c r="H13" s="226" t="s">
        <v>152</v>
      </c>
      <c r="I13" s="226" t="s">
        <v>151</v>
      </c>
      <c r="J13" s="226" t="s">
        <v>52</v>
      </c>
    </row>
    <row r="14" spans="1:10" ht="24" customHeight="1" x14ac:dyDescent="0.2">
      <c r="A14" s="218" t="s">
        <v>804</v>
      </c>
      <c r="B14" s="227" t="s">
        <v>874</v>
      </c>
      <c r="C14" s="218" t="s">
        <v>662</v>
      </c>
      <c r="D14" s="218" t="s">
        <v>875</v>
      </c>
      <c r="E14" s="274" t="s">
        <v>876</v>
      </c>
      <c r="F14" s="274"/>
      <c r="G14" s="219" t="s">
        <v>647</v>
      </c>
      <c r="H14" s="228">
        <v>1</v>
      </c>
      <c r="I14" s="220"/>
      <c r="J14" s="220"/>
    </row>
    <row r="15" spans="1:10" ht="24" customHeight="1" x14ac:dyDescent="0.2">
      <c r="A15" s="235" t="s">
        <v>805</v>
      </c>
      <c r="B15" s="237" t="s">
        <v>877</v>
      </c>
      <c r="C15" s="235" t="s">
        <v>662</v>
      </c>
      <c r="D15" s="235" t="s">
        <v>878</v>
      </c>
      <c r="E15" s="271" t="s">
        <v>806</v>
      </c>
      <c r="F15" s="271"/>
      <c r="G15" s="236" t="s">
        <v>680</v>
      </c>
      <c r="H15" s="239">
        <v>1.82</v>
      </c>
      <c r="I15" s="238"/>
      <c r="J15" s="238"/>
    </row>
    <row r="16" spans="1:10" ht="24" customHeight="1" x14ac:dyDescent="0.2">
      <c r="A16" s="235" t="s">
        <v>805</v>
      </c>
      <c r="B16" s="237" t="s">
        <v>879</v>
      </c>
      <c r="C16" s="235" t="s">
        <v>662</v>
      </c>
      <c r="D16" s="235" t="s">
        <v>880</v>
      </c>
      <c r="E16" s="271" t="s">
        <v>806</v>
      </c>
      <c r="F16" s="271"/>
      <c r="G16" s="236" t="s">
        <v>647</v>
      </c>
      <c r="H16" s="239">
        <v>1</v>
      </c>
      <c r="I16" s="238"/>
      <c r="J16" s="238"/>
    </row>
    <row r="17" spans="1:10" ht="24" customHeight="1" x14ac:dyDescent="0.2">
      <c r="A17" s="235" t="s">
        <v>805</v>
      </c>
      <c r="B17" s="237" t="s">
        <v>881</v>
      </c>
      <c r="C17" s="235" t="s">
        <v>662</v>
      </c>
      <c r="D17" s="235" t="s">
        <v>882</v>
      </c>
      <c r="E17" s="271" t="s">
        <v>806</v>
      </c>
      <c r="F17" s="271"/>
      <c r="G17" s="236" t="s">
        <v>647</v>
      </c>
      <c r="H17" s="239">
        <v>1</v>
      </c>
      <c r="I17" s="238"/>
      <c r="J17" s="238"/>
    </row>
    <row r="18" spans="1:10" ht="24" customHeight="1" x14ac:dyDescent="0.2">
      <c r="A18" s="235" t="s">
        <v>805</v>
      </c>
      <c r="B18" s="237" t="s">
        <v>807</v>
      </c>
      <c r="C18" s="235" t="s">
        <v>662</v>
      </c>
      <c r="D18" s="235" t="s">
        <v>808</v>
      </c>
      <c r="E18" s="271" t="s">
        <v>809</v>
      </c>
      <c r="F18" s="271"/>
      <c r="G18" s="236" t="s">
        <v>775</v>
      </c>
      <c r="H18" s="239">
        <v>3.524</v>
      </c>
      <c r="I18" s="238"/>
      <c r="J18" s="238"/>
    </row>
    <row r="19" spans="1:10" ht="24" customHeight="1" x14ac:dyDescent="0.2">
      <c r="A19" s="235" t="s">
        <v>805</v>
      </c>
      <c r="B19" s="237" t="s">
        <v>883</v>
      </c>
      <c r="C19" s="235" t="s">
        <v>662</v>
      </c>
      <c r="D19" s="235" t="s">
        <v>884</v>
      </c>
      <c r="E19" s="271" t="s">
        <v>806</v>
      </c>
      <c r="F19" s="271"/>
      <c r="G19" s="236" t="s">
        <v>680</v>
      </c>
      <c r="H19" s="239">
        <v>2.843</v>
      </c>
      <c r="I19" s="238"/>
      <c r="J19" s="238"/>
    </row>
    <row r="20" spans="1:10" ht="26.1" customHeight="1" x14ac:dyDescent="0.2">
      <c r="A20" s="235" t="s">
        <v>805</v>
      </c>
      <c r="B20" s="237" t="s">
        <v>885</v>
      </c>
      <c r="C20" s="235" t="s">
        <v>662</v>
      </c>
      <c r="D20" s="235" t="s">
        <v>886</v>
      </c>
      <c r="E20" s="271" t="s">
        <v>806</v>
      </c>
      <c r="F20" s="271"/>
      <c r="G20" s="236" t="s">
        <v>647</v>
      </c>
      <c r="H20" s="239">
        <v>1</v>
      </c>
      <c r="I20" s="238"/>
      <c r="J20" s="238"/>
    </row>
    <row r="21" spans="1:10" ht="24" customHeight="1" x14ac:dyDescent="0.2">
      <c r="A21" s="235" t="s">
        <v>805</v>
      </c>
      <c r="B21" s="237" t="s">
        <v>887</v>
      </c>
      <c r="C21" s="235" t="s">
        <v>662</v>
      </c>
      <c r="D21" s="235" t="s">
        <v>888</v>
      </c>
      <c r="E21" s="271" t="s">
        <v>806</v>
      </c>
      <c r="F21" s="271"/>
      <c r="G21" s="236" t="s">
        <v>647</v>
      </c>
      <c r="H21" s="239">
        <v>2</v>
      </c>
      <c r="I21" s="238"/>
      <c r="J21" s="238"/>
    </row>
    <row r="22" spans="1:10" ht="24" customHeight="1" x14ac:dyDescent="0.2">
      <c r="A22" s="235" t="s">
        <v>805</v>
      </c>
      <c r="B22" s="237" t="s">
        <v>810</v>
      </c>
      <c r="C22" s="235" t="s">
        <v>662</v>
      </c>
      <c r="D22" s="235" t="s">
        <v>811</v>
      </c>
      <c r="E22" s="271" t="s">
        <v>809</v>
      </c>
      <c r="F22" s="271"/>
      <c r="G22" s="236" t="s">
        <v>775</v>
      </c>
      <c r="H22" s="239">
        <v>2.7410000000000001</v>
      </c>
      <c r="I22" s="238"/>
      <c r="J22" s="238"/>
    </row>
    <row r="23" spans="1:10" x14ac:dyDescent="0.2">
      <c r="A23" s="243"/>
      <c r="B23" s="243"/>
      <c r="C23" s="243"/>
      <c r="D23" s="243"/>
      <c r="E23" s="243"/>
      <c r="F23" s="244"/>
      <c r="G23" s="243"/>
      <c r="H23" s="244"/>
      <c r="I23" s="243"/>
      <c r="J23" s="244"/>
    </row>
    <row r="24" spans="1:10" ht="15" thickBot="1" x14ac:dyDescent="0.25">
      <c r="A24" s="243"/>
      <c r="B24" s="243"/>
      <c r="C24" s="243"/>
      <c r="D24" s="243"/>
      <c r="E24" s="243"/>
      <c r="F24" s="244"/>
      <c r="G24" s="243"/>
      <c r="H24" s="272"/>
      <c r="I24" s="272"/>
      <c r="J24" s="244"/>
    </row>
    <row r="25" spans="1:10" ht="0.95" customHeight="1" thickTop="1" x14ac:dyDescent="0.2">
      <c r="A25" s="229"/>
      <c r="B25" s="229"/>
      <c r="C25" s="229"/>
      <c r="D25" s="229"/>
      <c r="E25" s="229"/>
      <c r="F25" s="229"/>
      <c r="G25" s="229"/>
      <c r="H25" s="229"/>
      <c r="I25" s="229"/>
      <c r="J25" s="229"/>
    </row>
    <row r="26" spans="1:10" ht="18" customHeight="1" x14ac:dyDescent="0.2">
      <c r="A26" s="224" t="s">
        <v>663</v>
      </c>
      <c r="B26" s="226" t="s">
        <v>156</v>
      </c>
      <c r="C26" s="224" t="s">
        <v>155</v>
      </c>
      <c r="D26" s="224" t="s">
        <v>154</v>
      </c>
      <c r="E26" s="273" t="s">
        <v>803</v>
      </c>
      <c r="F26" s="273"/>
      <c r="G26" s="225" t="s">
        <v>153</v>
      </c>
      <c r="H26" s="226" t="s">
        <v>152</v>
      </c>
      <c r="I26" s="226" t="s">
        <v>151</v>
      </c>
      <c r="J26" s="226" t="s">
        <v>52</v>
      </c>
    </row>
    <row r="27" spans="1:10" ht="24" customHeight="1" x14ac:dyDescent="0.2">
      <c r="A27" s="218" t="s">
        <v>804</v>
      </c>
      <c r="B27" s="227" t="s">
        <v>664</v>
      </c>
      <c r="C27" s="218" t="s">
        <v>662</v>
      </c>
      <c r="D27" s="218" t="s">
        <v>665</v>
      </c>
      <c r="E27" s="274" t="s">
        <v>812</v>
      </c>
      <c r="F27" s="274"/>
      <c r="G27" s="219" t="s">
        <v>647</v>
      </c>
      <c r="H27" s="228">
        <v>1</v>
      </c>
      <c r="I27" s="220"/>
      <c r="J27" s="220"/>
    </row>
    <row r="28" spans="1:10" ht="24" customHeight="1" x14ac:dyDescent="0.2">
      <c r="A28" s="235" t="s">
        <v>805</v>
      </c>
      <c r="B28" s="237" t="s">
        <v>820</v>
      </c>
      <c r="C28" s="235" t="s">
        <v>662</v>
      </c>
      <c r="D28" s="235" t="s">
        <v>821</v>
      </c>
      <c r="E28" s="271" t="s">
        <v>806</v>
      </c>
      <c r="F28" s="271"/>
      <c r="G28" s="236" t="s">
        <v>680</v>
      </c>
      <c r="H28" s="239">
        <v>0.15</v>
      </c>
      <c r="I28" s="238"/>
      <c r="J28" s="238"/>
    </row>
    <row r="29" spans="1:10" ht="24" customHeight="1" x14ac:dyDescent="0.2">
      <c r="A29" s="235" t="s">
        <v>805</v>
      </c>
      <c r="B29" s="237" t="s">
        <v>818</v>
      </c>
      <c r="C29" s="235" t="s">
        <v>662</v>
      </c>
      <c r="D29" s="235" t="s">
        <v>819</v>
      </c>
      <c r="E29" s="271" t="s">
        <v>809</v>
      </c>
      <c r="F29" s="271"/>
      <c r="G29" s="236" t="s">
        <v>775</v>
      </c>
      <c r="H29" s="239">
        <v>10.699</v>
      </c>
      <c r="I29" s="238"/>
      <c r="J29" s="238"/>
    </row>
    <row r="30" spans="1:10" ht="26.1" customHeight="1" x14ac:dyDescent="0.2">
      <c r="A30" s="235" t="s">
        <v>805</v>
      </c>
      <c r="B30" s="237" t="s">
        <v>815</v>
      </c>
      <c r="C30" s="235" t="s">
        <v>662</v>
      </c>
      <c r="D30" s="235" t="s">
        <v>889</v>
      </c>
      <c r="E30" s="271" t="s">
        <v>806</v>
      </c>
      <c r="F30" s="271"/>
      <c r="G30" s="236" t="s">
        <v>680</v>
      </c>
      <c r="H30" s="239">
        <v>1.5</v>
      </c>
      <c r="I30" s="238"/>
      <c r="J30" s="238"/>
    </row>
    <row r="31" spans="1:10" ht="24" customHeight="1" x14ac:dyDescent="0.2">
      <c r="A31" s="235" t="s">
        <v>805</v>
      </c>
      <c r="B31" s="237" t="s">
        <v>816</v>
      </c>
      <c r="C31" s="235" t="s">
        <v>662</v>
      </c>
      <c r="D31" s="235" t="s">
        <v>890</v>
      </c>
      <c r="E31" s="271" t="s">
        <v>806</v>
      </c>
      <c r="F31" s="271"/>
      <c r="G31" s="236" t="s">
        <v>647</v>
      </c>
      <c r="H31" s="239">
        <v>2</v>
      </c>
      <c r="I31" s="238"/>
      <c r="J31" s="238"/>
    </row>
    <row r="32" spans="1:10" ht="26.1" customHeight="1" x14ac:dyDescent="0.2">
      <c r="A32" s="235" t="s">
        <v>805</v>
      </c>
      <c r="B32" s="237" t="s">
        <v>817</v>
      </c>
      <c r="C32" s="235" t="s">
        <v>662</v>
      </c>
      <c r="D32" s="235" t="s">
        <v>891</v>
      </c>
      <c r="E32" s="271" t="s">
        <v>806</v>
      </c>
      <c r="F32" s="271"/>
      <c r="G32" s="236" t="s">
        <v>680</v>
      </c>
      <c r="H32" s="239">
        <v>16</v>
      </c>
      <c r="I32" s="238"/>
      <c r="J32" s="238"/>
    </row>
    <row r="33" spans="1:10" ht="24" customHeight="1" x14ac:dyDescent="0.2">
      <c r="A33" s="235" t="s">
        <v>805</v>
      </c>
      <c r="B33" s="237" t="s">
        <v>823</v>
      </c>
      <c r="C33" s="235" t="s">
        <v>662</v>
      </c>
      <c r="D33" s="235" t="s">
        <v>892</v>
      </c>
      <c r="E33" s="271" t="s">
        <v>806</v>
      </c>
      <c r="F33" s="271"/>
      <c r="G33" s="236" t="s">
        <v>647</v>
      </c>
      <c r="H33" s="239">
        <v>1</v>
      </c>
      <c r="I33" s="238"/>
      <c r="J33" s="238"/>
    </row>
    <row r="34" spans="1:10" ht="24" customHeight="1" x14ac:dyDescent="0.2">
      <c r="A34" s="235" t="s">
        <v>805</v>
      </c>
      <c r="B34" s="237" t="s">
        <v>813</v>
      </c>
      <c r="C34" s="235" t="s">
        <v>662</v>
      </c>
      <c r="D34" s="235" t="s">
        <v>814</v>
      </c>
      <c r="E34" s="271" t="s">
        <v>809</v>
      </c>
      <c r="F34" s="271"/>
      <c r="G34" s="236" t="s">
        <v>775</v>
      </c>
      <c r="H34" s="239">
        <v>12.92</v>
      </c>
      <c r="I34" s="238"/>
      <c r="J34" s="238"/>
    </row>
    <row r="35" spans="1:10" ht="24" customHeight="1" x14ac:dyDescent="0.2">
      <c r="A35" s="235" t="s">
        <v>805</v>
      </c>
      <c r="B35" s="237" t="s">
        <v>822</v>
      </c>
      <c r="C35" s="235" t="s">
        <v>662</v>
      </c>
      <c r="D35" s="235" t="s">
        <v>893</v>
      </c>
      <c r="E35" s="271" t="s">
        <v>806</v>
      </c>
      <c r="F35" s="271"/>
      <c r="G35" s="236" t="s">
        <v>647</v>
      </c>
      <c r="H35" s="239">
        <v>2</v>
      </c>
      <c r="I35" s="238"/>
      <c r="J35" s="238"/>
    </row>
    <row r="36" spans="1:10" x14ac:dyDescent="0.2">
      <c r="A36" s="243"/>
      <c r="B36" s="243"/>
      <c r="C36" s="243"/>
      <c r="D36" s="243"/>
      <c r="E36" s="243"/>
      <c r="F36" s="244"/>
      <c r="G36" s="243"/>
      <c r="H36" s="244"/>
      <c r="I36" s="243"/>
      <c r="J36" s="244"/>
    </row>
    <row r="37" spans="1:10" ht="15" thickBot="1" x14ac:dyDescent="0.25">
      <c r="A37" s="243"/>
      <c r="B37" s="243"/>
      <c r="C37" s="243"/>
      <c r="D37" s="243"/>
      <c r="E37" s="243"/>
      <c r="F37" s="244"/>
      <c r="G37" s="243"/>
      <c r="H37" s="272"/>
      <c r="I37" s="272"/>
      <c r="J37" s="244"/>
    </row>
    <row r="38" spans="1:10" ht="0.95" customHeight="1" thickTop="1" x14ac:dyDescent="0.2">
      <c r="A38" s="229"/>
      <c r="B38" s="229"/>
      <c r="C38" s="229"/>
      <c r="D38" s="229"/>
      <c r="E38" s="229"/>
      <c r="F38" s="229"/>
      <c r="G38" s="229"/>
      <c r="H38" s="229"/>
      <c r="I38" s="229"/>
      <c r="J38" s="229"/>
    </row>
    <row r="39" spans="1:10" ht="18" customHeight="1" x14ac:dyDescent="0.2">
      <c r="A39" s="224" t="s">
        <v>668</v>
      </c>
      <c r="B39" s="226" t="s">
        <v>156</v>
      </c>
      <c r="C39" s="224" t="s">
        <v>155</v>
      </c>
      <c r="D39" s="224" t="s">
        <v>154</v>
      </c>
      <c r="E39" s="273" t="s">
        <v>803</v>
      </c>
      <c r="F39" s="273"/>
      <c r="G39" s="225" t="s">
        <v>153</v>
      </c>
      <c r="H39" s="226" t="s">
        <v>152</v>
      </c>
      <c r="I39" s="226" t="s">
        <v>151</v>
      </c>
      <c r="J39" s="226" t="s">
        <v>52</v>
      </c>
    </row>
    <row r="40" spans="1:10" ht="24" customHeight="1" x14ac:dyDescent="0.2">
      <c r="A40" s="218" t="s">
        <v>804</v>
      </c>
      <c r="B40" s="227" t="s">
        <v>669</v>
      </c>
      <c r="C40" s="218" t="s">
        <v>670</v>
      </c>
      <c r="D40" s="218" t="s">
        <v>671</v>
      </c>
      <c r="E40" s="274" t="s">
        <v>824</v>
      </c>
      <c r="F40" s="274"/>
      <c r="G40" s="219" t="s">
        <v>642</v>
      </c>
      <c r="H40" s="228">
        <v>1</v>
      </c>
      <c r="I40" s="220"/>
      <c r="J40" s="220"/>
    </row>
    <row r="41" spans="1:10" ht="24" customHeight="1" x14ac:dyDescent="0.2">
      <c r="A41" s="230" t="s">
        <v>825</v>
      </c>
      <c r="B41" s="232" t="s">
        <v>826</v>
      </c>
      <c r="C41" s="230" t="s">
        <v>641</v>
      </c>
      <c r="D41" s="230" t="s">
        <v>827</v>
      </c>
      <c r="E41" s="275" t="s">
        <v>828</v>
      </c>
      <c r="F41" s="275"/>
      <c r="G41" s="231" t="s">
        <v>775</v>
      </c>
      <c r="H41" s="234">
        <v>1.8</v>
      </c>
      <c r="I41" s="233"/>
      <c r="J41" s="233"/>
    </row>
    <row r="42" spans="1:10" ht="24" customHeight="1" x14ac:dyDescent="0.2">
      <c r="A42" s="230" t="s">
        <v>825</v>
      </c>
      <c r="B42" s="232" t="s">
        <v>829</v>
      </c>
      <c r="C42" s="230" t="s">
        <v>641</v>
      </c>
      <c r="D42" s="230" t="s">
        <v>830</v>
      </c>
      <c r="E42" s="275" t="s">
        <v>828</v>
      </c>
      <c r="F42" s="275"/>
      <c r="G42" s="231" t="s">
        <v>775</v>
      </c>
      <c r="H42" s="234">
        <v>0.18</v>
      </c>
      <c r="I42" s="233"/>
      <c r="J42" s="233"/>
    </row>
    <row r="43" spans="1:10" x14ac:dyDescent="0.2">
      <c r="A43" s="243"/>
      <c r="B43" s="243"/>
      <c r="C43" s="243"/>
      <c r="D43" s="243"/>
      <c r="E43" s="243"/>
      <c r="F43" s="244"/>
      <c r="G43" s="243"/>
      <c r="H43" s="244"/>
      <c r="I43" s="243"/>
      <c r="J43" s="244"/>
    </row>
    <row r="44" spans="1:10" ht="15" thickBot="1" x14ac:dyDescent="0.25">
      <c r="A44" s="243"/>
      <c r="B44" s="243"/>
      <c r="C44" s="243"/>
      <c r="D44" s="243"/>
      <c r="E44" s="243"/>
      <c r="F44" s="244"/>
      <c r="G44" s="243"/>
      <c r="H44" s="272"/>
      <c r="I44" s="272"/>
      <c r="J44" s="244"/>
    </row>
    <row r="45" spans="1:10" ht="0.95" customHeight="1" thickTop="1" x14ac:dyDescent="0.2">
      <c r="A45" s="229"/>
      <c r="B45" s="229"/>
      <c r="C45" s="229"/>
      <c r="D45" s="229"/>
      <c r="E45" s="229"/>
      <c r="F45" s="229"/>
      <c r="G45" s="229"/>
      <c r="H45" s="229"/>
      <c r="I45" s="229"/>
      <c r="J45" s="229"/>
    </row>
    <row r="46" spans="1:10" ht="18" customHeight="1" x14ac:dyDescent="0.2">
      <c r="A46" s="224" t="s">
        <v>678</v>
      </c>
      <c r="B46" s="226" t="s">
        <v>156</v>
      </c>
      <c r="C46" s="224" t="s">
        <v>155</v>
      </c>
      <c r="D46" s="224" t="s">
        <v>154</v>
      </c>
      <c r="E46" s="273" t="s">
        <v>803</v>
      </c>
      <c r="F46" s="273"/>
      <c r="G46" s="225" t="s">
        <v>153</v>
      </c>
      <c r="H46" s="226" t="s">
        <v>152</v>
      </c>
      <c r="I46" s="226" t="s">
        <v>151</v>
      </c>
      <c r="J46" s="226" t="s">
        <v>52</v>
      </c>
    </row>
    <row r="47" spans="1:10" ht="26.1" customHeight="1" x14ac:dyDescent="0.2">
      <c r="A47" s="218" t="s">
        <v>804</v>
      </c>
      <c r="B47" s="227" t="s">
        <v>679</v>
      </c>
      <c r="C47" s="218" t="s">
        <v>670</v>
      </c>
      <c r="D47" s="218" t="s">
        <v>520</v>
      </c>
      <c r="E47" s="274" t="s">
        <v>824</v>
      </c>
      <c r="F47" s="274"/>
      <c r="G47" s="219" t="s">
        <v>680</v>
      </c>
      <c r="H47" s="228">
        <v>1</v>
      </c>
      <c r="I47" s="220"/>
      <c r="J47" s="220"/>
    </row>
    <row r="48" spans="1:10" ht="24" customHeight="1" x14ac:dyDescent="0.2">
      <c r="A48" s="235" t="s">
        <v>805</v>
      </c>
      <c r="B48" s="237" t="s">
        <v>831</v>
      </c>
      <c r="C48" s="235" t="s">
        <v>873</v>
      </c>
      <c r="D48" s="235" t="s">
        <v>832</v>
      </c>
      <c r="E48" s="271" t="s">
        <v>809</v>
      </c>
      <c r="F48" s="271"/>
      <c r="G48" s="236" t="s">
        <v>775</v>
      </c>
      <c r="H48" s="239">
        <v>8.2500000000000004E-2</v>
      </c>
      <c r="I48" s="238"/>
      <c r="J48" s="238"/>
    </row>
    <row r="49" spans="1:10" ht="24" customHeight="1" x14ac:dyDescent="0.2">
      <c r="A49" s="235" t="s">
        <v>805</v>
      </c>
      <c r="B49" s="237" t="s">
        <v>833</v>
      </c>
      <c r="C49" s="235" t="s">
        <v>873</v>
      </c>
      <c r="D49" s="235" t="s">
        <v>834</v>
      </c>
      <c r="E49" s="271" t="s">
        <v>809</v>
      </c>
      <c r="F49" s="271"/>
      <c r="G49" s="236" t="s">
        <v>775</v>
      </c>
      <c r="H49" s="239">
        <v>2.93E-2</v>
      </c>
      <c r="I49" s="238"/>
      <c r="J49" s="238"/>
    </row>
    <row r="50" spans="1:10" x14ac:dyDescent="0.2">
      <c r="A50" s="243"/>
      <c r="B50" s="243"/>
      <c r="C50" s="243"/>
      <c r="D50" s="243"/>
      <c r="E50" s="243"/>
      <c r="F50" s="244"/>
      <c r="G50" s="243"/>
      <c r="H50" s="244"/>
      <c r="I50" s="243"/>
      <c r="J50" s="244"/>
    </row>
    <row r="51" spans="1:10" ht="15" thickBot="1" x14ac:dyDescent="0.25">
      <c r="A51" s="243"/>
      <c r="B51" s="243"/>
      <c r="C51" s="243"/>
      <c r="D51" s="243"/>
      <c r="E51" s="243"/>
      <c r="F51" s="244"/>
      <c r="G51" s="243"/>
      <c r="H51" s="272"/>
      <c r="I51" s="272"/>
      <c r="J51" s="244"/>
    </row>
    <row r="52" spans="1:10" ht="0.95" customHeight="1" thickTop="1" x14ac:dyDescent="0.2">
      <c r="A52" s="229"/>
      <c r="B52" s="229"/>
      <c r="C52" s="229"/>
      <c r="D52" s="229"/>
      <c r="E52" s="229"/>
      <c r="F52" s="229"/>
      <c r="G52" s="229"/>
      <c r="H52" s="229"/>
      <c r="I52" s="229"/>
      <c r="J52" s="229"/>
    </row>
    <row r="53" spans="1:10" ht="18" customHeight="1" x14ac:dyDescent="0.2">
      <c r="A53" s="224" t="s">
        <v>708</v>
      </c>
      <c r="B53" s="226" t="s">
        <v>156</v>
      </c>
      <c r="C53" s="224" t="s">
        <v>155</v>
      </c>
      <c r="D53" s="224" t="s">
        <v>154</v>
      </c>
      <c r="E53" s="273" t="s">
        <v>803</v>
      </c>
      <c r="F53" s="273"/>
      <c r="G53" s="225" t="s">
        <v>153</v>
      </c>
      <c r="H53" s="226" t="s">
        <v>152</v>
      </c>
      <c r="I53" s="226" t="s">
        <v>151</v>
      </c>
      <c r="J53" s="226" t="s">
        <v>52</v>
      </c>
    </row>
    <row r="54" spans="1:10" ht="26.1" customHeight="1" x14ac:dyDescent="0.2">
      <c r="A54" s="218" t="s">
        <v>804</v>
      </c>
      <c r="B54" s="227" t="s">
        <v>709</v>
      </c>
      <c r="C54" s="218" t="s">
        <v>670</v>
      </c>
      <c r="D54" s="218" t="s">
        <v>616</v>
      </c>
      <c r="E54" s="274" t="s">
        <v>835</v>
      </c>
      <c r="F54" s="274"/>
      <c r="G54" s="219" t="s">
        <v>710</v>
      </c>
      <c r="H54" s="228">
        <v>1</v>
      </c>
      <c r="I54" s="220"/>
      <c r="J54" s="220"/>
    </row>
    <row r="55" spans="1:10" ht="24" customHeight="1" x14ac:dyDescent="0.2">
      <c r="A55" s="230" t="s">
        <v>825</v>
      </c>
      <c r="B55" s="232" t="s">
        <v>836</v>
      </c>
      <c r="C55" s="230" t="s">
        <v>641</v>
      </c>
      <c r="D55" s="230" t="s">
        <v>837</v>
      </c>
      <c r="E55" s="275" t="s">
        <v>828</v>
      </c>
      <c r="F55" s="275"/>
      <c r="G55" s="231" t="s">
        <v>775</v>
      </c>
      <c r="H55" s="234">
        <v>3</v>
      </c>
      <c r="I55" s="233"/>
      <c r="J55" s="233"/>
    </row>
    <row r="56" spans="1:10" ht="26.1" customHeight="1" x14ac:dyDescent="0.2">
      <c r="A56" s="230" t="s">
        <v>825</v>
      </c>
      <c r="B56" s="232" t="s">
        <v>838</v>
      </c>
      <c r="C56" s="230" t="s">
        <v>641</v>
      </c>
      <c r="D56" s="230" t="s">
        <v>839</v>
      </c>
      <c r="E56" s="275" t="s">
        <v>828</v>
      </c>
      <c r="F56" s="275"/>
      <c r="G56" s="231" t="s">
        <v>775</v>
      </c>
      <c r="H56" s="234">
        <v>3</v>
      </c>
      <c r="I56" s="233"/>
      <c r="J56" s="233"/>
    </row>
    <row r="57" spans="1:10" x14ac:dyDescent="0.2">
      <c r="A57" s="243"/>
      <c r="B57" s="243"/>
      <c r="C57" s="243"/>
      <c r="D57" s="243"/>
      <c r="E57" s="243"/>
      <c r="F57" s="244"/>
      <c r="G57" s="243"/>
      <c r="H57" s="244"/>
      <c r="I57" s="243"/>
      <c r="J57" s="244"/>
    </row>
    <row r="58" spans="1:10" ht="15" thickBot="1" x14ac:dyDescent="0.25">
      <c r="A58" s="243"/>
      <c r="B58" s="243"/>
      <c r="C58" s="243"/>
      <c r="D58" s="243"/>
      <c r="E58" s="243"/>
      <c r="F58" s="244"/>
      <c r="G58" s="243"/>
      <c r="H58" s="272"/>
      <c r="I58" s="272"/>
      <c r="J58" s="244"/>
    </row>
    <row r="59" spans="1:10" ht="0.95" customHeight="1" thickTop="1" x14ac:dyDescent="0.2">
      <c r="A59" s="229"/>
      <c r="B59" s="229"/>
      <c r="C59" s="229"/>
      <c r="D59" s="229"/>
      <c r="E59" s="229"/>
      <c r="F59" s="229"/>
      <c r="G59" s="229"/>
      <c r="H59" s="229"/>
      <c r="I59" s="229"/>
      <c r="J59" s="229"/>
    </row>
    <row r="60" spans="1:10" ht="18" customHeight="1" x14ac:dyDescent="0.2">
      <c r="A60" s="224" t="s">
        <v>719</v>
      </c>
      <c r="B60" s="226" t="s">
        <v>156</v>
      </c>
      <c r="C60" s="224" t="s">
        <v>155</v>
      </c>
      <c r="D60" s="224" t="s">
        <v>154</v>
      </c>
      <c r="E60" s="273" t="s">
        <v>803</v>
      </c>
      <c r="F60" s="273"/>
      <c r="G60" s="225" t="s">
        <v>153</v>
      </c>
      <c r="H60" s="226" t="s">
        <v>152</v>
      </c>
      <c r="I60" s="226" t="s">
        <v>151</v>
      </c>
      <c r="J60" s="226" t="s">
        <v>52</v>
      </c>
    </row>
    <row r="61" spans="1:10" ht="26.1" customHeight="1" x14ac:dyDescent="0.2">
      <c r="A61" s="218" t="s">
        <v>804</v>
      </c>
      <c r="B61" s="227" t="s">
        <v>720</v>
      </c>
      <c r="C61" s="218" t="s">
        <v>662</v>
      </c>
      <c r="D61" s="218" t="s">
        <v>321</v>
      </c>
      <c r="E61" s="274" t="s">
        <v>67</v>
      </c>
      <c r="F61" s="274"/>
      <c r="G61" s="219" t="s">
        <v>642</v>
      </c>
      <c r="H61" s="228">
        <v>1</v>
      </c>
      <c r="I61" s="220"/>
      <c r="J61" s="220"/>
    </row>
    <row r="62" spans="1:10" ht="24" customHeight="1" x14ac:dyDescent="0.2">
      <c r="A62" s="235" t="s">
        <v>805</v>
      </c>
      <c r="B62" s="237" t="s">
        <v>840</v>
      </c>
      <c r="C62" s="235" t="s">
        <v>662</v>
      </c>
      <c r="D62" s="235" t="s">
        <v>841</v>
      </c>
      <c r="E62" s="271" t="s">
        <v>809</v>
      </c>
      <c r="F62" s="271"/>
      <c r="G62" s="236" t="s">
        <v>775</v>
      </c>
      <c r="H62" s="239">
        <v>0.80800000000000005</v>
      </c>
      <c r="I62" s="238"/>
      <c r="J62" s="238"/>
    </row>
    <row r="63" spans="1:10" ht="24" customHeight="1" x14ac:dyDescent="0.2">
      <c r="A63" s="235" t="s">
        <v>805</v>
      </c>
      <c r="B63" s="237" t="s">
        <v>842</v>
      </c>
      <c r="C63" s="235" t="s">
        <v>662</v>
      </c>
      <c r="D63" s="235" t="s">
        <v>843</v>
      </c>
      <c r="E63" s="271" t="s">
        <v>809</v>
      </c>
      <c r="F63" s="271"/>
      <c r="G63" s="236" t="s">
        <v>775</v>
      </c>
      <c r="H63" s="239">
        <v>0.70699999999999996</v>
      </c>
      <c r="I63" s="238"/>
      <c r="J63" s="238"/>
    </row>
    <row r="64" spans="1:10" ht="24" customHeight="1" x14ac:dyDescent="0.2">
      <c r="A64" s="235" t="s">
        <v>805</v>
      </c>
      <c r="B64" s="237" t="s">
        <v>844</v>
      </c>
      <c r="C64" s="235" t="s">
        <v>662</v>
      </c>
      <c r="D64" s="235" t="s">
        <v>845</v>
      </c>
      <c r="E64" s="271" t="s">
        <v>806</v>
      </c>
      <c r="F64" s="271"/>
      <c r="G64" s="236" t="s">
        <v>642</v>
      </c>
      <c r="H64" s="239">
        <v>1.05</v>
      </c>
      <c r="I64" s="238"/>
      <c r="J64" s="238"/>
    </row>
    <row r="65" spans="1:10" x14ac:dyDescent="0.2">
      <c r="A65" s="243"/>
      <c r="B65" s="243"/>
      <c r="C65" s="243"/>
      <c r="D65" s="243"/>
      <c r="E65" s="243"/>
      <c r="F65" s="244"/>
      <c r="G65" s="243"/>
      <c r="H65" s="244"/>
      <c r="I65" s="243"/>
      <c r="J65" s="244"/>
    </row>
    <row r="66" spans="1:10" ht="15" thickBot="1" x14ac:dyDescent="0.25">
      <c r="A66" s="243"/>
      <c r="B66" s="243"/>
      <c r="C66" s="243"/>
      <c r="D66" s="243"/>
      <c r="E66" s="243"/>
      <c r="F66" s="244"/>
      <c r="G66" s="243"/>
      <c r="H66" s="272"/>
      <c r="I66" s="272"/>
      <c r="J66" s="244"/>
    </row>
    <row r="67" spans="1:10" ht="0.95" customHeight="1" thickTop="1" x14ac:dyDescent="0.2">
      <c r="A67" s="229"/>
      <c r="B67" s="229"/>
      <c r="C67" s="229"/>
      <c r="D67" s="229"/>
      <c r="E67" s="229"/>
      <c r="F67" s="229"/>
      <c r="G67" s="229"/>
      <c r="H67" s="229"/>
      <c r="I67" s="229"/>
      <c r="J67" s="229"/>
    </row>
    <row r="68" spans="1:10" ht="18" customHeight="1" x14ac:dyDescent="0.2">
      <c r="A68" s="224" t="s">
        <v>729</v>
      </c>
      <c r="B68" s="226" t="s">
        <v>156</v>
      </c>
      <c r="C68" s="224" t="s">
        <v>155</v>
      </c>
      <c r="D68" s="224" t="s">
        <v>154</v>
      </c>
      <c r="E68" s="273" t="s">
        <v>803</v>
      </c>
      <c r="F68" s="273"/>
      <c r="G68" s="225" t="s">
        <v>153</v>
      </c>
      <c r="H68" s="226" t="s">
        <v>152</v>
      </c>
      <c r="I68" s="226" t="s">
        <v>151</v>
      </c>
      <c r="J68" s="226" t="s">
        <v>52</v>
      </c>
    </row>
    <row r="69" spans="1:10" ht="26.1" customHeight="1" x14ac:dyDescent="0.2">
      <c r="A69" s="218" t="s">
        <v>804</v>
      </c>
      <c r="B69" s="227" t="s">
        <v>730</v>
      </c>
      <c r="C69" s="218" t="s">
        <v>670</v>
      </c>
      <c r="D69" s="218" t="s">
        <v>587</v>
      </c>
      <c r="E69" s="274" t="s">
        <v>846</v>
      </c>
      <c r="F69" s="274"/>
      <c r="G69" s="219" t="s">
        <v>647</v>
      </c>
      <c r="H69" s="228">
        <v>1</v>
      </c>
      <c r="I69" s="220"/>
      <c r="J69" s="220"/>
    </row>
    <row r="70" spans="1:10" ht="24" customHeight="1" x14ac:dyDescent="0.2">
      <c r="A70" s="230" t="s">
        <v>825</v>
      </c>
      <c r="B70" s="232" t="s">
        <v>826</v>
      </c>
      <c r="C70" s="230" t="s">
        <v>641</v>
      </c>
      <c r="D70" s="230" t="s">
        <v>827</v>
      </c>
      <c r="E70" s="275" t="s">
        <v>828</v>
      </c>
      <c r="F70" s="275"/>
      <c r="G70" s="231" t="s">
        <v>775</v>
      </c>
      <c r="H70" s="234">
        <v>9.9599999999999994E-2</v>
      </c>
      <c r="I70" s="233"/>
      <c r="J70" s="233"/>
    </row>
    <row r="71" spans="1:10" ht="24" customHeight="1" x14ac:dyDescent="0.2">
      <c r="A71" s="235" t="s">
        <v>805</v>
      </c>
      <c r="B71" s="237" t="s">
        <v>847</v>
      </c>
      <c r="C71" s="235" t="s">
        <v>873</v>
      </c>
      <c r="D71" s="235" t="s">
        <v>848</v>
      </c>
      <c r="E71" s="271" t="s">
        <v>806</v>
      </c>
      <c r="F71" s="271"/>
      <c r="G71" s="236" t="s">
        <v>691</v>
      </c>
      <c r="H71" s="239">
        <v>1</v>
      </c>
      <c r="I71" s="238"/>
      <c r="J71" s="238"/>
    </row>
    <row r="72" spans="1:10" x14ac:dyDescent="0.2">
      <c r="A72" s="243"/>
      <c r="B72" s="243"/>
      <c r="C72" s="243"/>
      <c r="D72" s="243"/>
      <c r="E72" s="243"/>
      <c r="F72" s="244"/>
      <c r="G72" s="243"/>
      <c r="H72" s="244"/>
      <c r="I72" s="243"/>
      <c r="J72" s="244"/>
    </row>
    <row r="73" spans="1:10" ht="15" thickBot="1" x14ac:dyDescent="0.25">
      <c r="A73" s="243"/>
      <c r="B73" s="243"/>
      <c r="C73" s="243"/>
      <c r="D73" s="243"/>
      <c r="E73" s="243"/>
      <c r="F73" s="244"/>
      <c r="G73" s="243"/>
      <c r="H73" s="272"/>
      <c r="I73" s="272"/>
      <c r="J73" s="244"/>
    </row>
    <row r="74" spans="1:10" ht="0.95" customHeight="1" thickTop="1" x14ac:dyDescent="0.2">
      <c r="A74" s="229"/>
      <c r="B74" s="229"/>
      <c r="C74" s="229"/>
      <c r="D74" s="229"/>
      <c r="E74" s="229"/>
      <c r="F74" s="229"/>
      <c r="G74" s="229"/>
      <c r="H74" s="229"/>
      <c r="I74" s="229"/>
      <c r="J74" s="229"/>
    </row>
    <row r="75" spans="1:10" ht="18" customHeight="1" x14ac:dyDescent="0.2">
      <c r="A75" s="224" t="s">
        <v>742</v>
      </c>
      <c r="B75" s="226" t="s">
        <v>156</v>
      </c>
      <c r="C75" s="224" t="s">
        <v>155</v>
      </c>
      <c r="D75" s="224" t="s">
        <v>154</v>
      </c>
      <c r="E75" s="273" t="s">
        <v>803</v>
      </c>
      <c r="F75" s="273"/>
      <c r="G75" s="225" t="s">
        <v>153</v>
      </c>
      <c r="H75" s="226" t="s">
        <v>152</v>
      </c>
      <c r="I75" s="226" t="s">
        <v>151</v>
      </c>
      <c r="J75" s="226" t="s">
        <v>52</v>
      </c>
    </row>
    <row r="76" spans="1:10" ht="24" customHeight="1" x14ac:dyDescent="0.2">
      <c r="A76" s="218" t="s">
        <v>804</v>
      </c>
      <c r="B76" s="227" t="s">
        <v>743</v>
      </c>
      <c r="C76" s="218" t="s">
        <v>662</v>
      </c>
      <c r="D76" s="218" t="s">
        <v>374</v>
      </c>
      <c r="E76" s="274" t="s">
        <v>849</v>
      </c>
      <c r="F76" s="274"/>
      <c r="G76" s="219" t="s">
        <v>647</v>
      </c>
      <c r="H76" s="228">
        <v>1</v>
      </c>
      <c r="I76" s="220"/>
      <c r="J76" s="220"/>
    </row>
    <row r="77" spans="1:10" ht="24" customHeight="1" x14ac:dyDescent="0.2">
      <c r="A77" s="235" t="s">
        <v>805</v>
      </c>
      <c r="B77" s="237" t="s">
        <v>850</v>
      </c>
      <c r="C77" s="235" t="s">
        <v>662</v>
      </c>
      <c r="D77" s="235" t="s">
        <v>851</v>
      </c>
      <c r="E77" s="271" t="s">
        <v>809</v>
      </c>
      <c r="F77" s="271"/>
      <c r="G77" s="236" t="s">
        <v>775</v>
      </c>
      <c r="H77" s="239">
        <v>0.66600000000000004</v>
      </c>
      <c r="I77" s="238"/>
      <c r="J77" s="238"/>
    </row>
    <row r="78" spans="1:10" ht="24" customHeight="1" x14ac:dyDescent="0.2">
      <c r="A78" s="235" t="s">
        <v>805</v>
      </c>
      <c r="B78" s="237" t="s">
        <v>854</v>
      </c>
      <c r="C78" s="235" t="s">
        <v>662</v>
      </c>
      <c r="D78" s="235" t="s">
        <v>855</v>
      </c>
      <c r="E78" s="271" t="s">
        <v>806</v>
      </c>
      <c r="F78" s="271"/>
      <c r="G78" s="236" t="s">
        <v>856</v>
      </c>
      <c r="H78" s="239">
        <v>1.2</v>
      </c>
      <c r="I78" s="238"/>
      <c r="J78" s="238"/>
    </row>
    <row r="79" spans="1:10" ht="24" customHeight="1" x14ac:dyDescent="0.2">
      <c r="A79" s="235" t="s">
        <v>805</v>
      </c>
      <c r="B79" s="237" t="s">
        <v>857</v>
      </c>
      <c r="C79" s="235" t="s">
        <v>662</v>
      </c>
      <c r="D79" s="235" t="s">
        <v>858</v>
      </c>
      <c r="E79" s="271" t="s">
        <v>809</v>
      </c>
      <c r="F79" s="271"/>
      <c r="G79" s="236" t="s">
        <v>775</v>
      </c>
      <c r="H79" s="239">
        <v>0.66600000000000004</v>
      </c>
      <c r="I79" s="238"/>
      <c r="J79" s="238"/>
    </row>
    <row r="80" spans="1:10" ht="26.1" customHeight="1" x14ac:dyDescent="0.2">
      <c r="A80" s="235" t="s">
        <v>805</v>
      </c>
      <c r="B80" s="237" t="s">
        <v>852</v>
      </c>
      <c r="C80" s="235" t="s">
        <v>662</v>
      </c>
      <c r="D80" s="235" t="s">
        <v>853</v>
      </c>
      <c r="E80" s="271" t="s">
        <v>806</v>
      </c>
      <c r="F80" s="271"/>
      <c r="G80" s="236" t="s">
        <v>647</v>
      </c>
      <c r="H80" s="239">
        <v>1</v>
      </c>
      <c r="I80" s="238"/>
      <c r="J80" s="238"/>
    </row>
    <row r="81" spans="1:10" ht="24" customHeight="1" x14ac:dyDescent="0.2">
      <c r="A81" s="235" t="s">
        <v>805</v>
      </c>
      <c r="B81" s="237" t="s">
        <v>859</v>
      </c>
      <c r="C81" s="235" t="s">
        <v>662</v>
      </c>
      <c r="D81" s="235" t="s">
        <v>860</v>
      </c>
      <c r="E81" s="271" t="s">
        <v>806</v>
      </c>
      <c r="F81" s="271"/>
      <c r="G81" s="236" t="s">
        <v>656</v>
      </c>
      <c r="H81" s="239">
        <v>3.0000000000000001E-3</v>
      </c>
      <c r="I81" s="238"/>
      <c r="J81" s="238"/>
    </row>
    <row r="82" spans="1:10" x14ac:dyDescent="0.2">
      <c r="A82" s="243"/>
      <c r="B82" s="243"/>
      <c r="C82" s="243"/>
      <c r="D82" s="243"/>
      <c r="E82" s="243"/>
      <c r="F82" s="244"/>
      <c r="G82" s="243"/>
      <c r="H82" s="244"/>
      <c r="I82" s="243"/>
      <c r="J82" s="244"/>
    </row>
    <row r="83" spans="1:10" x14ac:dyDescent="0.2">
      <c r="A83" s="243"/>
      <c r="B83" s="243"/>
      <c r="C83" s="243"/>
      <c r="D83" s="243"/>
      <c r="E83" s="243"/>
      <c r="F83" s="244"/>
      <c r="G83" s="243"/>
      <c r="H83" s="272"/>
      <c r="I83" s="272"/>
      <c r="J83" s="244"/>
    </row>
    <row r="84" spans="1:10" x14ac:dyDescent="0.2">
      <c r="A84" s="242"/>
      <c r="B84" s="242"/>
      <c r="C84" s="242"/>
      <c r="D84" s="242"/>
      <c r="E84" s="242"/>
      <c r="F84" s="242"/>
      <c r="G84" s="242"/>
      <c r="H84" s="242"/>
      <c r="I84" s="242"/>
      <c r="J84" s="242"/>
    </row>
    <row r="85" spans="1:10" x14ac:dyDescent="0.2">
      <c r="A85" s="276"/>
      <c r="B85" s="276"/>
      <c r="C85" s="276"/>
      <c r="D85" s="241"/>
      <c r="E85" s="223"/>
      <c r="F85" s="277" t="s">
        <v>247</v>
      </c>
      <c r="G85" s="276"/>
      <c r="H85" s="278"/>
      <c r="I85" s="276"/>
      <c r="J85" s="276"/>
    </row>
    <row r="86" spans="1:10" x14ac:dyDescent="0.2">
      <c r="A86" s="276"/>
      <c r="B86" s="276"/>
      <c r="C86" s="276"/>
      <c r="D86" s="241"/>
      <c r="E86" s="223"/>
      <c r="F86" s="277" t="s">
        <v>248</v>
      </c>
      <c r="G86" s="276"/>
      <c r="H86" s="278"/>
      <c r="I86" s="276"/>
      <c r="J86" s="276"/>
    </row>
    <row r="87" spans="1:10" x14ac:dyDescent="0.2">
      <c r="A87" s="276"/>
      <c r="B87" s="276"/>
      <c r="C87" s="276"/>
      <c r="D87" s="241"/>
      <c r="E87" s="223"/>
      <c r="F87" s="277" t="s">
        <v>249</v>
      </c>
      <c r="G87" s="276"/>
      <c r="H87" s="278"/>
      <c r="I87" s="276"/>
      <c r="J87" s="276"/>
    </row>
    <row r="88" spans="1:10" x14ac:dyDescent="0.2">
      <c r="A88" s="268"/>
      <c r="B88" s="268"/>
      <c r="C88" s="268"/>
      <c r="D88" s="122"/>
      <c r="E88" s="119"/>
      <c r="F88" s="267"/>
      <c r="G88" s="267"/>
      <c r="H88" s="269"/>
      <c r="I88" s="269"/>
      <c r="J88" s="269"/>
    </row>
    <row r="89" spans="1:10" ht="56.25" customHeight="1" x14ac:dyDescent="0.2">
      <c r="A89" s="268"/>
      <c r="B89" s="268"/>
      <c r="C89" s="268"/>
      <c r="D89" s="122"/>
      <c r="E89" s="119"/>
      <c r="F89" s="267"/>
      <c r="G89" s="267"/>
      <c r="H89" s="269"/>
      <c r="I89" s="269"/>
      <c r="J89" s="269"/>
    </row>
    <row r="90" spans="1:10" x14ac:dyDescent="0.2">
      <c r="A90" s="119"/>
      <c r="B90" s="119"/>
      <c r="C90" s="119"/>
      <c r="D90" s="122"/>
      <c r="E90" s="119"/>
      <c r="F90" s="120"/>
      <c r="G90" s="119"/>
      <c r="H90" s="125"/>
      <c r="I90" s="119"/>
      <c r="J90" s="119"/>
    </row>
    <row r="91" spans="1:10" x14ac:dyDescent="0.2">
      <c r="A91" s="119"/>
      <c r="B91" s="119"/>
      <c r="C91" s="119"/>
      <c r="D91" s="122"/>
      <c r="E91" s="119"/>
      <c r="F91" s="120"/>
      <c r="G91" s="119"/>
      <c r="H91" s="125"/>
      <c r="I91" s="119"/>
      <c r="J91" s="119"/>
    </row>
    <row r="92" spans="1:10" ht="14.25" customHeight="1" x14ac:dyDescent="0.2">
      <c r="A92" s="7"/>
      <c r="B92" s="279" t="s">
        <v>210</v>
      </c>
      <c r="C92" s="279"/>
      <c r="D92" s="250" t="s">
        <v>4</v>
      </c>
      <c r="E92" s="250"/>
      <c r="F92" s="250"/>
      <c r="G92" s="250"/>
      <c r="H92" s="279"/>
      <c r="I92" s="279"/>
      <c r="J92" s="279"/>
    </row>
    <row r="93" spans="1:10" x14ac:dyDescent="0.2">
      <c r="A93" s="7"/>
      <c r="B93" s="280" t="s">
        <v>3</v>
      </c>
      <c r="C93" s="280"/>
      <c r="D93" s="253" t="s">
        <v>6</v>
      </c>
      <c r="E93" s="253"/>
      <c r="F93" s="253"/>
      <c r="G93" s="253"/>
      <c r="H93" s="11" t="s">
        <v>5</v>
      </c>
      <c r="I93" s="7"/>
      <c r="J93" s="1"/>
    </row>
    <row r="94" spans="1:10" x14ac:dyDescent="0.2">
      <c r="A94" s="7"/>
      <c r="B94" s="10"/>
      <c r="C94" s="7"/>
      <c r="D94" s="248"/>
      <c r="E94" s="248"/>
      <c r="F94" s="248"/>
      <c r="G94" s="248"/>
      <c r="H94" s="7"/>
      <c r="I94" s="7"/>
      <c r="J94" s="1"/>
    </row>
    <row r="95" spans="1:10" x14ac:dyDescent="0.2">
      <c r="A95" s="7"/>
      <c r="B95" s="10"/>
      <c r="C95" s="7"/>
      <c r="D95" s="248"/>
      <c r="E95" s="248"/>
      <c r="F95" s="248"/>
      <c r="G95" s="248"/>
      <c r="H95" s="7"/>
      <c r="I95" s="7"/>
      <c r="J95" s="1"/>
    </row>
    <row r="96" spans="1:10" x14ac:dyDescent="0.2">
      <c r="A96" s="7"/>
      <c r="B96" s="10"/>
      <c r="C96" s="7"/>
      <c r="D96" s="248"/>
      <c r="E96" s="248"/>
      <c r="F96" s="248"/>
      <c r="G96" s="248"/>
      <c r="H96" s="7"/>
      <c r="I96" s="7"/>
      <c r="J96" s="1"/>
    </row>
  </sheetData>
  <mergeCells count="88">
    <mergeCell ref="E68:F68"/>
    <mergeCell ref="E69:F69"/>
    <mergeCell ref="E70:F70"/>
    <mergeCell ref="E71:F71"/>
    <mergeCell ref="H73:I73"/>
    <mergeCell ref="E46:F46"/>
    <mergeCell ref="H37:I37"/>
    <mergeCell ref="E41:F41"/>
    <mergeCell ref="E42:F42"/>
    <mergeCell ref="H44:I44"/>
    <mergeCell ref="E26:F26"/>
    <mergeCell ref="E27:F27"/>
    <mergeCell ref="E40:F40"/>
    <mergeCell ref="E34:F34"/>
    <mergeCell ref="E35:F35"/>
    <mergeCell ref="E39:F39"/>
    <mergeCell ref="E28:F28"/>
    <mergeCell ref="E29:F29"/>
    <mergeCell ref="E30:F30"/>
    <mergeCell ref="E31:F31"/>
    <mergeCell ref="E32:F32"/>
    <mergeCell ref="E33:F33"/>
    <mergeCell ref="E21:F21"/>
    <mergeCell ref="E22:F22"/>
    <mergeCell ref="H24:I24"/>
    <mergeCell ref="A8:D8"/>
    <mergeCell ref="A9:D9"/>
    <mergeCell ref="A11:I11"/>
    <mergeCell ref="E8:J8"/>
    <mergeCell ref="E13:F13"/>
    <mergeCell ref="E14:F14"/>
    <mergeCell ref="E15:F15"/>
    <mergeCell ref="E16:F16"/>
    <mergeCell ref="E17:F17"/>
    <mergeCell ref="E18:F18"/>
    <mergeCell ref="E19:F19"/>
    <mergeCell ref="E20:F20"/>
    <mergeCell ref="C2:H2"/>
    <mergeCell ref="C3:H3"/>
    <mergeCell ref="C4:H4"/>
    <mergeCell ref="C5:H5"/>
    <mergeCell ref="A7:D7"/>
    <mergeCell ref="H92:J92"/>
    <mergeCell ref="A88:C88"/>
    <mergeCell ref="F88:G88"/>
    <mergeCell ref="H88:J88"/>
    <mergeCell ref="A89:C89"/>
    <mergeCell ref="F89:G89"/>
    <mergeCell ref="H89:J89"/>
    <mergeCell ref="D94:G94"/>
    <mergeCell ref="D95:G95"/>
    <mergeCell ref="D96:G96"/>
    <mergeCell ref="B92:C92"/>
    <mergeCell ref="D92:G92"/>
    <mergeCell ref="B93:C93"/>
    <mergeCell ref="D93:G93"/>
    <mergeCell ref="A86:C86"/>
    <mergeCell ref="F86:G86"/>
    <mergeCell ref="H86:J86"/>
    <mergeCell ref="A87:C87"/>
    <mergeCell ref="F87:G87"/>
    <mergeCell ref="H87:J87"/>
    <mergeCell ref="A85:C85"/>
    <mergeCell ref="F85:G85"/>
    <mergeCell ref="H85:J85"/>
    <mergeCell ref="E75:F75"/>
    <mergeCell ref="E76:F76"/>
    <mergeCell ref="E77:F77"/>
    <mergeCell ref="E78:F78"/>
    <mergeCell ref="E79:F79"/>
    <mergeCell ref="E80:F80"/>
    <mergeCell ref="E81:F81"/>
    <mergeCell ref="H83:I83"/>
    <mergeCell ref="E64:F64"/>
    <mergeCell ref="H66:I66"/>
    <mergeCell ref="E60:F60"/>
    <mergeCell ref="E47:F47"/>
    <mergeCell ref="E53:F53"/>
    <mergeCell ref="E54:F54"/>
    <mergeCell ref="E48:F48"/>
    <mergeCell ref="E49:F49"/>
    <mergeCell ref="H51:I51"/>
    <mergeCell ref="E55:F55"/>
    <mergeCell ref="E56:F56"/>
    <mergeCell ref="H58:I58"/>
    <mergeCell ref="E61:F61"/>
    <mergeCell ref="E62:F62"/>
    <mergeCell ref="E63:F63"/>
  </mergeCells>
  <pageMargins left="0.51181102362204722" right="0.51181102362204722" top="0.78740157480314965" bottom="0.78740157480314965" header="0.31496062992125984" footer="0.31496062992125984"/>
  <pageSetup paperSize="9" scale="47" fitToHeight="0" orientation="portrait" r:id="rId1"/>
  <headerFooter>
    <oddFooter>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20"/>
  <sheetViews>
    <sheetView showOutlineSymbols="0" showWhiteSpace="0" view="pageBreakPreview" zoomScale="110" zoomScaleNormal="110" zoomScaleSheetLayoutView="110" workbookViewId="0">
      <selection activeCell="A11" sqref="A11:G11"/>
    </sheetView>
  </sheetViews>
  <sheetFormatPr defaultRowHeight="14.25" x14ac:dyDescent="0.2"/>
  <cols>
    <col min="1" max="1" width="6.875" style="3" customWidth="1"/>
    <col min="2" max="2" width="9.5" style="3" customWidth="1"/>
    <col min="3" max="3" width="14.5" style="3" customWidth="1"/>
    <col min="4" max="4" width="50.125" customWidth="1"/>
    <col min="5" max="5" width="26" customWidth="1"/>
    <col min="6" max="6" width="19.125" customWidth="1"/>
    <col min="7" max="7" width="11.25" customWidth="1"/>
    <col min="8" max="8" width="13" bestFit="1" customWidth="1"/>
  </cols>
  <sheetData>
    <row r="1" spans="1:7" x14ac:dyDescent="0.2">
      <c r="A1" s="2"/>
      <c r="B1" s="2"/>
      <c r="C1" s="2"/>
      <c r="D1" s="1"/>
      <c r="E1" s="1"/>
      <c r="F1" s="1"/>
      <c r="G1" s="1"/>
    </row>
    <row r="2" spans="1:7" x14ac:dyDescent="0.2">
      <c r="A2" s="2"/>
      <c r="B2" s="2"/>
      <c r="C2" s="257" t="s">
        <v>0</v>
      </c>
      <c r="D2" s="257"/>
      <c r="E2" s="257"/>
      <c r="F2" s="257"/>
      <c r="G2" s="1"/>
    </row>
    <row r="3" spans="1:7" x14ac:dyDescent="0.2">
      <c r="A3" s="2"/>
      <c r="B3" s="2"/>
      <c r="C3" s="257" t="s">
        <v>322</v>
      </c>
      <c r="D3" s="257"/>
      <c r="E3" s="257"/>
      <c r="F3" s="257"/>
      <c r="G3" s="1"/>
    </row>
    <row r="4" spans="1:7" x14ac:dyDescent="0.2">
      <c r="A4" s="2"/>
      <c r="B4" s="2"/>
      <c r="C4" s="257" t="s">
        <v>1</v>
      </c>
      <c r="D4" s="257"/>
      <c r="E4" s="257"/>
      <c r="F4" s="257"/>
      <c r="G4" s="1"/>
    </row>
    <row r="5" spans="1:7" x14ac:dyDescent="0.2">
      <c r="A5" s="2"/>
      <c r="B5" s="2"/>
      <c r="C5" s="257" t="s">
        <v>2</v>
      </c>
      <c r="D5" s="257"/>
      <c r="E5" s="257"/>
      <c r="F5" s="257"/>
      <c r="G5" s="1"/>
    </row>
    <row r="6" spans="1:7" ht="15" thickBot="1" x14ac:dyDescent="0.25">
      <c r="A6" s="2"/>
      <c r="B6" s="2"/>
      <c r="C6" s="2"/>
      <c r="D6" s="1"/>
      <c r="E6" s="1"/>
      <c r="F6" s="1"/>
      <c r="G6" s="1"/>
    </row>
    <row r="7" spans="1:7" x14ac:dyDescent="0.2">
      <c r="A7" s="258" t="s">
        <v>327</v>
      </c>
      <c r="B7" s="259"/>
      <c r="C7" s="259"/>
      <c r="D7" s="259"/>
      <c r="E7" s="171" t="s">
        <v>314</v>
      </c>
      <c r="F7" s="171"/>
      <c r="G7" s="173"/>
    </row>
    <row r="8" spans="1:7" x14ac:dyDescent="0.2">
      <c r="A8" s="260" t="s">
        <v>329</v>
      </c>
      <c r="B8" s="261"/>
      <c r="C8" s="261"/>
      <c r="D8" s="261"/>
      <c r="E8" s="264" t="s">
        <v>332</v>
      </c>
      <c r="F8" s="264"/>
      <c r="G8" s="265"/>
    </row>
    <row r="9" spans="1:7" ht="15" thickBot="1" x14ac:dyDescent="0.25">
      <c r="A9" s="262" t="s">
        <v>333</v>
      </c>
      <c r="B9" s="263"/>
      <c r="C9" s="263"/>
      <c r="D9" s="263"/>
      <c r="E9" s="175" t="s">
        <v>323</v>
      </c>
      <c r="F9" s="175"/>
      <c r="G9" s="177"/>
    </row>
    <row r="10" spans="1:7" x14ac:dyDescent="0.2">
      <c r="A10" s="2"/>
      <c r="B10" s="2"/>
      <c r="C10" s="2"/>
      <c r="D10" s="1"/>
      <c r="E10" s="1"/>
      <c r="F10" s="1"/>
      <c r="G10" s="1"/>
    </row>
    <row r="11" spans="1:7" ht="15.75" x14ac:dyDescent="0.2">
      <c r="A11" s="254" t="s">
        <v>150</v>
      </c>
      <c r="B11" s="255"/>
      <c r="C11" s="255"/>
      <c r="D11" s="255"/>
      <c r="E11" s="255"/>
      <c r="F11" s="255"/>
      <c r="G11" s="256"/>
    </row>
    <row r="12" spans="1:7" x14ac:dyDescent="0.2">
      <c r="A12" s="2"/>
      <c r="B12" s="2"/>
      <c r="C12" s="2"/>
      <c r="D12" s="1"/>
      <c r="E12" s="1"/>
      <c r="F12" s="1"/>
      <c r="G12" s="1"/>
    </row>
    <row r="13" spans="1:7" ht="15" x14ac:dyDescent="0.25">
      <c r="A13" s="1"/>
      <c r="B13" s="287" t="s">
        <v>149</v>
      </c>
      <c r="C13" s="287"/>
      <c r="D13" s="287"/>
      <c r="E13" s="1"/>
      <c r="F13" s="1"/>
      <c r="G13" s="1"/>
    </row>
    <row r="14" spans="1:7" x14ac:dyDescent="0.2">
      <c r="A14" s="2"/>
      <c r="B14" s="123" t="s">
        <v>148</v>
      </c>
      <c r="C14" s="123" t="s">
        <v>147</v>
      </c>
      <c r="D14" s="123" t="s">
        <v>146</v>
      </c>
      <c r="E14" s="123" t="s">
        <v>145</v>
      </c>
      <c r="F14" s="123" t="s">
        <v>144</v>
      </c>
      <c r="G14" s="1"/>
    </row>
    <row r="15" spans="1:7" ht="24" x14ac:dyDescent="0.2">
      <c r="A15" s="2"/>
      <c r="B15" s="166" t="s">
        <v>142</v>
      </c>
      <c r="C15" s="151" t="s">
        <v>194</v>
      </c>
      <c r="D15" s="167" t="s">
        <v>195</v>
      </c>
      <c r="E15" s="151" t="s">
        <v>255</v>
      </c>
      <c r="F15" s="168" t="s">
        <v>259</v>
      </c>
      <c r="G15" s="1"/>
    </row>
    <row r="16" spans="1:7" ht="24" x14ac:dyDescent="0.2">
      <c r="A16" s="2"/>
      <c r="B16" s="166" t="s">
        <v>141</v>
      </c>
      <c r="C16" s="151" t="s">
        <v>260</v>
      </c>
      <c r="D16" s="152" t="s">
        <v>261</v>
      </c>
      <c r="E16" s="153" t="s">
        <v>262</v>
      </c>
      <c r="F16" s="168" t="s">
        <v>263</v>
      </c>
      <c r="G16" s="1"/>
    </row>
    <row r="17" spans="1:7" ht="24" x14ac:dyDescent="0.2">
      <c r="A17" s="2"/>
      <c r="B17" s="166" t="s">
        <v>140</v>
      </c>
      <c r="C17" s="151" t="s">
        <v>264</v>
      </c>
      <c r="D17" s="152" t="s">
        <v>265</v>
      </c>
      <c r="E17" s="153" t="s">
        <v>266</v>
      </c>
      <c r="F17" s="168" t="s">
        <v>267</v>
      </c>
      <c r="G17" s="1"/>
    </row>
    <row r="18" spans="1:7" ht="24" x14ac:dyDescent="0.2">
      <c r="A18" s="2"/>
      <c r="B18" s="166" t="s">
        <v>136</v>
      </c>
      <c r="C18" s="151" t="s">
        <v>240</v>
      </c>
      <c r="D18" s="152" t="s">
        <v>241</v>
      </c>
      <c r="E18" s="153" t="s">
        <v>242</v>
      </c>
      <c r="F18" s="168" t="s">
        <v>243</v>
      </c>
      <c r="G18" s="1"/>
    </row>
    <row r="19" spans="1:7" x14ac:dyDescent="0.2">
      <c r="A19" s="2"/>
      <c r="B19" s="170" t="s">
        <v>135</v>
      </c>
      <c r="C19" s="151" t="s">
        <v>268</v>
      </c>
      <c r="D19" s="152" t="s">
        <v>269</v>
      </c>
      <c r="E19" s="153" t="s">
        <v>270</v>
      </c>
      <c r="F19" s="151" t="s">
        <v>196</v>
      </c>
      <c r="G19" s="1"/>
    </row>
    <row r="20" spans="1:7" x14ac:dyDescent="0.2">
      <c r="A20" s="2"/>
      <c r="B20" s="170" t="s">
        <v>139</v>
      </c>
      <c r="C20" s="151" t="s">
        <v>271</v>
      </c>
      <c r="D20" s="152" t="s">
        <v>272</v>
      </c>
      <c r="E20" s="153" t="s">
        <v>273</v>
      </c>
      <c r="F20" s="151" t="s">
        <v>196</v>
      </c>
      <c r="G20" s="1"/>
    </row>
    <row r="21" spans="1:7" x14ac:dyDescent="0.2">
      <c r="A21" s="2"/>
      <c r="B21" s="166" t="s">
        <v>138</v>
      </c>
      <c r="C21" s="151" t="s">
        <v>186</v>
      </c>
      <c r="D21" s="152" t="s">
        <v>197</v>
      </c>
      <c r="E21" s="153" t="s">
        <v>198</v>
      </c>
      <c r="F21" s="151" t="s">
        <v>196</v>
      </c>
      <c r="G21" s="1"/>
    </row>
    <row r="22" spans="1:7" x14ac:dyDescent="0.2">
      <c r="A22" s="2"/>
      <c r="B22" s="166" t="s">
        <v>137</v>
      </c>
      <c r="C22" s="151" t="s">
        <v>199</v>
      </c>
      <c r="D22" s="152" t="s">
        <v>200</v>
      </c>
      <c r="E22" s="153" t="s">
        <v>201</v>
      </c>
      <c r="F22" s="151" t="s">
        <v>196</v>
      </c>
      <c r="G22" s="1"/>
    </row>
    <row r="23" spans="1:7" ht="24" x14ac:dyDescent="0.2">
      <c r="A23" s="2"/>
      <c r="B23" s="166" t="s">
        <v>123</v>
      </c>
      <c r="C23" s="151" t="s">
        <v>202</v>
      </c>
      <c r="D23" s="152" t="s">
        <v>203</v>
      </c>
      <c r="E23" s="153" t="s">
        <v>204</v>
      </c>
      <c r="F23" s="151" t="s">
        <v>196</v>
      </c>
      <c r="G23" s="1"/>
    </row>
    <row r="24" spans="1:7" ht="24" x14ac:dyDescent="0.2">
      <c r="A24" s="2"/>
      <c r="B24" s="166" t="s">
        <v>122</v>
      </c>
      <c r="C24" s="151" t="s">
        <v>274</v>
      </c>
      <c r="D24" s="152" t="s">
        <v>275</v>
      </c>
      <c r="E24" s="153" t="s">
        <v>276</v>
      </c>
      <c r="F24" s="168" t="s">
        <v>277</v>
      </c>
      <c r="G24" s="1"/>
    </row>
    <row r="25" spans="1:7" x14ac:dyDescent="0.2">
      <c r="A25" s="2"/>
      <c r="B25" s="166" t="s">
        <v>211</v>
      </c>
      <c r="C25" s="151" t="s">
        <v>212</v>
      </c>
      <c r="D25" s="152" t="s">
        <v>213</v>
      </c>
      <c r="E25" s="153" t="s">
        <v>214</v>
      </c>
      <c r="F25" s="151" t="s">
        <v>196</v>
      </c>
      <c r="G25" s="1"/>
    </row>
    <row r="26" spans="1:7" x14ac:dyDescent="0.2">
      <c r="A26" s="2"/>
      <c r="B26" s="166" t="s">
        <v>215</v>
      </c>
      <c r="C26" s="151" t="s">
        <v>216</v>
      </c>
      <c r="D26" s="152" t="s">
        <v>217</v>
      </c>
      <c r="E26" s="153" t="s">
        <v>218</v>
      </c>
      <c r="F26" s="151" t="s">
        <v>196</v>
      </c>
      <c r="G26" s="1"/>
    </row>
    <row r="27" spans="1:7" x14ac:dyDescent="0.2">
      <c r="A27" s="2"/>
      <c r="B27" s="166" t="s">
        <v>219</v>
      </c>
      <c r="C27" s="151" t="s">
        <v>252</v>
      </c>
      <c r="D27" s="152" t="s">
        <v>253</v>
      </c>
      <c r="E27" s="153" t="s">
        <v>254</v>
      </c>
      <c r="F27" s="151" t="s">
        <v>196</v>
      </c>
      <c r="G27" s="1"/>
    </row>
    <row r="28" spans="1:7" x14ac:dyDescent="0.2">
      <c r="A28" s="2"/>
      <c r="B28" s="166" t="s">
        <v>220</v>
      </c>
      <c r="C28" s="151" t="s">
        <v>221</v>
      </c>
      <c r="D28" s="152" t="s">
        <v>222</v>
      </c>
      <c r="E28" s="153" t="s">
        <v>223</v>
      </c>
      <c r="F28" s="151" t="s">
        <v>196</v>
      </c>
      <c r="G28" s="1"/>
    </row>
    <row r="29" spans="1:7" x14ac:dyDescent="0.2">
      <c r="A29" s="2"/>
      <c r="B29" s="166" t="s">
        <v>224</v>
      </c>
      <c r="C29" s="151" t="s">
        <v>225</v>
      </c>
      <c r="D29" s="152" t="s">
        <v>226</v>
      </c>
      <c r="E29" s="153" t="s">
        <v>227</v>
      </c>
      <c r="F29" s="151" t="s">
        <v>196</v>
      </c>
      <c r="G29" s="1"/>
    </row>
    <row r="30" spans="1:7" x14ac:dyDescent="0.2">
      <c r="A30" s="2"/>
      <c r="B30" s="166" t="s">
        <v>228</v>
      </c>
      <c r="C30" s="151" t="s">
        <v>229</v>
      </c>
      <c r="D30" s="152" t="s">
        <v>230</v>
      </c>
      <c r="E30" s="153" t="s">
        <v>231</v>
      </c>
      <c r="F30" s="151" t="s">
        <v>196</v>
      </c>
      <c r="G30" s="1"/>
    </row>
    <row r="31" spans="1:7" x14ac:dyDescent="0.2">
      <c r="A31" s="119"/>
      <c r="B31" s="166" t="s">
        <v>238</v>
      </c>
      <c r="C31" s="151" t="s">
        <v>278</v>
      </c>
      <c r="D31" s="152" t="s">
        <v>279</v>
      </c>
      <c r="E31" s="153" t="s">
        <v>280</v>
      </c>
      <c r="F31" s="151" t="s">
        <v>196</v>
      </c>
      <c r="G31" s="119"/>
    </row>
    <row r="32" spans="1:7" x14ac:dyDescent="0.2">
      <c r="A32" s="119"/>
      <c r="B32" s="166" t="s">
        <v>239</v>
      </c>
      <c r="C32" s="151" t="s">
        <v>281</v>
      </c>
      <c r="D32" s="152" t="s">
        <v>282</v>
      </c>
      <c r="E32" s="153" t="s">
        <v>283</v>
      </c>
      <c r="F32" s="151" t="s">
        <v>196</v>
      </c>
      <c r="G32" s="119"/>
    </row>
    <row r="33" spans="1:7" x14ac:dyDescent="0.2">
      <c r="A33" s="119"/>
      <c r="B33" s="166" t="s">
        <v>284</v>
      </c>
      <c r="C33" s="151" t="s">
        <v>285</v>
      </c>
      <c r="D33" s="152" t="s">
        <v>286</v>
      </c>
      <c r="E33" s="153" t="s">
        <v>287</v>
      </c>
      <c r="F33" s="151" t="s">
        <v>196</v>
      </c>
      <c r="G33" s="119"/>
    </row>
    <row r="34" spans="1:7" x14ac:dyDescent="0.2">
      <c r="A34" s="119"/>
      <c r="B34" s="166" t="s">
        <v>288</v>
      </c>
      <c r="C34" s="151" t="s">
        <v>289</v>
      </c>
      <c r="D34" s="152" t="s">
        <v>290</v>
      </c>
      <c r="E34" s="153" t="s">
        <v>291</v>
      </c>
      <c r="F34" s="151" t="s">
        <v>196</v>
      </c>
      <c r="G34" s="119"/>
    </row>
    <row r="35" spans="1:7" x14ac:dyDescent="0.2">
      <c r="A35" s="119"/>
      <c r="B35" s="166" t="s">
        <v>292</v>
      </c>
      <c r="C35" s="151" t="s">
        <v>293</v>
      </c>
      <c r="D35" s="152" t="s">
        <v>294</v>
      </c>
      <c r="E35" s="153" t="s">
        <v>295</v>
      </c>
      <c r="F35" s="151" t="s">
        <v>196</v>
      </c>
      <c r="G35" s="119"/>
    </row>
    <row r="36" spans="1:7" x14ac:dyDescent="0.2">
      <c r="A36" s="119"/>
      <c r="B36" s="119"/>
      <c r="C36" s="119"/>
      <c r="D36" s="122"/>
      <c r="E36" s="120"/>
      <c r="F36" s="119"/>
      <c r="G36" s="119"/>
    </row>
    <row r="37" spans="1:7" ht="15" x14ac:dyDescent="0.2">
      <c r="A37" s="119"/>
      <c r="B37" s="288" t="s">
        <v>143</v>
      </c>
      <c r="C37" s="288"/>
      <c r="D37" s="288"/>
      <c r="E37" s="120"/>
      <c r="F37" s="119"/>
      <c r="G37" s="119"/>
    </row>
    <row r="38" spans="1:7" x14ac:dyDescent="0.2">
      <c r="A38" s="119"/>
      <c r="B38" s="118" t="s">
        <v>134</v>
      </c>
      <c r="C38" s="118" t="s">
        <v>133</v>
      </c>
      <c r="D38" s="118" t="s">
        <v>132</v>
      </c>
      <c r="E38" s="118" t="s">
        <v>131</v>
      </c>
      <c r="F38" s="118" t="s">
        <v>130</v>
      </c>
      <c r="G38" s="119"/>
    </row>
    <row r="39" spans="1:7" ht="24" x14ac:dyDescent="0.2">
      <c r="A39" s="119"/>
      <c r="B39" s="117" t="s">
        <v>129</v>
      </c>
      <c r="C39" s="114">
        <v>21</v>
      </c>
      <c r="D39" s="116" t="s">
        <v>187</v>
      </c>
      <c r="E39" s="115">
        <f>AVERAGE(E41:E43)</f>
        <v>1180.6499999999999</v>
      </c>
      <c r="F39" s="114" t="s">
        <v>128</v>
      </c>
      <c r="G39" s="119"/>
    </row>
    <row r="40" spans="1:7" x14ac:dyDescent="0.2">
      <c r="A40" s="119"/>
      <c r="B40" s="108"/>
      <c r="C40" s="113" t="s">
        <v>127</v>
      </c>
      <c r="D40" s="113" t="s">
        <v>126</v>
      </c>
      <c r="E40" s="113" t="s">
        <v>125</v>
      </c>
      <c r="F40" s="113" t="s">
        <v>124</v>
      </c>
      <c r="G40" s="119"/>
    </row>
    <row r="41" spans="1:7" ht="60" x14ac:dyDescent="0.2">
      <c r="A41" s="119"/>
      <c r="B41" s="108"/>
      <c r="C41" s="112" t="s">
        <v>138</v>
      </c>
      <c r="D41" s="111" t="s">
        <v>188</v>
      </c>
      <c r="E41" s="145">
        <v>1074.1099999999999</v>
      </c>
      <c r="F41" s="146">
        <v>45737</v>
      </c>
      <c r="G41" s="119"/>
    </row>
    <row r="42" spans="1:7" ht="36" x14ac:dyDescent="0.2">
      <c r="A42" s="119"/>
      <c r="B42" s="108"/>
      <c r="C42" s="112" t="s">
        <v>137</v>
      </c>
      <c r="D42" s="111" t="s">
        <v>296</v>
      </c>
      <c r="E42" s="145">
        <v>1089.8</v>
      </c>
      <c r="F42" s="146">
        <v>45737</v>
      </c>
      <c r="G42" s="119"/>
    </row>
    <row r="43" spans="1:7" ht="48" x14ac:dyDescent="0.2">
      <c r="A43" s="119"/>
      <c r="B43" s="108"/>
      <c r="C43" s="112" t="s">
        <v>123</v>
      </c>
      <c r="D43" s="111" t="s">
        <v>189</v>
      </c>
      <c r="E43" s="145">
        <v>1378.04</v>
      </c>
      <c r="F43" s="146">
        <v>45737</v>
      </c>
      <c r="G43" s="107"/>
    </row>
    <row r="44" spans="1:7" ht="15" x14ac:dyDescent="0.2">
      <c r="A44" s="119"/>
      <c r="B44" s="121"/>
      <c r="C44" s="121"/>
      <c r="D44" s="121"/>
      <c r="E44" s="120"/>
      <c r="F44" s="119"/>
      <c r="G44" s="119"/>
    </row>
    <row r="45" spans="1:7" x14ac:dyDescent="0.2">
      <c r="A45" s="7"/>
      <c r="B45" s="118" t="s">
        <v>134</v>
      </c>
      <c r="C45" s="118" t="s">
        <v>133</v>
      </c>
      <c r="D45" s="118" t="s">
        <v>132</v>
      </c>
      <c r="E45" s="118" t="s">
        <v>131</v>
      </c>
      <c r="F45" s="118" t="s">
        <v>130</v>
      </c>
      <c r="G45" s="7"/>
    </row>
    <row r="46" spans="1:7" ht="24" x14ac:dyDescent="0.2">
      <c r="A46" s="7"/>
      <c r="B46" s="117" t="s">
        <v>129</v>
      </c>
      <c r="C46" s="114">
        <v>34</v>
      </c>
      <c r="D46" s="116" t="s">
        <v>190</v>
      </c>
      <c r="E46" s="115">
        <f>AVERAGE(E48:E48)</f>
        <v>285.06</v>
      </c>
      <c r="F46" s="114" t="s">
        <v>191</v>
      </c>
      <c r="G46" s="7"/>
    </row>
    <row r="47" spans="1:7" x14ac:dyDescent="0.2">
      <c r="A47" s="7"/>
      <c r="B47" s="108"/>
      <c r="C47" s="113" t="s">
        <v>127</v>
      </c>
      <c r="D47" s="113" t="s">
        <v>126</v>
      </c>
      <c r="E47" s="113" t="s">
        <v>125</v>
      </c>
      <c r="F47" s="113" t="s">
        <v>124</v>
      </c>
      <c r="G47" s="7"/>
    </row>
    <row r="48" spans="1:7" ht="24" x14ac:dyDescent="0.2">
      <c r="A48" s="7"/>
      <c r="B48" s="108"/>
      <c r="C48" s="112" t="s">
        <v>142</v>
      </c>
      <c r="D48" s="111" t="s">
        <v>192</v>
      </c>
      <c r="E48" s="110">
        <v>285.06</v>
      </c>
      <c r="F48" s="109">
        <v>45744</v>
      </c>
      <c r="G48" s="7"/>
    </row>
    <row r="49" spans="1:7" ht="15" x14ac:dyDescent="0.2">
      <c r="A49" s="7"/>
      <c r="B49" s="121"/>
      <c r="C49" s="121"/>
      <c r="D49" s="121"/>
      <c r="E49" s="120"/>
      <c r="F49" s="119"/>
      <c r="G49" s="7"/>
    </row>
    <row r="50" spans="1:7" x14ac:dyDescent="0.2">
      <c r="A50" s="7"/>
      <c r="B50" s="118" t="s">
        <v>134</v>
      </c>
      <c r="C50" s="118" t="s">
        <v>133</v>
      </c>
      <c r="D50" s="118" t="s">
        <v>132</v>
      </c>
      <c r="E50" s="118" t="s">
        <v>131</v>
      </c>
      <c r="F50" s="118" t="s">
        <v>130</v>
      </c>
      <c r="G50" s="7"/>
    </row>
    <row r="51" spans="1:7" ht="24" x14ac:dyDescent="0.2">
      <c r="A51" s="7"/>
      <c r="B51" s="117" t="s">
        <v>129</v>
      </c>
      <c r="C51" s="114">
        <v>35</v>
      </c>
      <c r="D51" s="116" t="s">
        <v>257</v>
      </c>
      <c r="E51" s="115">
        <f>AVERAGE(E53:E53)</f>
        <v>76.81</v>
      </c>
      <c r="F51" s="114" t="s">
        <v>191</v>
      </c>
      <c r="G51" s="7"/>
    </row>
    <row r="52" spans="1:7" x14ac:dyDescent="0.2">
      <c r="A52" s="7"/>
      <c r="B52" s="108"/>
      <c r="C52" s="113" t="s">
        <v>127</v>
      </c>
      <c r="D52" s="113" t="s">
        <v>126</v>
      </c>
      <c r="E52" s="113" t="s">
        <v>125</v>
      </c>
      <c r="F52" s="113" t="s">
        <v>124</v>
      </c>
      <c r="G52" s="7"/>
    </row>
    <row r="53" spans="1:7" ht="24" x14ac:dyDescent="0.2">
      <c r="A53" s="7"/>
      <c r="B53" s="108"/>
      <c r="C53" s="112" t="s">
        <v>142</v>
      </c>
      <c r="D53" s="111" t="s">
        <v>192</v>
      </c>
      <c r="E53" s="110">
        <v>76.81</v>
      </c>
      <c r="F53" s="109">
        <v>45744</v>
      </c>
      <c r="G53" s="7"/>
    </row>
    <row r="54" spans="1:7" x14ac:dyDescent="0.2">
      <c r="A54" s="7"/>
      <c r="B54" s="7"/>
      <c r="C54" s="7"/>
      <c r="D54" s="9"/>
      <c r="E54" s="7"/>
      <c r="F54" s="7"/>
      <c r="G54" s="7"/>
    </row>
    <row r="55" spans="1:7" x14ac:dyDescent="0.2">
      <c r="A55" s="7"/>
      <c r="B55" s="118" t="s">
        <v>134</v>
      </c>
      <c r="C55" s="118" t="s">
        <v>133</v>
      </c>
      <c r="D55" s="118" t="s">
        <v>132</v>
      </c>
      <c r="E55" s="118" t="s">
        <v>131</v>
      </c>
      <c r="F55" s="118" t="s">
        <v>130</v>
      </c>
      <c r="G55" s="7"/>
    </row>
    <row r="56" spans="1:7" ht="24" x14ac:dyDescent="0.2">
      <c r="A56" s="7"/>
      <c r="B56" s="117" t="s">
        <v>129</v>
      </c>
      <c r="C56" s="114">
        <v>44</v>
      </c>
      <c r="D56" s="116" t="s">
        <v>193</v>
      </c>
      <c r="E56" s="115">
        <f>AVERAGE(E58:E58)</f>
        <v>5700.8</v>
      </c>
      <c r="F56" s="114" t="s">
        <v>128</v>
      </c>
      <c r="G56" s="7"/>
    </row>
    <row r="57" spans="1:7" x14ac:dyDescent="0.2">
      <c r="A57" s="7"/>
      <c r="B57" s="108"/>
      <c r="C57" s="113" t="s">
        <v>127</v>
      </c>
      <c r="D57" s="113" t="s">
        <v>126</v>
      </c>
      <c r="E57" s="113" t="s">
        <v>125</v>
      </c>
      <c r="F57" s="113" t="s">
        <v>124</v>
      </c>
      <c r="G57" s="7"/>
    </row>
    <row r="58" spans="1:7" ht="24" x14ac:dyDescent="0.2">
      <c r="A58" s="7"/>
      <c r="B58" s="108"/>
      <c r="C58" s="112" t="s">
        <v>142</v>
      </c>
      <c r="D58" s="111" t="s">
        <v>192</v>
      </c>
      <c r="E58" s="110">
        <v>5700.8</v>
      </c>
      <c r="F58" s="109">
        <v>45744</v>
      </c>
      <c r="G58" s="7"/>
    </row>
    <row r="59" spans="1:7" x14ac:dyDescent="0.2">
      <c r="A59" s="7"/>
      <c r="B59" s="108"/>
      <c r="C59" s="147"/>
      <c r="D59" s="148"/>
      <c r="E59" s="107"/>
      <c r="F59" s="149"/>
      <c r="G59" s="7"/>
    </row>
    <row r="60" spans="1:7" x14ac:dyDescent="0.2">
      <c r="A60" s="7"/>
      <c r="B60" s="118" t="s">
        <v>134</v>
      </c>
      <c r="C60" s="118" t="s">
        <v>133</v>
      </c>
      <c r="D60" s="118" t="s">
        <v>132</v>
      </c>
      <c r="E60" s="118" t="s">
        <v>131</v>
      </c>
      <c r="F60" s="118" t="s">
        <v>130</v>
      </c>
      <c r="G60" s="7"/>
    </row>
    <row r="61" spans="1:7" x14ac:dyDescent="0.2">
      <c r="A61" s="7"/>
      <c r="B61" s="117" t="s">
        <v>129</v>
      </c>
      <c r="C61" s="114">
        <v>27</v>
      </c>
      <c r="D61" s="116" t="s">
        <v>256</v>
      </c>
      <c r="E61" s="115">
        <f>AVERAGE(E63:E63)</f>
        <v>186.76</v>
      </c>
      <c r="F61" s="114" t="s">
        <v>191</v>
      </c>
      <c r="G61" s="7"/>
    </row>
    <row r="62" spans="1:7" x14ac:dyDescent="0.2">
      <c r="A62" s="7"/>
      <c r="B62" s="108"/>
      <c r="C62" s="113" t="s">
        <v>127</v>
      </c>
      <c r="D62" s="113" t="s">
        <v>126</v>
      </c>
      <c r="E62" s="113" t="s">
        <v>125</v>
      </c>
      <c r="F62" s="113" t="s">
        <v>124</v>
      </c>
      <c r="G62" s="7"/>
    </row>
    <row r="63" spans="1:7" ht="24" x14ac:dyDescent="0.2">
      <c r="A63" s="7"/>
      <c r="B63" s="108"/>
      <c r="C63" s="112" t="s">
        <v>142</v>
      </c>
      <c r="D63" s="111" t="s">
        <v>192</v>
      </c>
      <c r="E63" s="110">
        <v>186.76</v>
      </c>
      <c r="F63" s="109">
        <v>45744</v>
      </c>
      <c r="G63" s="7"/>
    </row>
    <row r="64" spans="1:7" x14ac:dyDescent="0.2">
      <c r="A64" s="7"/>
      <c r="B64" s="108"/>
      <c r="C64" s="147"/>
      <c r="D64" s="148"/>
      <c r="E64" s="107"/>
      <c r="F64" s="149"/>
      <c r="G64" s="7"/>
    </row>
    <row r="65" spans="1:7" x14ac:dyDescent="0.2">
      <c r="A65" s="7"/>
      <c r="B65" s="118" t="s">
        <v>134</v>
      </c>
      <c r="C65" s="118" t="s">
        <v>133</v>
      </c>
      <c r="D65" s="118" t="s">
        <v>132</v>
      </c>
      <c r="E65" s="118" t="s">
        <v>131</v>
      </c>
      <c r="F65" s="118" t="s">
        <v>130</v>
      </c>
      <c r="G65" s="7"/>
    </row>
    <row r="66" spans="1:7" x14ac:dyDescent="0.2">
      <c r="A66" s="7"/>
      <c r="B66" s="117" t="s">
        <v>129</v>
      </c>
      <c r="C66" s="114">
        <v>42</v>
      </c>
      <c r="D66" s="116" t="s">
        <v>297</v>
      </c>
      <c r="E66" s="115">
        <f>AVERAGE(E68:E70)</f>
        <v>21.51</v>
      </c>
      <c r="F66" s="114" t="s">
        <v>128</v>
      </c>
      <c r="G66" s="7"/>
    </row>
    <row r="67" spans="1:7" x14ac:dyDescent="0.2">
      <c r="A67" s="7"/>
      <c r="B67" s="108"/>
      <c r="C67" s="113" t="s">
        <v>127</v>
      </c>
      <c r="D67" s="113" t="s">
        <v>126</v>
      </c>
      <c r="E67" s="113" t="s">
        <v>125</v>
      </c>
      <c r="F67" s="113" t="s">
        <v>124</v>
      </c>
      <c r="G67" s="7"/>
    </row>
    <row r="68" spans="1:7" ht="60" x14ac:dyDescent="0.2">
      <c r="A68" s="7"/>
      <c r="B68" s="108"/>
      <c r="C68" s="143" t="s">
        <v>211</v>
      </c>
      <c r="D68" s="144" t="s">
        <v>232</v>
      </c>
      <c r="E68" s="145">
        <v>21.9</v>
      </c>
      <c r="F68" s="146">
        <v>45737</v>
      </c>
      <c r="G68" s="7"/>
    </row>
    <row r="69" spans="1:7" ht="72" x14ac:dyDescent="0.2">
      <c r="A69" s="7"/>
      <c r="B69" s="108"/>
      <c r="C69" s="143" t="s">
        <v>215</v>
      </c>
      <c r="D69" s="144" t="s">
        <v>233</v>
      </c>
      <c r="E69" s="145">
        <v>21.16</v>
      </c>
      <c r="F69" s="146">
        <v>45737</v>
      </c>
      <c r="G69" s="7"/>
    </row>
    <row r="70" spans="1:7" ht="48" x14ac:dyDescent="0.2">
      <c r="A70" s="7"/>
      <c r="B70" s="108"/>
      <c r="C70" s="143" t="s">
        <v>219</v>
      </c>
      <c r="D70" s="144" t="s">
        <v>250</v>
      </c>
      <c r="E70" s="145">
        <v>21.47</v>
      </c>
      <c r="F70" s="146">
        <v>45737</v>
      </c>
      <c r="G70" s="7"/>
    </row>
    <row r="71" spans="1:7" x14ac:dyDescent="0.2">
      <c r="A71" s="7"/>
      <c r="B71" s="108"/>
      <c r="C71" s="156"/>
      <c r="D71" s="156"/>
      <c r="E71" s="156"/>
      <c r="F71" s="156"/>
      <c r="G71" s="7"/>
    </row>
    <row r="72" spans="1:7" x14ac:dyDescent="0.2">
      <c r="A72" s="7"/>
      <c r="B72" s="118" t="s">
        <v>134</v>
      </c>
      <c r="C72" s="118" t="s">
        <v>133</v>
      </c>
      <c r="D72" s="118" t="s">
        <v>132</v>
      </c>
      <c r="E72" s="118" t="s">
        <v>131</v>
      </c>
      <c r="F72" s="118" t="s">
        <v>130</v>
      </c>
      <c r="G72" s="7"/>
    </row>
    <row r="73" spans="1:7" ht="24" x14ac:dyDescent="0.2">
      <c r="A73" s="7"/>
      <c r="B73" s="117" t="s">
        <v>129</v>
      </c>
      <c r="C73" s="114">
        <v>46</v>
      </c>
      <c r="D73" s="116" t="s">
        <v>234</v>
      </c>
      <c r="E73" s="115">
        <f>AVERAGE(E75:E77)</f>
        <v>44.160000000000004</v>
      </c>
      <c r="F73" s="114" t="s">
        <v>128</v>
      </c>
      <c r="G73" s="7"/>
    </row>
    <row r="74" spans="1:7" x14ac:dyDescent="0.2">
      <c r="A74" s="7"/>
      <c r="B74" s="108"/>
      <c r="C74" s="113" t="s">
        <v>127</v>
      </c>
      <c r="D74" s="113" t="s">
        <v>126</v>
      </c>
      <c r="E74" s="113" t="s">
        <v>125</v>
      </c>
      <c r="F74" s="113" t="s">
        <v>124</v>
      </c>
      <c r="G74" s="7"/>
    </row>
    <row r="75" spans="1:7" ht="60" x14ac:dyDescent="0.2">
      <c r="A75" s="7"/>
      <c r="B75" s="108"/>
      <c r="C75" s="112" t="s">
        <v>220</v>
      </c>
      <c r="D75" s="111" t="s">
        <v>235</v>
      </c>
      <c r="E75" s="145">
        <v>42.22</v>
      </c>
      <c r="F75" s="146">
        <v>45737</v>
      </c>
      <c r="G75" s="7"/>
    </row>
    <row r="76" spans="1:7" ht="48" x14ac:dyDescent="0.2">
      <c r="A76" s="7"/>
      <c r="B76" s="108"/>
      <c r="C76" s="112" t="s">
        <v>224</v>
      </c>
      <c r="D76" s="111" t="s">
        <v>236</v>
      </c>
      <c r="E76" s="145">
        <v>50.9</v>
      </c>
      <c r="F76" s="146">
        <v>45737</v>
      </c>
      <c r="G76" s="7"/>
    </row>
    <row r="77" spans="1:7" ht="48" x14ac:dyDescent="0.2">
      <c r="A77" s="7"/>
      <c r="B77" s="108"/>
      <c r="C77" s="112" t="s">
        <v>228</v>
      </c>
      <c r="D77" s="111" t="s">
        <v>237</v>
      </c>
      <c r="E77" s="145">
        <v>39.36</v>
      </c>
      <c r="F77" s="146">
        <v>45737</v>
      </c>
      <c r="G77" s="7"/>
    </row>
    <row r="78" spans="1:7" x14ac:dyDescent="0.2">
      <c r="A78" s="7"/>
      <c r="B78" s="7"/>
      <c r="C78" s="7"/>
      <c r="D78" s="9"/>
      <c r="E78" s="7"/>
      <c r="F78" s="7"/>
      <c r="G78" s="7"/>
    </row>
    <row r="79" spans="1:7" x14ac:dyDescent="0.2">
      <c r="A79" s="7"/>
      <c r="B79" s="118" t="s">
        <v>134</v>
      </c>
      <c r="C79" s="118" t="s">
        <v>133</v>
      </c>
      <c r="D79" s="118" t="s">
        <v>132</v>
      </c>
      <c r="E79" s="118" t="s">
        <v>131</v>
      </c>
      <c r="F79" s="118" t="s">
        <v>130</v>
      </c>
      <c r="G79" s="7"/>
    </row>
    <row r="80" spans="1:7" ht="48" x14ac:dyDescent="0.2">
      <c r="A80" s="7"/>
      <c r="B80" s="117" t="s">
        <v>129</v>
      </c>
      <c r="C80" s="169">
        <v>48</v>
      </c>
      <c r="D80" s="116" t="s">
        <v>244</v>
      </c>
      <c r="E80" s="115">
        <f>AVERAGE(E82:E85)</f>
        <v>7752.4575000000004</v>
      </c>
      <c r="F80" s="114" t="s">
        <v>128</v>
      </c>
      <c r="G80" s="7"/>
    </row>
    <row r="81" spans="1:7" x14ac:dyDescent="0.2">
      <c r="A81" s="7"/>
      <c r="B81" s="108"/>
      <c r="C81" s="113" t="s">
        <v>127</v>
      </c>
      <c r="D81" s="113" t="s">
        <v>126</v>
      </c>
      <c r="E81" s="113" t="s">
        <v>125</v>
      </c>
      <c r="F81" s="113" t="s">
        <v>124</v>
      </c>
      <c r="G81" s="7"/>
    </row>
    <row r="82" spans="1:7" x14ac:dyDescent="0.2">
      <c r="A82" s="7"/>
      <c r="B82" s="108"/>
      <c r="C82" s="112" t="s">
        <v>141</v>
      </c>
      <c r="D82" s="111" t="s">
        <v>298</v>
      </c>
      <c r="E82" s="110">
        <v>5422</v>
      </c>
      <c r="F82" s="146">
        <v>45740</v>
      </c>
      <c r="G82" s="7"/>
    </row>
    <row r="83" spans="1:7" x14ac:dyDescent="0.2">
      <c r="A83" s="7"/>
      <c r="B83" s="108"/>
      <c r="C83" s="112" t="s">
        <v>140</v>
      </c>
      <c r="D83" s="111" t="s">
        <v>299</v>
      </c>
      <c r="E83" s="110">
        <v>10437.83</v>
      </c>
      <c r="F83" s="146">
        <v>45737</v>
      </c>
      <c r="G83" s="7"/>
    </row>
    <row r="84" spans="1:7" x14ac:dyDescent="0.2">
      <c r="A84" s="7"/>
      <c r="B84" s="108"/>
      <c r="C84" s="112" t="s">
        <v>136</v>
      </c>
      <c r="D84" s="111" t="s">
        <v>245</v>
      </c>
      <c r="E84" s="110">
        <v>10250</v>
      </c>
      <c r="F84" s="146">
        <v>45737</v>
      </c>
      <c r="G84" s="7"/>
    </row>
    <row r="85" spans="1:7" x14ac:dyDescent="0.2">
      <c r="A85" s="7"/>
      <c r="B85" s="108"/>
      <c r="C85" s="112" t="s">
        <v>122</v>
      </c>
      <c r="D85" s="111" t="s">
        <v>300</v>
      </c>
      <c r="E85" s="110">
        <v>4900</v>
      </c>
      <c r="F85" s="146">
        <v>45738</v>
      </c>
      <c r="G85" s="7"/>
    </row>
    <row r="86" spans="1:7" x14ac:dyDescent="0.2">
      <c r="A86" s="7"/>
      <c r="B86" s="7"/>
      <c r="C86" s="7"/>
      <c r="D86" s="9"/>
      <c r="E86" s="7"/>
      <c r="F86" s="7"/>
      <c r="G86" s="7"/>
    </row>
    <row r="87" spans="1:7" x14ac:dyDescent="0.2">
      <c r="A87" s="7"/>
      <c r="B87" s="118" t="s">
        <v>134</v>
      </c>
      <c r="C87" s="118" t="s">
        <v>133</v>
      </c>
      <c r="D87" s="118" t="s">
        <v>132</v>
      </c>
      <c r="E87" s="118" t="s">
        <v>131</v>
      </c>
      <c r="F87" s="118" t="s">
        <v>130</v>
      </c>
      <c r="G87" s="7"/>
    </row>
    <row r="88" spans="1:7" ht="36" x14ac:dyDescent="0.2">
      <c r="A88" s="7"/>
      <c r="B88" s="117" t="s">
        <v>129</v>
      </c>
      <c r="C88" s="114">
        <v>55</v>
      </c>
      <c r="D88" s="116" t="s">
        <v>301</v>
      </c>
      <c r="E88" s="115">
        <f>AVERAGE(E90:E92)</f>
        <v>1296</v>
      </c>
      <c r="F88" s="114" t="s">
        <v>128</v>
      </c>
      <c r="G88" s="7"/>
    </row>
    <row r="89" spans="1:7" x14ac:dyDescent="0.2">
      <c r="A89" s="7"/>
      <c r="B89" s="108"/>
      <c r="C89" s="113" t="s">
        <v>127</v>
      </c>
      <c r="D89" s="113" t="s">
        <v>126</v>
      </c>
      <c r="E89" s="113" t="s">
        <v>125</v>
      </c>
      <c r="F89" s="113" t="s">
        <v>124</v>
      </c>
      <c r="G89" s="7"/>
    </row>
    <row r="90" spans="1:7" ht="84" x14ac:dyDescent="0.2">
      <c r="A90" s="7"/>
      <c r="B90" s="108"/>
      <c r="C90" s="112" t="s">
        <v>238</v>
      </c>
      <c r="D90" s="111" t="s">
        <v>302</v>
      </c>
      <c r="E90" s="110">
        <v>1199</v>
      </c>
      <c r="F90" s="146">
        <v>45736</v>
      </c>
      <c r="G90" s="7"/>
    </row>
    <row r="91" spans="1:7" ht="48" x14ac:dyDescent="0.2">
      <c r="A91" s="7"/>
      <c r="B91" s="108"/>
      <c r="C91" s="112" t="s">
        <v>135</v>
      </c>
      <c r="D91" s="111" t="s">
        <v>303</v>
      </c>
      <c r="E91" s="110">
        <v>999</v>
      </c>
      <c r="F91" s="146">
        <v>45736</v>
      </c>
      <c r="G91" s="7"/>
    </row>
    <row r="92" spans="1:7" ht="24" x14ac:dyDescent="0.2">
      <c r="A92" s="7"/>
      <c r="B92" s="108"/>
      <c r="C92" s="112" t="s">
        <v>139</v>
      </c>
      <c r="D92" s="111" t="s">
        <v>304</v>
      </c>
      <c r="E92" s="110">
        <v>1690</v>
      </c>
      <c r="F92" s="146">
        <v>45736</v>
      </c>
      <c r="G92" s="7"/>
    </row>
    <row r="93" spans="1:7" x14ac:dyDescent="0.2">
      <c r="A93" s="7"/>
      <c r="B93" s="7"/>
      <c r="C93" s="7"/>
      <c r="D93" s="9"/>
      <c r="E93" s="7"/>
      <c r="F93" s="7"/>
      <c r="G93" s="7"/>
    </row>
    <row r="94" spans="1:7" x14ac:dyDescent="0.2">
      <c r="A94" s="7"/>
      <c r="B94" s="118" t="s">
        <v>134</v>
      </c>
      <c r="C94" s="118" t="s">
        <v>133</v>
      </c>
      <c r="D94" s="118" t="s">
        <v>132</v>
      </c>
      <c r="E94" s="118" t="s">
        <v>131</v>
      </c>
      <c r="F94" s="118" t="s">
        <v>130</v>
      </c>
      <c r="G94" s="7"/>
    </row>
    <row r="95" spans="1:7" ht="24" x14ac:dyDescent="0.2">
      <c r="A95" s="7"/>
      <c r="B95" s="117" t="s">
        <v>129</v>
      </c>
      <c r="C95" s="114">
        <v>64</v>
      </c>
      <c r="D95" s="116" t="s">
        <v>305</v>
      </c>
      <c r="E95" s="115">
        <f>AVERAGE(E97:E99)</f>
        <v>72.453333333333333</v>
      </c>
      <c r="F95" s="114" t="s">
        <v>128</v>
      </c>
      <c r="G95" s="7"/>
    </row>
    <row r="96" spans="1:7" x14ac:dyDescent="0.2">
      <c r="A96" s="7"/>
      <c r="B96" s="108"/>
      <c r="C96" s="113" t="s">
        <v>127</v>
      </c>
      <c r="D96" s="113" t="s">
        <v>126</v>
      </c>
      <c r="E96" s="113" t="s">
        <v>125</v>
      </c>
      <c r="F96" s="113" t="s">
        <v>124</v>
      </c>
      <c r="G96" s="7"/>
    </row>
    <row r="97" spans="1:7" ht="72" x14ac:dyDescent="0.2">
      <c r="A97" s="7"/>
      <c r="B97" s="108"/>
      <c r="C97" s="112" t="s">
        <v>239</v>
      </c>
      <c r="D97" s="111" t="s">
        <v>306</v>
      </c>
      <c r="E97" s="110">
        <v>62.9</v>
      </c>
      <c r="F97" s="146">
        <v>45741</v>
      </c>
      <c r="G97" s="7"/>
    </row>
    <row r="98" spans="1:7" ht="60" x14ac:dyDescent="0.2">
      <c r="A98" s="7"/>
      <c r="B98" s="108"/>
      <c r="C98" s="112" t="s">
        <v>284</v>
      </c>
      <c r="D98" s="111" t="s">
        <v>307</v>
      </c>
      <c r="E98" s="110">
        <v>87.9</v>
      </c>
      <c r="F98" s="146">
        <v>45741</v>
      </c>
      <c r="G98" s="7"/>
    </row>
    <row r="99" spans="1:7" ht="24" x14ac:dyDescent="0.2">
      <c r="A99" s="7"/>
      <c r="B99" s="108"/>
      <c r="C99" s="112" t="s">
        <v>288</v>
      </c>
      <c r="D99" s="111" t="s">
        <v>308</v>
      </c>
      <c r="E99" s="110">
        <v>66.56</v>
      </c>
      <c r="F99" s="146">
        <v>45741</v>
      </c>
      <c r="G99" s="7"/>
    </row>
    <row r="100" spans="1:7" x14ac:dyDescent="0.2">
      <c r="A100" s="7"/>
      <c r="B100" s="108"/>
      <c r="C100" s="147"/>
      <c r="D100" s="148"/>
      <c r="E100" s="107"/>
      <c r="F100" s="150"/>
      <c r="G100" s="7"/>
    </row>
    <row r="101" spans="1:7" x14ac:dyDescent="0.2">
      <c r="A101" s="7"/>
      <c r="B101" s="118" t="s">
        <v>134</v>
      </c>
      <c r="C101" s="118" t="s">
        <v>133</v>
      </c>
      <c r="D101" s="118" t="s">
        <v>132</v>
      </c>
      <c r="E101" s="118" t="s">
        <v>131</v>
      </c>
      <c r="F101" s="118" t="s">
        <v>130</v>
      </c>
      <c r="G101" s="7"/>
    </row>
    <row r="102" spans="1:7" x14ac:dyDescent="0.2">
      <c r="A102" s="7"/>
      <c r="B102" s="117" t="s">
        <v>129</v>
      </c>
      <c r="C102" s="114">
        <v>65</v>
      </c>
      <c r="D102" s="116" t="s">
        <v>309</v>
      </c>
      <c r="E102" s="115">
        <f>AVERAGE(E104:E106)</f>
        <v>32.49666666666667</v>
      </c>
      <c r="F102" s="114" t="s">
        <v>128</v>
      </c>
      <c r="G102" s="7"/>
    </row>
    <row r="103" spans="1:7" x14ac:dyDescent="0.2">
      <c r="A103" s="7"/>
      <c r="B103" s="108"/>
      <c r="C103" s="113" t="s">
        <v>127</v>
      </c>
      <c r="D103" s="113" t="s">
        <v>126</v>
      </c>
      <c r="E103" s="113" t="s">
        <v>125</v>
      </c>
      <c r="F103" s="113" t="s">
        <v>124</v>
      </c>
      <c r="G103" s="7"/>
    </row>
    <row r="104" spans="1:7" ht="36" x14ac:dyDescent="0.2">
      <c r="A104" s="7"/>
      <c r="B104" s="108"/>
      <c r="C104" s="112" t="s">
        <v>239</v>
      </c>
      <c r="D104" s="111" t="s">
        <v>310</v>
      </c>
      <c r="E104" s="145">
        <v>19</v>
      </c>
      <c r="F104" s="146">
        <v>45792</v>
      </c>
      <c r="G104" s="7"/>
    </row>
    <row r="105" spans="1:7" ht="84" x14ac:dyDescent="0.2">
      <c r="A105" s="7"/>
      <c r="B105" s="108"/>
      <c r="C105" s="112" t="s">
        <v>284</v>
      </c>
      <c r="D105" s="111" t="s">
        <v>311</v>
      </c>
      <c r="E105" s="145">
        <v>52.9</v>
      </c>
      <c r="F105" s="146">
        <v>45792</v>
      </c>
      <c r="G105" s="7"/>
    </row>
    <row r="106" spans="1:7" ht="108" x14ac:dyDescent="0.2">
      <c r="A106" s="7"/>
      <c r="B106" s="108"/>
      <c r="C106" s="112" t="s">
        <v>292</v>
      </c>
      <c r="D106" s="111" t="s">
        <v>312</v>
      </c>
      <c r="E106" s="145">
        <v>25.59</v>
      </c>
      <c r="F106" s="146">
        <v>45792</v>
      </c>
      <c r="G106" s="7"/>
    </row>
    <row r="107" spans="1:7" x14ac:dyDescent="0.2">
      <c r="A107" s="7"/>
      <c r="B107" s="108"/>
      <c r="C107" s="147"/>
      <c r="D107" s="148"/>
      <c r="E107" s="107"/>
      <c r="F107" s="150"/>
      <c r="G107" s="7"/>
    </row>
    <row r="108" spans="1:7" x14ac:dyDescent="0.2">
      <c r="A108" s="7"/>
      <c r="B108" s="7"/>
      <c r="C108" s="7"/>
      <c r="D108" s="9"/>
      <c r="E108" s="7"/>
      <c r="F108" s="7"/>
      <c r="G108" s="7"/>
    </row>
    <row r="109" spans="1:7" x14ac:dyDescent="0.2">
      <c r="A109" s="7"/>
      <c r="B109" s="283" t="s">
        <v>121</v>
      </c>
      <c r="C109" s="283"/>
      <c r="D109" s="283"/>
      <c r="E109" s="283"/>
      <c r="F109" s="283"/>
      <c r="G109" s="7"/>
    </row>
    <row r="110" spans="1:7" x14ac:dyDescent="0.2">
      <c r="A110" s="7"/>
      <c r="B110" s="284" t="s">
        <v>120</v>
      </c>
      <c r="C110" s="284"/>
      <c r="D110" s="284"/>
      <c r="E110" s="284"/>
      <c r="F110" s="284"/>
      <c r="G110" s="7"/>
    </row>
    <row r="111" spans="1:7" x14ac:dyDescent="0.2">
      <c r="A111" s="7"/>
      <c r="B111" s="284" t="s">
        <v>119</v>
      </c>
      <c r="C111" s="284"/>
      <c r="D111" s="284"/>
      <c r="E111" s="284"/>
      <c r="F111" s="284"/>
      <c r="G111" s="7"/>
    </row>
    <row r="112" spans="1:7" x14ac:dyDescent="0.2">
      <c r="A112" s="7"/>
      <c r="B112" s="284" t="s">
        <v>118</v>
      </c>
      <c r="C112" s="284"/>
      <c r="D112" s="284"/>
      <c r="E112" s="284"/>
      <c r="F112" s="284"/>
      <c r="G112" s="7"/>
    </row>
    <row r="113" spans="1:7" x14ac:dyDescent="0.2">
      <c r="A113" s="7"/>
      <c r="B113" s="284" t="s">
        <v>246</v>
      </c>
      <c r="C113" s="284"/>
      <c r="D113" s="284"/>
      <c r="E113" s="284"/>
      <c r="F113" s="284"/>
      <c r="G113" s="7"/>
    </row>
    <row r="114" spans="1:7" ht="48.75" customHeight="1" x14ac:dyDescent="0.2">
      <c r="A114" s="7"/>
      <c r="B114" s="284" t="s">
        <v>313</v>
      </c>
      <c r="C114" s="284"/>
      <c r="D114" s="284"/>
      <c r="E114" s="284"/>
      <c r="F114" s="284"/>
      <c r="G114" s="7"/>
    </row>
    <row r="115" spans="1:7" ht="75.75" customHeight="1" x14ac:dyDescent="0.2">
      <c r="A115" s="7"/>
      <c r="B115" s="7"/>
      <c r="C115" s="7"/>
      <c r="D115" s="9"/>
      <c r="E115" s="7"/>
      <c r="F115" s="7"/>
      <c r="G115" s="7"/>
    </row>
    <row r="116" spans="1:7" x14ac:dyDescent="0.2">
      <c r="A116" s="7"/>
      <c r="B116" s="279" t="s">
        <v>210</v>
      </c>
      <c r="C116" s="285"/>
      <c r="D116" s="250" t="s">
        <v>4</v>
      </c>
      <c r="E116" s="250"/>
      <c r="F116" s="251" t="s">
        <v>258</v>
      </c>
      <c r="G116" s="251"/>
    </row>
    <row r="117" spans="1:7" x14ac:dyDescent="0.2">
      <c r="A117" s="7"/>
      <c r="B117" s="280" t="s">
        <v>3</v>
      </c>
      <c r="C117" s="286"/>
      <c r="D117" s="253" t="s">
        <v>6</v>
      </c>
      <c r="E117" s="250"/>
      <c r="F117" s="11" t="s">
        <v>5</v>
      </c>
      <c r="G117" s="7"/>
    </row>
    <row r="118" spans="1:7" x14ac:dyDescent="0.2">
      <c r="A118" s="7"/>
      <c r="B118" s="10"/>
      <c r="C118" s="7"/>
      <c r="D118" s="248" t="s">
        <v>31</v>
      </c>
      <c r="E118" s="248"/>
      <c r="F118" s="7"/>
      <c r="G118" s="7"/>
    </row>
    <row r="119" spans="1:7" x14ac:dyDescent="0.2">
      <c r="A119" s="7"/>
      <c r="B119" s="10"/>
      <c r="C119" s="7"/>
      <c r="D119" s="248" t="s">
        <v>184</v>
      </c>
      <c r="E119" s="248"/>
      <c r="F119" s="7"/>
      <c r="G119" s="7"/>
    </row>
    <row r="120" spans="1:7" x14ac:dyDescent="0.2">
      <c r="A120" s="7"/>
      <c r="B120" s="10"/>
      <c r="C120" s="7"/>
      <c r="D120" s="248" t="s">
        <v>251</v>
      </c>
      <c r="E120" s="248"/>
      <c r="F120" s="7"/>
      <c r="G120" s="7"/>
    </row>
  </sheetData>
  <mergeCells count="25">
    <mergeCell ref="C2:F2"/>
    <mergeCell ref="C3:F3"/>
    <mergeCell ref="C4:F4"/>
    <mergeCell ref="C5:F5"/>
    <mergeCell ref="A7:D7"/>
    <mergeCell ref="E8:G8"/>
    <mergeCell ref="A8:D8"/>
    <mergeCell ref="A9:D9"/>
    <mergeCell ref="D118:E118"/>
    <mergeCell ref="B116:C116"/>
    <mergeCell ref="D116:E116"/>
    <mergeCell ref="D117:E117"/>
    <mergeCell ref="F116:G116"/>
    <mergeCell ref="B117:C117"/>
    <mergeCell ref="A11:G11"/>
    <mergeCell ref="B13:D13"/>
    <mergeCell ref="B37:D37"/>
    <mergeCell ref="D119:E119"/>
    <mergeCell ref="D120:E120"/>
    <mergeCell ref="B109:F109"/>
    <mergeCell ref="B110:F110"/>
    <mergeCell ref="B111:F111"/>
    <mergeCell ref="B112:F112"/>
    <mergeCell ref="B113:F113"/>
    <mergeCell ref="B114:F114"/>
  </mergeCells>
  <phoneticPr fontId="33" type="noConversion"/>
  <pageMargins left="0.70866141732283472" right="0.70866141732283472" top="0.74803149606299213" bottom="0.74803149606299213" header="0.31496062992125984" footer="0.31496062992125984"/>
  <pageSetup paperSize="9" scale="58" fitToHeight="0" orientation="portrait" r:id="rId1"/>
  <headerFooter>
    <oddHeader xml:space="preserve">&amp;L
 &amp;C &amp;R
</oddHeader>
    <oddFooter>Página &amp;P de &amp;N</oddFooter>
  </headerFooter>
  <rowBreaks count="2" manualBreakCount="2">
    <brk id="64" max="6" man="1"/>
    <brk id="100" max="6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46"/>
  <sheetViews>
    <sheetView showOutlineSymbols="0" showWhiteSpace="0" topLeftCell="A4" zoomScaleNormal="100" zoomScaleSheetLayoutView="110" workbookViewId="0">
      <selection activeCell="H42" sqref="H42:J42"/>
    </sheetView>
  </sheetViews>
  <sheetFormatPr defaultRowHeight="14.25" x14ac:dyDescent="0.2"/>
  <cols>
    <col min="1" max="1" width="3.625" style="3" customWidth="1"/>
    <col min="2" max="2" width="4" style="3" customWidth="1"/>
    <col min="3" max="3" width="10.125" style="3" customWidth="1"/>
    <col min="4" max="4" width="51.625" customWidth="1"/>
    <col min="5" max="5" width="11.375" customWidth="1"/>
    <col min="6" max="6" width="19.75" style="5" customWidth="1"/>
    <col min="7" max="7" width="10" customWidth="1"/>
    <col min="8" max="8" width="8.75" customWidth="1"/>
    <col min="9" max="9" width="12.25" customWidth="1"/>
    <col min="10" max="10" width="5.875" customWidth="1"/>
  </cols>
  <sheetData>
    <row r="1" spans="1:10" x14ac:dyDescent="0.2">
      <c r="A1" s="2"/>
      <c r="B1" s="2"/>
      <c r="C1" s="2"/>
      <c r="D1" s="1"/>
      <c r="E1" s="1"/>
      <c r="F1" s="4"/>
      <c r="G1" s="1"/>
      <c r="H1" s="1"/>
      <c r="I1" s="1"/>
      <c r="J1" s="1"/>
    </row>
    <row r="2" spans="1:10" x14ac:dyDescent="0.2">
      <c r="A2" s="2"/>
      <c r="B2" s="2"/>
      <c r="C2" s="257" t="s">
        <v>0</v>
      </c>
      <c r="D2" s="257"/>
      <c r="E2" s="257"/>
      <c r="F2" s="257"/>
      <c r="G2" s="257"/>
      <c r="H2" s="257"/>
      <c r="I2" s="1"/>
      <c r="J2" s="1"/>
    </row>
    <row r="3" spans="1:10" x14ac:dyDescent="0.2">
      <c r="A3" s="2"/>
      <c r="B3" s="2"/>
      <c r="C3" s="257" t="s">
        <v>322</v>
      </c>
      <c r="D3" s="257"/>
      <c r="E3" s="257"/>
      <c r="F3" s="257"/>
      <c r="G3" s="257"/>
      <c r="H3" s="257"/>
      <c r="I3" s="1"/>
      <c r="J3" s="1"/>
    </row>
    <row r="4" spans="1:10" x14ac:dyDescent="0.2">
      <c r="A4" s="2"/>
      <c r="B4" s="2"/>
      <c r="C4" s="257" t="s">
        <v>1</v>
      </c>
      <c r="D4" s="257"/>
      <c r="E4" s="257"/>
      <c r="F4" s="257"/>
      <c r="G4" s="257"/>
      <c r="H4" s="257"/>
      <c r="I4" s="1"/>
      <c r="J4" s="1"/>
    </row>
    <row r="5" spans="1:10" x14ac:dyDescent="0.2">
      <c r="A5" s="2"/>
      <c r="B5" s="2"/>
      <c r="C5" s="257" t="s">
        <v>2</v>
      </c>
      <c r="D5" s="257"/>
      <c r="E5" s="257"/>
      <c r="F5" s="257"/>
      <c r="G5" s="257"/>
      <c r="H5" s="257"/>
      <c r="I5" s="1"/>
      <c r="J5" s="1"/>
    </row>
    <row r="6" spans="1:10" ht="15" thickBot="1" x14ac:dyDescent="0.25">
      <c r="A6" s="2"/>
      <c r="B6" s="2"/>
      <c r="C6" s="2"/>
      <c r="D6" s="1"/>
      <c r="E6" s="1"/>
      <c r="F6" s="4"/>
      <c r="G6" s="1"/>
      <c r="H6" s="1"/>
      <c r="I6" s="1"/>
      <c r="J6" s="1"/>
    </row>
    <row r="7" spans="1:10" x14ac:dyDescent="0.2">
      <c r="A7" s="289" t="s">
        <v>326</v>
      </c>
      <c r="B7" s="259"/>
      <c r="C7" s="259"/>
      <c r="D7" s="259"/>
      <c r="E7" s="171" t="s">
        <v>871</v>
      </c>
      <c r="F7" s="172"/>
      <c r="G7" s="171"/>
      <c r="H7" s="171"/>
      <c r="I7" s="171"/>
      <c r="J7" s="178"/>
    </row>
    <row r="8" spans="1:10" x14ac:dyDescent="0.2">
      <c r="A8" s="290" t="s">
        <v>330</v>
      </c>
      <c r="B8" s="261"/>
      <c r="C8" s="261"/>
      <c r="D8" s="261"/>
      <c r="E8" s="264" t="s">
        <v>868</v>
      </c>
      <c r="F8" s="264"/>
      <c r="G8" s="264"/>
      <c r="H8" s="264"/>
      <c r="I8" s="264"/>
      <c r="J8" s="265"/>
    </row>
    <row r="9" spans="1:10" ht="15" thickBot="1" x14ac:dyDescent="0.25">
      <c r="A9" s="262" t="s">
        <v>802</v>
      </c>
      <c r="B9" s="263"/>
      <c r="C9" s="263"/>
      <c r="D9" s="263"/>
      <c r="E9" s="175" t="s">
        <v>894</v>
      </c>
      <c r="F9" s="176"/>
      <c r="G9" s="175"/>
      <c r="H9" s="175"/>
      <c r="I9" s="175"/>
      <c r="J9" s="179"/>
    </row>
    <row r="10" spans="1:10" ht="15.75" customHeight="1" x14ac:dyDescent="0.2">
      <c r="A10" s="2"/>
      <c r="B10" s="2"/>
      <c r="C10" s="2"/>
      <c r="D10" s="1"/>
      <c r="E10" s="1"/>
      <c r="F10" s="4"/>
      <c r="G10" s="1"/>
      <c r="H10" s="1"/>
      <c r="I10" s="1"/>
      <c r="J10" s="1"/>
    </row>
    <row r="11" spans="1:10" ht="19.5" customHeight="1" x14ac:dyDescent="0.2">
      <c r="A11" s="254" t="s">
        <v>26</v>
      </c>
      <c r="B11" s="255"/>
      <c r="C11" s="255"/>
      <c r="D11" s="255"/>
      <c r="E11" s="255"/>
      <c r="F11" s="255"/>
      <c r="G11" s="255"/>
      <c r="H11" s="255"/>
      <c r="I11" s="255"/>
      <c r="J11" s="6"/>
    </row>
    <row r="12" spans="1:10" ht="17.25" customHeight="1" x14ac:dyDescent="0.2">
      <c r="A12" s="12"/>
      <c r="B12" s="12"/>
      <c r="C12" s="12"/>
      <c r="D12" s="12"/>
      <c r="E12" s="12"/>
      <c r="F12" s="12"/>
      <c r="G12" s="12"/>
      <c r="H12" s="12"/>
      <c r="I12" s="12"/>
      <c r="J12" s="1"/>
    </row>
    <row r="13" spans="1:10" ht="16.5" customHeight="1" x14ac:dyDescent="0.2">
      <c r="A13" s="12"/>
      <c r="B13" s="13"/>
      <c r="C13" s="295" t="s">
        <v>7</v>
      </c>
      <c r="D13" s="295"/>
      <c r="E13" s="295"/>
      <c r="F13" s="295"/>
      <c r="G13" s="295"/>
      <c r="H13" s="295"/>
      <c r="I13" s="12"/>
      <c r="J13" s="1"/>
    </row>
    <row r="14" spans="1:10" ht="13.5" customHeight="1" x14ac:dyDescent="0.2">
      <c r="A14" s="12"/>
      <c r="B14" s="14"/>
      <c r="C14" s="296" t="s">
        <v>27</v>
      </c>
      <c r="D14" s="296"/>
      <c r="E14" s="296"/>
      <c r="F14" s="296"/>
      <c r="G14" s="296"/>
      <c r="H14" s="296"/>
      <c r="I14" s="12"/>
      <c r="J14" s="1"/>
    </row>
    <row r="15" spans="1:10" ht="19.5" customHeight="1" x14ac:dyDescent="0.2">
      <c r="A15" s="12"/>
      <c r="B15" s="12"/>
      <c r="C15" s="301" t="s">
        <v>8</v>
      </c>
      <c r="D15" s="302"/>
      <c r="E15" s="303"/>
      <c r="F15" s="17" t="s">
        <v>9</v>
      </c>
      <c r="G15" s="301" t="s">
        <v>10</v>
      </c>
      <c r="H15" s="303"/>
      <c r="I15" s="12"/>
      <c r="J15" s="1"/>
    </row>
    <row r="16" spans="1:10" ht="19.5" customHeight="1" x14ac:dyDescent="0.2">
      <c r="A16" s="12"/>
      <c r="B16" s="12"/>
      <c r="C16" s="293" t="s">
        <v>18</v>
      </c>
      <c r="D16" s="294"/>
      <c r="E16" s="292"/>
      <c r="F16" s="16" t="s">
        <v>19</v>
      </c>
      <c r="G16" s="291"/>
      <c r="H16" s="292"/>
      <c r="I16" s="12"/>
      <c r="J16" s="1"/>
    </row>
    <row r="17" spans="1:10" ht="19.5" customHeight="1" x14ac:dyDescent="0.2">
      <c r="A17" s="12"/>
      <c r="B17" s="12"/>
      <c r="C17" s="293" t="s">
        <v>20</v>
      </c>
      <c r="D17" s="294"/>
      <c r="E17" s="292"/>
      <c r="F17" s="16" t="s">
        <v>33</v>
      </c>
      <c r="G17" s="291"/>
      <c r="H17" s="292"/>
      <c r="I17" s="12"/>
      <c r="J17" s="1"/>
    </row>
    <row r="18" spans="1:10" ht="19.5" customHeight="1" x14ac:dyDescent="0.2">
      <c r="A18" s="12"/>
      <c r="B18" s="12"/>
      <c r="C18" s="293" t="s">
        <v>28</v>
      </c>
      <c r="D18" s="294"/>
      <c r="E18" s="292"/>
      <c r="F18" s="16" t="s">
        <v>21</v>
      </c>
      <c r="G18" s="291"/>
      <c r="H18" s="292"/>
      <c r="I18" s="12"/>
      <c r="J18" s="1"/>
    </row>
    <row r="19" spans="1:10" ht="19.5" customHeight="1" x14ac:dyDescent="0.2">
      <c r="A19" s="12"/>
      <c r="B19" s="12"/>
      <c r="C19" s="293" t="s">
        <v>22</v>
      </c>
      <c r="D19" s="294"/>
      <c r="E19" s="292"/>
      <c r="F19" s="16" t="s">
        <v>23</v>
      </c>
      <c r="G19" s="291"/>
      <c r="H19" s="292"/>
      <c r="I19" s="12"/>
      <c r="J19" s="1"/>
    </row>
    <row r="20" spans="1:10" ht="19.5" customHeight="1" x14ac:dyDescent="0.2">
      <c r="A20" s="12"/>
      <c r="B20" s="12"/>
      <c r="C20" s="293" t="s">
        <v>24</v>
      </c>
      <c r="D20" s="294"/>
      <c r="E20" s="292"/>
      <c r="F20" s="16" t="s">
        <v>25</v>
      </c>
      <c r="G20" s="291"/>
      <c r="H20" s="292"/>
      <c r="I20" s="12"/>
      <c r="J20" s="1"/>
    </row>
    <row r="21" spans="1:10" ht="19.5" customHeight="1" x14ac:dyDescent="0.2">
      <c r="A21" s="12"/>
      <c r="B21" s="12"/>
      <c r="C21" s="293" t="s">
        <v>29</v>
      </c>
      <c r="D21" s="294"/>
      <c r="E21" s="292"/>
      <c r="F21" s="16" t="s">
        <v>11</v>
      </c>
      <c r="G21" s="291"/>
      <c r="H21" s="292"/>
      <c r="I21" s="12"/>
      <c r="J21" s="1"/>
    </row>
    <row r="22" spans="1:10" ht="19.5" customHeight="1" x14ac:dyDescent="0.2">
      <c r="A22" s="12"/>
      <c r="B22" s="12"/>
      <c r="C22" s="293" t="s">
        <v>12</v>
      </c>
      <c r="D22" s="294"/>
      <c r="E22" s="292"/>
      <c r="F22" s="16" t="s">
        <v>13</v>
      </c>
      <c r="G22" s="291"/>
      <c r="H22" s="292"/>
      <c r="I22" s="12"/>
      <c r="J22" s="1"/>
    </row>
    <row r="23" spans="1:10" ht="19.5" customHeight="1" x14ac:dyDescent="0.2">
      <c r="A23" s="12"/>
      <c r="B23" s="12"/>
      <c r="C23" s="293" t="s">
        <v>865</v>
      </c>
      <c r="D23" s="294"/>
      <c r="E23" s="292"/>
      <c r="F23" s="16" t="s">
        <v>14</v>
      </c>
      <c r="G23" s="291"/>
      <c r="H23" s="292"/>
      <c r="I23" s="12"/>
      <c r="J23" s="1"/>
    </row>
    <row r="24" spans="1:10" ht="19.5" customHeight="1" x14ac:dyDescent="0.2">
      <c r="A24" s="12"/>
      <c r="B24" s="12"/>
      <c r="C24" s="254" t="s">
        <v>30</v>
      </c>
      <c r="D24" s="255"/>
      <c r="E24" s="256"/>
      <c r="F24" s="15" t="s">
        <v>15</v>
      </c>
      <c r="G24" s="305"/>
      <c r="H24" s="256"/>
      <c r="I24" s="12"/>
      <c r="J24" s="1"/>
    </row>
    <row r="25" spans="1:10" ht="19.5" customHeight="1" x14ac:dyDescent="0.2">
      <c r="A25" s="12"/>
      <c r="B25" s="12"/>
      <c r="C25" s="254" t="s">
        <v>16</v>
      </c>
      <c r="D25" s="255"/>
      <c r="E25" s="256"/>
      <c r="F25" s="15" t="s">
        <v>17</v>
      </c>
      <c r="G25" s="305"/>
      <c r="H25" s="306"/>
      <c r="I25" s="12"/>
      <c r="J25" s="1"/>
    </row>
    <row r="26" spans="1:10" ht="54" customHeight="1" x14ac:dyDescent="0.2">
      <c r="A26" s="12"/>
      <c r="B26" s="12"/>
      <c r="C26" s="299"/>
      <c r="D26" s="299"/>
      <c r="E26" s="299"/>
      <c r="F26" s="12"/>
      <c r="G26" s="300"/>
      <c r="H26" s="300"/>
      <c r="I26" s="12"/>
      <c r="J26" s="1"/>
    </row>
    <row r="27" spans="1:10" ht="19.5" customHeight="1" x14ac:dyDescent="0.2">
      <c r="A27" s="12"/>
      <c r="B27" s="298" t="s">
        <v>32</v>
      </c>
      <c r="C27" s="298"/>
      <c r="D27" s="298"/>
      <c r="E27" s="298"/>
      <c r="F27" s="298"/>
      <c r="G27" s="298"/>
      <c r="H27" s="298"/>
      <c r="I27" s="298"/>
      <c r="J27" s="298"/>
    </row>
    <row r="28" spans="1:10" ht="19.5" customHeight="1" x14ac:dyDescent="0.2">
      <c r="A28" s="19"/>
      <c r="B28" s="297" t="s">
        <v>183</v>
      </c>
      <c r="C28" s="297"/>
      <c r="D28" s="297"/>
      <c r="E28" s="297"/>
      <c r="F28" s="297"/>
      <c r="G28" s="297"/>
      <c r="H28" s="297"/>
      <c r="I28" s="297"/>
      <c r="J28" s="297"/>
    </row>
    <row r="29" spans="1:10" ht="19.5" customHeight="1" x14ac:dyDescent="0.2">
      <c r="A29" s="19"/>
      <c r="B29" s="297"/>
      <c r="C29" s="297"/>
      <c r="D29" s="297"/>
      <c r="E29" s="297"/>
      <c r="F29" s="297"/>
      <c r="G29" s="297"/>
      <c r="H29" s="297"/>
      <c r="I29" s="297"/>
      <c r="J29" s="297"/>
    </row>
    <row r="30" spans="1:10" ht="32.25" customHeight="1" x14ac:dyDescent="0.2">
      <c r="A30" s="12"/>
      <c r="B30" s="12"/>
      <c r="C30" s="18"/>
      <c r="D30" s="18"/>
      <c r="E30" s="18"/>
      <c r="F30" s="12"/>
      <c r="G30" s="12"/>
      <c r="H30" s="12"/>
      <c r="I30" s="12"/>
      <c r="J30" s="1"/>
    </row>
    <row r="31" spans="1:10" ht="38.25" customHeight="1" x14ac:dyDescent="0.2">
      <c r="A31" s="12"/>
      <c r="B31" s="12"/>
      <c r="C31" s="18"/>
      <c r="D31" s="18"/>
      <c r="E31" s="18"/>
      <c r="F31" s="12"/>
      <c r="G31" s="12"/>
      <c r="H31" s="12"/>
      <c r="I31" s="12"/>
      <c r="J31" s="1"/>
    </row>
    <row r="32" spans="1:10" ht="51.75" customHeight="1" x14ac:dyDescent="0.2">
      <c r="A32" s="12"/>
      <c r="B32" s="297" t="s">
        <v>185</v>
      </c>
      <c r="C32" s="297"/>
      <c r="D32" s="297"/>
      <c r="E32" s="297"/>
      <c r="F32" s="297"/>
      <c r="G32" s="297"/>
      <c r="H32" s="297"/>
      <c r="I32" s="297"/>
      <c r="J32" s="297"/>
    </row>
    <row r="33" spans="1:10" ht="18" customHeight="1" x14ac:dyDescent="0.2">
      <c r="A33" s="12"/>
      <c r="B33" s="297" t="s">
        <v>866</v>
      </c>
      <c r="C33" s="297"/>
      <c r="D33" s="297"/>
      <c r="E33" s="297"/>
      <c r="F33" s="297"/>
      <c r="G33" s="297"/>
      <c r="H33" s="297"/>
      <c r="I33" s="297"/>
      <c r="J33" s="297"/>
    </row>
    <row r="34" spans="1:10" ht="53.25" customHeight="1" x14ac:dyDescent="0.2">
      <c r="A34" s="12"/>
      <c r="B34" s="297"/>
      <c r="C34" s="297"/>
      <c r="D34" s="297"/>
      <c r="E34" s="297"/>
      <c r="F34" s="297"/>
      <c r="G34" s="297"/>
      <c r="H34" s="297"/>
      <c r="I34" s="297"/>
      <c r="J34" s="297"/>
    </row>
    <row r="35" spans="1:10" ht="19.5" customHeight="1" x14ac:dyDescent="0.2">
      <c r="A35" s="12"/>
      <c r="B35" s="12"/>
      <c r="C35" s="18"/>
      <c r="D35" s="296" t="s">
        <v>34</v>
      </c>
      <c r="E35" s="296"/>
      <c r="F35" s="296"/>
      <c r="G35" s="296"/>
      <c r="H35" s="296"/>
      <c r="I35" s="12"/>
      <c r="J35" s="1"/>
    </row>
    <row r="36" spans="1:10" ht="24" customHeight="1" x14ac:dyDescent="0.2">
      <c r="A36" s="12"/>
      <c r="B36" s="12"/>
      <c r="C36" s="18"/>
      <c r="D36" s="20" t="s">
        <v>35</v>
      </c>
      <c r="E36" s="20" t="s">
        <v>36</v>
      </c>
      <c r="F36" s="20" t="s">
        <v>37</v>
      </c>
      <c r="G36" s="307" t="s">
        <v>38</v>
      </c>
      <c r="H36" s="307"/>
      <c r="I36" s="12"/>
      <c r="J36" s="1"/>
    </row>
    <row r="37" spans="1:10" ht="19.5" customHeight="1" x14ac:dyDescent="0.2">
      <c r="A37" s="12"/>
      <c r="B37" s="12"/>
      <c r="C37" s="18"/>
      <c r="D37" s="16" t="s">
        <v>39</v>
      </c>
      <c r="E37" s="21">
        <f>G24</f>
        <v>0</v>
      </c>
      <c r="F37" s="22"/>
      <c r="G37" s="308"/>
      <c r="H37" s="308"/>
      <c r="I37" s="12"/>
      <c r="J37" s="1"/>
    </row>
    <row r="38" spans="1:10" ht="19.5" customHeight="1" x14ac:dyDescent="0.2">
      <c r="A38" s="12"/>
      <c r="B38" s="12"/>
      <c r="C38" s="18"/>
      <c r="D38" s="16" t="s">
        <v>40</v>
      </c>
      <c r="E38" s="21">
        <f>G25</f>
        <v>0</v>
      </c>
      <c r="F38" s="22"/>
      <c r="G38" s="309"/>
      <c r="H38" s="309"/>
      <c r="I38" s="12"/>
      <c r="J38" s="1"/>
    </row>
    <row r="39" spans="1:10" ht="17.25" customHeight="1" x14ac:dyDescent="0.2">
      <c r="A39" s="12"/>
      <c r="B39" s="12"/>
      <c r="C39" s="18"/>
      <c r="D39" s="18"/>
      <c r="E39" s="23"/>
      <c r="F39" s="24"/>
      <c r="G39" s="24"/>
      <c r="H39" s="24"/>
      <c r="I39" s="12"/>
      <c r="J39" s="1"/>
    </row>
    <row r="40" spans="1:10" ht="64.5" customHeight="1" x14ac:dyDescent="0.2">
      <c r="A40" s="2"/>
      <c r="B40" s="297" t="s">
        <v>349</v>
      </c>
      <c r="C40" s="304"/>
      <c r="D40" s="304"/>
      <c r="E40" s="304"/>
      <c r="F40" s="304"/>
      <c r="G40" s="304"/>
      <c r="H40" s="304"/>
      <c r="I40" s="304"/>
      <c r="J40" s="304"/>
    </row>
    <row r="41" spans="1:10" ht="61.5" customHeight="1" x14ac:dyDescent="0.2">
      <c r="A41" s="7"/>
      <c r="B41" s="7"/>
      <c r="C41" s="7"/>
      <c r="D41" s="9"/>
      <c r="E41" s="7"/>
      <c r="F41" s="8"/>
      <c r="G41" s="7"/>
      <c r="H41" s="7"/>
      <c r="I41" s="7"/>
      <c r="J41" s="1"/>
    </row>
    <row r="42" spans="1:10" ht="14.25" customHeight="1" x14ac:dyDescent="0.2">
      <c r="A42" s="7"/>
      <c r="B42" s="279" t="s">
        <v>210</v>
      </c>
      <c r="C42" s="279"/>
      <c r="D42" s="250" t="s">
        <v>4</v>
      </c>
      <c r="E42" s="250"/>
      <c r="F42" s="250"/>
      <c r="G42" s="250"/>
      <c r="H42" s="279"/>
      <c r="I42" s="279"/>
      <c r="J42" s="279"/>
    </row>
    <row r="43" spans="1:10" x14ac:dyDescent="0.2">
      <c r="A43" s="7"/>
      <c r="B43" s="280" t="s">
        <v>3</v>
      </c>
      <c r="C43" s="280"/>
      <c r="D43" s="253" t="s">
        <v>6</v>
      </c>
      <c r="E43" s="253"/>
      <c r="F43" s="253"/>
      <c r="G43" s="253"/>
      <c r="H43" s="11" t="s">
        <v>5</v>
      </c>
      <c r="I43" s="7"/>
      <c r="J43" s="1"/>
    </row>
    <row r="44" spans="1:10" x14ac:dyDescent="0.2">
      <c r="A44" s="7"/>
      <c r="B44" s="10"/>
      <c r="C44" s="7"/>
      <c r="D44" s="248"/>
      <c r="E44" s="248"/>
      <c r="F44" s="248"/>
      <c r="G44" s="248"/>
      <c r="H44" s="7"/>
      <c r="I44" s="7"/>
      <c r="J44" s="1"/>
    </row>
    <row r="45" spans="1:10" ht="14.25" customHeight="1" x14ac:dyDescent="0.2">
      <c r="A45" s="7"/>
      <c r="B45" s="10"/>
      <c r="C45" s="7"/>
      <c r="D45" s="248"/>
      <c r="E45" s="248"/>
      <c r="F45" s="248"/>
      <c r="G45" s="248"/>
      <c r="H45" s="7"/>
      <c r="I45" s="7"/>
      <c r="J45" s="1"/>
    </row>
    <row r="46" spans="1:10" x14ac:dyDescent="0.2">
      <c r="A46" s="7"/>
      <c r="B46" s="10"/>
      <c r="C46" s="7"/>
      <c r="D46" s="248"/>
      <c r="E46" s="248"/>
      <c r="F46" s="248"/>
      <c r="G46" s="248"/>
      <c r="H46" s="7"/>
      <c r="I46" s="7"/>
      <c r="J46" s="1"/>
    </row>
  </sheetData>
  <mergeCells count="52">
    <mergeCell ref="E8:J8"/>
    <mergeCell ref="B40:J40"/>
    <mergeCell ref="C24:E24"/>
    <mergeCell ref="C25:E25"/>
    <mergeCell ref="G22:H22"/>
    <mergeCell ref="G23:H23"/>
    <mergeCell ref="G24:H24"/>
    <mergeCell ref="G25:H25"/>
    <mergeCell ref="D35:H35"/>
    <mergeCell ref="G36:H36"/>
    <mergeCell ref="G37:H37"/>
    <mergeCell ref="G38:H38"/>
    <mergeCell ref="B32:J32"/>
    <mergeCell ref="D46:G46"/>
    <mergeCell ref="D43:G43"/>
    <mergeCell ref="D44:G44"/>
    <mergeCell ref="D45:G45"/>
    <mergeCell ref="B42:C42"/>
    <mergeCell ref="B43:C43"/>
    <mergeCell ref="D42:G42"/>
    <mergeCell ref="C2:H2"/>
    <mergeCell ref="C3:H3"/>
    <mergeCell ref="C4:H4"/>
    <mergeCell ref="C5:H5"/>
    <mergeCell ref="C26:E26"/>
    <mergeCell ref="G26:H26"/>
    <mergeCell ref="C15:E15"/>
    <mergeCell ref="C16:E16"/>
    <mergeCell ref="C17:E17"/>
    <mergeCell ref="C18:E18"/>
    <mergeCell ref="C19:E19"/>
    <mergeCell ref="G21:H21"/>
    <mergeCell ref="G15:H15"/>
    <mergeCell ref="G16:H16"/>
    <mergeCell ref="A11:I11"/>
    <mergeCell ref="C20:E20"/>
    <mergeCell ref="H42:J42"/>
    <mergeCell ref="A7:D7"/>
    <mergeCell ref="A8:D8"/>
    <mergeCell ref="A9:D9"/>
    <mergeCell ref="G17:H17"/>
    <mergeCell ref="G18:H18"/>
    <mergeCell ref="C21:E21"/>
    <mergeCell ref="C13:H13"/>
    <mergeCell ref="C14:H14"/>
    <mergeCell ref="B33:J34"/>
    <mergeCell ref="B28:J29"/>
    <mergeCell ref="G20:H20"/>
    <mergeCell ref="G19:H19"/>
    <mergeCell ref="C22:E22"/>
    <mergeCell ref="C23:E23"/>
    <mergeCell ref="B27:J27"/>
  </mergeCells>
  <pageMargins left="0.70866141732283472" right="0.70866141732283472" top="0.74803149606299213" bottom="0.74803149606299213" header="0.31496062992125984" footer="0.31496062992125984"/>
  <pageSetup paperSize="9" scale="58" fitToHeight="0" orientation="portrait" r:id="rId1"/>
  <headerFooter>
    <oddHeader xml:space="preserve">&amp;L
 &amp;C &amp;R
</oddHeader>
    <oddFooter>&amp;L &amp;C &amp;R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38"/>
  <sheetViews>
    <sheetView showOutlineSymbols="0" showWhiteSpace="0" zoomScaleNormal="100" workbookViewId="0">
      <selection activeCell="E15" sqref="E15"/>
    </sheetView>
  </sheetViews>
  <sheetFormatPr defaultRowHeight="14.25" x14ac:dyDescent="0.2"/>
  <cols>
    <col min="1" max="1" width="3" style="1" customWidth="1"/>
    <col min="2" max="2" width="9" style="3" customWidth="1"/>
    <col min="3" max="3" width="36.625" style="127" customWidth="1"/>
    <col min="4" max="4" width="17.375" style="3" customWidth="1"/>
    <col min="5" max="5" width="27" style="162" customWidth="1"/>
    <col min="6" max="6" width="31" style="162" customWidth="1"/>
    <col min="7" max="7" width="2.875" style="1" customWidth="1"/>
  </cols>
  <sheetData>
    <row r="1" spans="2:6" x14ac:dyDescent="0.2">
      <c r="B1" s="2"/>
      <c r="C1" s="137"/>
      <c r="D1" s="2"/>
      <c r="E1" s="157"/>
      <c r="F1" s="157"/>
    </row>
    <row r="2" spans="2:6" x14ac:dyDescent="0.2">
      <c r="B2" s="2"/>
      <c r="C2" s="137"/>
      <c r="D2" s="25" t="s">
        <v>0</v>
      </c>
      <c r="E2" s="157"/>
      <c r="F2" s="25"/>
    </row>
    <row r="3" spans="2:6" x14ac:dyDescent="0.2">
      <c r="B3" s="2"/>
      <c r="C3" s="137"/>
      <c r="D3" s="25" t="s">
        <v>322</v>
      </c>
      <c r="E3" s="157"/>
      <c r="F3" s="25"/>
    </row>
    <row r="4" spans="2:6" x14ac:dyDescent="0.2">
      <c r="B4" s="2"/>
      <c r="C4" s="137"/>
      <c r="D4" s="25" t="s">
        <v>1</v>
      </c>
      <c r="E4" s="157"/>
      <c r="F4" s="25"/>
    </row>
    <row r="5" spans="2:6" x14ac:dyDescent="0.2">
      <c r="B5" s="2"/>
      <c r="C5" s="137"/>
      <c r="D5" s="25" t="s">
        <v>2</v>
      </c>
      <c r="E5" s="157"/>
      <c r="F5" s="25"/>
    </row>
    <row r="6" spans="2:6" ht="14.25" customHeight="1" thickBot="1" x14ac:dyDescent="0.25">
      <c r="B6" s="2"/>
      <c r="C6" s="137"/>
      <c r="D6" s="2"/>
      <c r="E6" s="157"/>
      <c r="F6" s="157"/>
    </row>
    <row r="7" spans="2:6" x14ac:dyDescent="0.2">
      <c r="B7" s="180" t="s">
        <v>326</v>
      </c>
      <c r="C7" s="158"/>
      <c r="D7" s="171"/>
      <c r="E7" s="158" t="s">
        <v>871</v>
      </c>
      <c r="F7" s="163"/>
    </row>
    <row r="8" spans="2:6" x14ac:dyDescent="0.2">
      <c r="B8" s="124" t="s">
        <v>329</v>
      </c>
      <c r="C8" s="26"/>
      <c r="D8" s="181"/>
      <c r="E8" s="264" t="s">
        <v>868</v>
      </c>
      <c r="F8" s="311"/>
    </row>
    <row r="9" spans="2:6" ht="15" thickBot="1" x14ac:dyDescent="0.25">
      <c r="B9" s="174" t="s">
        <v>802</v>
      </c>
      <c r="C9" s="182"/>
      <c r="D9" s="175"/>
      <c r="E9" s="159" t="s">
        <v>894</v>
      </c>
      <c r="F9" s="164"/>
    </row>
    <row r="10" spans="2:6" x14ac:dyDescent="0.2">
      <c r="B10" s="2"/>
      <c r="C10" s="137"/>
      <c r="D10" s="2"/>
      <c r="E10" s="157"/>
      <c r="F10" s="157"/>
    </row>
    <row r="11" spans="2:6" ht="19.5" customHeight="1" x14ac:dyDescent="0.2">
      <c r="B11" s="27"/>
      <c r="C11" s="255" t="s">
        <v>182</v>
      </c>
      <c r="D11" s="255"/>
      <c r="E11" s="255"/>
      <c r="F11" s="256"/>
    </row>
    <row r="12" spans="2:6" ht="22.5" customHeight="1" x14ac:dyDescent="0.2">
      <c r="B12" s="2"/>
      <c r="C12" s="137"/>
      <c r="D12" s="2"/>
      <c r="E12" s="157"/>
      <c r="F12" s="157"/>
    </row>
    <row r="13" spans="2:6" ht="15" x14ac:dyDescent="0.2">
      <c r="B13" s="134" t="s">
        <v>174</v>
      </c>
      <c r="C13" s="138" t="s">
        <v>154</v>
      </c>
      <c r="D13" s="134" t="s">
        <v>181</v>
      </c>
      <c r="E13" s="133" t="s">
        <v>180</v>
      </c>
      <c r="F13" s="133" t="s">
        <v>179</v>
      </c>
    </row>
    <row r="14" spans="2:6" ht="29.25" customHeight="1" thickBot="1" x14ac:dyDescent="0.25">
      <c r="B14" s="214" t="s">
        <v>172</v>
      </c>
      <c r="C14" s="214" t="s">
        <v>113</v>
      </c>
      <c r="D14" s="215"/>
      <c r="E14" s="245"/>
      <c r="F14" s="215"/>
    </row>
    <row r="15" spans="2:6" ht="30" customHeight="1" thickTop="1" thickBot="1" x14ac:dyDescent="0.25">
      <c r="B15" s="214" t="s">
        <v>171</v>
      </c>
      <c r="C15" s="214" t="s">
        <v>683</v>
      </c>
      <c r="D15" s="215"/>
      <c r="E15" s="245"/>
      <c r="F15" s="245"/>
    </row>
    <row r="16" spans="2:6" ht="31.5" customHeight="1" thickTop="1" thickBot="1" x14ac:dyDescent="0.25">
      <c r="B16" s="214" t="s">
        <v>170</v>
      </c>
      <c r="C16" s="214" t="s">
        <v>692</v>
      </c>
      <c r="D16" s="215"/>
      <c r="E16" s="245"/>
      <c r="F16" s="245"/>
    </row>
    <row r="17" spans="2:6" ht="29.25" customHeight="1" thickTop="1" thickBot="1" x14ac:dyDescent="0.25">
      <c r="B17" s="214" t="s">
        <v>169</v>
      </c>
      <c r="C17" s="214" t="s">
        <v>165</v>
      </c>
      <c r="D17" s="215"/>
      <c r="E17" s="215"/>
      <c r="F17" s="245"/>
    </row>
    <row r="18" spans="2:6" ht="30.75" customHeight="1" thickTop="1" thickBot="1" x14ac:dyDescent="0.25">
      <c r="B18" s="214" t="s">
        <v>168</v>
      </c>
      <c r="C18" s="214" t="s">
        <v>161</v>
      </c>
      <c r="D18" s="215"/>
      <c r="E18" s="245"/>
      <c r="F18" s="215"/>
    </row>
    <row r="19" spans="2:6" ht="15.75" thickTop="1" thickBot="1" x14ac:dyDescent="0.25">
      <c r="B19" s="214" t="s">
        <v>167</v>
      </c>
      <c r="C19" s="214" t="s">
        <v>370</v>
      </c>
      <c r="D19" s="215"/>
      <c r="E19" s="245"/>
      <c r="F19" s="245"/>
    </row>
    <row r="20" spans="2:6" ht="30.75" customHeight="1" thickTop="1" thickBot="1" x14ac:dyDescent="0.25">
      <c r="B20" s="214" t="s">
        <v>166</v>
      </c>
      <c r="C20" s="214" t="s">
        <v>66</v>
      </c>
      <c r="D20" s="215"/>
      <c r="E20" s="245"/>
      <c r="F20" s="245"/>
    </row>
    <row r="21" spans="2:6" ht="30" customHeight="1" thickTop="1" thickBot="1" x14ac:dyDescent="0.25">
      <c r="B21" s="214" t="s">
        <v>164</v>
      </c>
      <c r="C21" s="214" t="s">
        <v>756</v>
      </c>
      <c r="D21" s="215"/>
      <c r="E21" s="245"/>
      <c r="F21" s="215"/>
    </row>
    <row r="22" spans="2:6" ht="32.25" customHeight="1" thickTop="1" thickBot="1" x14ac:dyDescent="0.25">
      <c r="B22" s="214" t="s">
        <v>163</v>
      </c>
      <c r="C22" s="214" t="s">
        <v>761</v>
      </c>
      <c r="D22" s="215"/>
      <c r="E22" s="245"/>
      <c r="F22" s="245"/>
    </row>
    <row r="23" spans="2:6" ht="29.25" customHeight="1" thickTop="1" thickBot="1" x14ac:dyDescent="0.25">
      <c r="B23" s="214" t="s">
        <v>162</v>
      </c>
      <c r="C23" s="214" t="s">
        <v>61</v>
      </c>
      <c r="D23" s="215"/>
      <c r="E23" s="245"/>
      <c r="F23" s="245"/>
    </row>
    <row r="24" spans="2:6" ht="30.75" customHeight="1" thickTop="1" thickBot="1" x14ac:dyDescent="0.25">
      <c r="B24" s="214" t="s">
        <v>160</v>
      </c>
      <c r="C24" s="214" t="s">
        <v>158</v>
      </c>
      <c r="D24" s="215"/>
      <c r="E24" s="245"/>
      <c r="F24" s="245"/>
    </row>
    <row r="25" spans="2:6" ht="31.5" customHeight="1" thickTop="1" thickBot="1" x14ac:dyDescent="0.25">
      <c r="B25" s="214" t="s">
        <v>159</v>
      </c>
      <c r="C25" s="214" t="s">
        <v>49</v>
      </c>
      <c r="D25" s="215"/>
      <c r="E25" s="215"/>
      <c r="F25" s="245"/>
    </row>
    <row r="26" spans="2:6" ht="15" thickTop="1" x14ac:dyDescent="0.2">
      <c r="B26" s="267" t="s">
        <v>94</v>
      </c>
      <c r="C26" s="267"/>
      <c r="D26" s="240"/>
      <c r="E26" s="240"/>
      <c r="F26" s="240"/>
    </row>
    <row r="27" spans="2:6" ht="16.5" customHeight="1" x14ac:dyDescent="0.2">
      <c r="B27" s="267" t="s">
        <v>178</v>
      </c>
      <c r="C27" s="267"/>
      <c r="D27" s="240"/>
      <c r="E27" s="240"/>
      <c r="F27" s="240"/>
    </row>
    <row r="28" spans="2:6" ht="14.25" customHeight="1" x14ac:dyDescent="0.2">
      <c r="B28" s="267" t="s">
        <v>177</v>
      </c>
      <c r="C28" s="267"/>
      <c r="D28" s="240"/>
      <c r="E28" s="240"/>
      <c r="F28" s="240"/>
    </row>
    <row r="29" spans="2:6" ht="17.25" customHeight="1" x14ac:dyDescent="0.2">
      <c r="B29" s="267" t="s">
        <v>176</v>
      </c>
      <c r="C29" s="267"/>
      <c r="D29" s="240"/>
      <c r="E29" s="240"/>
      <c r="F29" s="240"/>
    </row>
    <row r="30" spans="2:6" x14ac:dyDescent="0.2">
      <c r="B30" s="2"/>
      <c r="C30" s="137"/>
      <c r="D30" s="2"/>
      <c r="E30" s="157"/>
      <c r="F30" s="157"/>
    </row>
    <row r="31" spans="2:6" ht="81" customHeight="1" x14ac:dyDescent="0.2">
      <c r="B31" s="7"/>
      <c r="C31" s="120"/>
      <c r="D31" s="119"/>
      <c r="E31" s="160"/>
      <c r="F31" s="160"/>
    </row>
    <row r="32" spans="2:6" ht="13.5" customHeight="1" x14ac:dyDescent="0.2">
      <c r="B32" s="7"/>
      <c r="C32" s="120"/>
      <c r="D32" s="312"/>
      <c r="E32" s="312"/>
      <c r="F32" s="160"/>
    </row>
    <row r="33" spans="2:6" ht="13.5" customHeight="1" x14ac:dyDescent="0.2">
      <c r="B33" s="136" t="s">
        <v>210</v>
      </c>
      <c r="C33" s="106"/>
      <c r="D33" s="313"/>
      <c r="E33" s="313"/>
      <c r="F33" s="246"/>
    </row>
    <row r="34" spans="2:6" ht="13.5" customHeight="1" x14ac:dyDescent="0.2">
      <c r="B34" s="131" t="s">
        <v>3</v>
      </c>
      <c r="C34" s="132"/>
      <c r="D34" s="314" t="s">
        <v>6</v>
      </c>
      <c r="E34" s="314"/>
      <c r="F34" s="247" t="s">
        <v>5</v>
      </c>
    </row>
    <row r="35" spans="2:6" ht="12" customHeight="1" x14ac:dyDescent="0.2">
      <c r="B35" s="7"/>
      <c r="C35" s="139"/>
      <c r="D35" s="310"/>
      <c r="E35" s="310"/>
      <c r="F35" s="165"/>
    </row>
    <row r="36" spans="2:6" ht="13.5" customHeight="1" x14ac:dyDescent="0.2">
      <c r="B36" s="7"/>
      <c r="C36" s="132"/>
      <c r="D36" s="310"/>
      <c r="E36" s="310"/>
      <c r="F36" s="165"/>
    </row>
    <row r="37" spans="2:6" ht="13.5" customHeight="1" x14ac:dyDescent="0.2">
      <c r="B37" s="7"/>
      <c r="C37" s="132"/>
      <c r="D37" s="310"/>
      <c r="E37" s="310"/>
      <c r="F37" s="165"/>
    </row>
    <row r="38" spans="2:6" x14ac:dyDescent="0.2">
      <c r="D38" s="130"/>
      <c r="E38" s="161"/>
    </row>
  </sheetData>
  <mergeCells count="11">
    <mergeCell ref="D36:E36"/>
    <mergeCell ref="D37:E37"/>
    <mergeCell ref="E8:F8"/>
    <mergeCell ref="C11:F11"/>
    <mergeCell ref="B26:C26"/>
    <mergeCell ref="B27:C27"/>
    <mergeCell ref="B28:C28"/>
    <mergeCell ref="B29:C29"/>
    <mergeCell ref="D32:E33"/>
    <mergeCell ref="D34:E34"/>
    <mergeCell ref="D35:E35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r:id="rId1"/>
  <headerFooter>
    <oddHeader xml:space="preserve">&amp;L
 &amp;C &amp;R
</oddHeader>
    <oddFooter>&amp;L &amp;C &amp;R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AM704"/>
  <sheetViews>
    <sheetView zoomScaleNormal="100" zoomScaleSheetLayoutView="100" workbookViewId="0">
      <selection activeCell="L96" sqref="L96"/>
    </sheetView>
  </sheetViews>
  <sheetFormatPr defaultColWidth="9" defaultRowHeight="12.75" x14ac:dyDescent="0.2"/>
  <cols>
    <col min="1" max="1" width="2.75" style="28" customWidth="1"/>
    <col min="2" max="2" width="4.375" style="28" customWidth="1"/>
    <col min="3" max="3" width="14.125" style="28" customWidth="1"/>
    <col min="4" max="4" width="23.375" style="28" customWidth="1"/>
    <col min="5" max="5" width="10.5" style="28" customWidth="1"/>
    <col min="6" max="6" width="5.25" style="28" customWidth="1"/>
    <col min="7" max="7" width="10.375" style="28" customWidth="1"/>
    <col min="8" max="8" width="9.125" style="28" customWidth="1"/>
    <col min="9" max="9" width="10.875" style="28" customWidth="1"/>
    <col min="10" max="10" width="8.375" style="28" customWidth="1"/>
    <col min="11" max="11" width="6.875" style="28" customWidth="1"/>
    <col min="12" max="13" width="7.375" style="28" customWidth="1"/>
    <col min="14" max="14" width="6.625" style="28" customWidth="1"/>
    <col min="15" max="15" width="7.5" style="28" customWidth="1"/>
    <col min="16" max="16" width="4.75" style="28" customWidth="1"/>
    <col min="17" max="17" width="2.125" style="28" customWidth="1"/>
    <col min="18" max="18" width="9" style="28"/>
    <col min="19" max="19" width="7.25" style="28" customWidth="1"/>
    <col min="20" max="20" width="4.875" style="28" customWidth="1"/>
    <col min="21" max="21" width="3.875" style="28" customWidth="1"/>
    <col min="22" max="22" width="4.625" style="28" customWidth="1"/>
    <col min="23" max="23" width="2.5" style="28" customWidth="1"/>
    <col min="24" max="24" width="17.375" style="28" customWidth="1"/>
    <col min="25" max="16384" width="9" style="28"/>
  </cols>
  <sheetData>
    <row r="1" spans="2:39" x14ac:dyDescent="0.2">
      <c r="B1" s="93"/>
      <c r="C1" s="92"/>
      <c r="D1" s="102"/>
      <c r="E1" s="29"/>
      <c r="F1" s="29"/>
      <c r="G1" s="29"/>
      <c r="H1" s="29"/>
      <c r="I1" s="62"/>
      <c r="J1" s="53"/>
      <c r="K1" s="62"/>
      <c r="L1" s="51"/>
      <c r="M1" s="62"/>
      <c r="N1" s="29"/>
      <c r="O1" s="62"/>
      <c r="P1" s="29"/>
      <c r="Q1" s="29"/>
      <c r="R1" s="62"/>
      <c r="S1" s="51"/>
      <c r="T1" s="62"/>
      <c r="U1" s="29"/>
      <c r="V1" s="29"/>
      <c r="W1" s="29"/>
      <c r="X1" s="29"/>
    </row>
    <row r="2" spans="2:39" x14ac:dyDescent="0.2">
      <c r="B2" s="315" t="s">
        <v>117</v>
      </c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</row>
    <row r="3" spans="2:39" x14ac:dyDescent="0.2">
      <c r="B3" s="315" t="s">
        <v>322</v>
      </c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5"/>
      <c r="N3" s="315"/>
      <c r="O3" s="315"/>
      <c r="P3" s="315"/>
      <c r="Q3" s="315"/>
      <c r="R3" s="315"/>
      <c r="S3" s="315"/>
      <c r="T3" s="315"/>
      <c r="U3" s="315"/>
      <c r="V3" s="315"/>
      <c r="W3" s="315"/>
      <c r="X3" s="315"/>
    </row>
    <row r="4" spans="2:39" x14ac:dyDescent="0.2">
      <c r="B4" s="315" t="s">
        <v>116</v>
      </c>
      <c r="C4" s="315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5"/>
      <c r="T4" s="315"/>
      <c r="U4" s="315"/>
      <c r="V4" s="315"/>
      <c r="W4" s="315"/>
      <c r="X4" s="315"/>
    </row>
    <row r="5" spans="2:39" x14ac:dyDescent="0.2">
      <c r="B5" s="315" t="s">
        <v>2</v>
      </c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5"/>
      <c r="R5" s="315"/>
      <c r="S5" s="315"/>
      <c r="T5" s="315"/>
      <c r="U5" s="315"/>
      <c r="V5" s="315"/>
      <c r="W5" s="315"/>
      <c r="X5" s="315"/>
    </row>
    <row r="6" spans="2:39" ht="13.5" thickBot="1" x14ac:dyDescent="0.25">
      <c r="B6" s="316"/>
      <c r="C6" s="316"/>
      <c r="D6" s="316"/>
      <c r="E6" s="316"/>
      <c r="F6" s="316"/>
      <c r="G6" s="316"/>
      <c r="H6" s="316"/>
      <c r="I6" s="316"/>
      <c r="J6" s="316"/>
      <c r="K6" s="316"/>
      <c r="L6" s="316"/>
      <c r="M6" s="316"/>
      <c r="N6" s="316"/>
      <c r="O6" s="316"/>
      <c r="P6" s="316"/>
      <c r="Q6" s="316"/>
      <c r="R6" s="316"/>
      <c r="S6" s="316"/>
      <c r="T6" s="316"/>
      <c r="U6" s="316"/>
      <c r="V6" s="316"/>
      <c r="W6" s="316"/>
      <c r="X6" s="316"/>
    </row>
    <row r="7" spans="2:39" x14ac:dyDescent="0.2">
      <c r="B7" s="183" t="s">
        <v>324</v>
      </c>
      <c r="C7" s="104"/>
      <c r="D7" s="184"/>
      <c r="E7" s="184"/>
      <c r="F7" s="184"/>
      <c r="G7" s="184"/>
      <c r="H7" s="184"/>
      <c r="I7" s="185" t="s">
        <v>872</v>
      </c>
      <c r="J7" s="184"/>
      <c r="K7" s="184"/>
      <c r="L7" s="185"/>
      <c r="M7" s="184"/>
      <c r="N7" s="184"/>
      <c r="O7" s="184"/>
      <c r="P7" s="184"/>
      <c r="Q7" s="184"/>
      <c r="R7" s="184"/>
      <c r="S7" s="184"/>
      <c r="T7" s="184"/>
      <c r="U7" s="184"/>
      <c r="V7" s="184"/>
      <c r="W7" s="184"/>
      <c r="X7" s="186"/>
    </row>
    <row r="8" spans="2:39" x14ac:dyDescent="0.2">
      <c r="B8" s="322" t="s">
        <v>325</v>
      </c>
      <c r="C8" s="323"/>
      <c r="D8" s="323"/>
      <c r="E8" s="323"/>
      <c r="F8" s="323"/>
      <c r="G8" s="323"/>
      <c r="H8" s="323"/>
      <c r="I8" s="320" t="s">
        <v>862</v>
      </c>
      <c r="J8" s="320"/>
      <c r="K8" s="320"/>
      <c r="L8" s="320"/>
      <c r="M8" s="320"/>
      <c r="N8" s="320"/>
      <c r="O8" s="320"/>
      <c r="P8" s="320"/>
      <c r="Q8" s="320"/>
      <c r="R8" s="320"/>
      <c r="S8" s="320"/>
      <c r="T8" s="320"/>
      <c r="U8" s="320"/>
      <c r="V8" s="320"/>
      <c r="W8" s="320"/>
      <c r="X8" s="321"/>
    </row>
    <row r="9" spans="2:39" ht="13.5" thickBot="1" x14ac:dyDescent="0.25">
      <c r="B9" s="187" t="s">
        <v>568</v>
      </c>
      <c r="C9" s="188"/>
      <c r="D9" s="189"/>
      <c r="E9" s="189"/>
      <c r="F9" s="189"/>
      <c r="G9" s="189"/>
      <c r="H9" s="189"/>
      <c r="I9" s="190" t="s">
        <v>870</v>
      </c>
      <c r="J9" s="189"/>
      <c r="K9" s="189"/>
      <c r="L9" s="190"/>
      <c r="M9" s="189"/>
      <c r="N9" s="189"/>
      <c r="O9" s="191"/>
      <c r="P9" s="189"/>
      <c r="Q9" s="189"/>
      <c r="R9" s="191"/>
      <c r="S9" s="189"/>
      <c r="T9" s="189"/>
      <c r="U9" s="189"/>
      <c r="V9" s="189"/>
      <c r="W9" s="189"/>
      <c r="X9" s="192"/>
    </row>
    <row r="10" spans="2:39" x14ac:dyDescent="0.2">
      <c r="B10" s="93"/>
      <c r="C10" s="92"/>
      <c r="D10" s="102"/>
      <c r="E10" s="29"/>
      <c r="F10" s="29"/>
      <c r="G10" s="29"/>
      <c r="H10" s="29"/>
      <c r="I10" s="62"/>
      <c r="J10" s="53"/>
      <c r="K10" s="62"/>
      <c r="L10" s="51"/>
      <c r="M10" s="62"/>
      <c r="N10" s="29"/>
      <c r="O10" s="62"/>
      <c r="P10" s="29"/>
      <c r="Q10" s="29"/>
      <c r="R10" s="62"/>
      <c r="S10" s="51"/>
      <c r="T10" s="62"/>
      <c r="U10" s="29"/>
      <c r="V10" s="29"/>
      <c r="W10" s="29"/>
      <c r="X10" s="29"/>
    </row>
    <row r="11" spans="2:39" ht="18.75" x14ac:dyDescent="0.2">
      <c r="B11" s="317" t="s">
        <v>115</v>
      </c>
      <c r="C11" s="318"/>
      <c r="D11" s="318"/>
      <c r="E11" s="318"/>
      <c r="F11" s="318"/>
      <c r="G11" s="318"/>
      <c r="H11" s="318"/>
      <c r="I11" s="318"/>
      <c r="J11" s="318"/>
      <c r="K11" s="318"/>
      <c r="L11" s="318"/>
      <c r="M11" s="318"/>
      <c r="N11" s="318"/>
      <c r="O11" s="318"/>
      <c r="P11" s="318"/>
      <c r="Q11" s="318"/>
      <c r="R11" s="318"/>
      <c r="S11" s="318"/>
      <c r="T11" s="318"/>
      <c r="U11" s="318"/>
      <c r="V11" s="318"/>
      <c r="W11" s="318"/>
      <c r="X11" s="319"/>
    </row>
    <row r="12" spans="2:39" ht="11.25" customHeight="1" x14ac:dyDescent="0.2"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</row>
    <row r="13" spans="2:39" x14ac:dyDescent="0.2">
      <c r="B13" s="328" t="s">
        <v>863</v>
      </c>
      <c r="C13" s="328"/>
      <c r="D13" s="328"/>
      <c r="E13" s="328"/>
      <c r="F13" s="328"/>
      <c r="G13" s="328"/>
      <c r="H13" s="328"/>
      <c r="I13" s="328"/>
      <c r="J13" s="328"/>
      <c r="K13" s="328"/>
      <c r="L13" s="328"/>
      <c r="M13" s="328"/>
      <c r="N13" s="328"/>
      <c r="O13" s="328"/>
      <c r="P13" s="328"/>
      <c r="Q13" s="328"/>
      <c r="R13" s="328"/>
      <c r="S13" s="328"/>
      <c r="T13" s="328"/>
      <c r="U13" s="328"/>
      <c r="V13" s="328"/>
      <c r="W13" s="328"/>
      <c r="X13" s="328"/>
    </row>
    <row r="14" spans="2:39" ht="16.5" customHeight="1" x14ac:dyDescent="0.2">
      <c r="B14" s="328" t="s">
        <v>861</v>
      </c>
      <c r="C14" s="328"/>
      <c r="D14" s="328"/>
      <c r="E14" s="328"/>
      <c r="F14" s="328"/>
      <c r="G14" s="328"/>
      <c r="H14" s="328"/>
      <c r="I14" s="328"/>
      <c r="J14" s="328"/>
      <c r="K14" s="328"/>
      <c r="L14" s="328"/>
      <c r="M14" s="328"/>
      <c r="N14" s="328"/>
      <c r="O14" s="328"/>
      <c r="P14" s="328"/>
      <c r="Q14" s="328"/>
      <c r="R14" s="328"/>
      <c r="S14" s="328"/>
      <c r="T14" s="328"/>
      <c r="U14" s="328"/>
      <c r="V14" s="328"/>
      <c r="W14" s="328"/>
      <c r="X14" s="142"/>
    </row>
    <row r="15" spans="2:39" x14ac:dyDescent="0.2"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Q15" s="93"/>
      <c r="R15" s="92"/>
      <c r="S15" s="102"/>
      <c r="T15" s="29"/>
      <c r="U15" s="29"/>
      <c r="V15" s="29"/>
      <c r="W15" s="29"/>
      <c r="X15" s="62"/>
      <c r="Y15" s="62"/>
      <c r="Z15" s="51"/>
      <c r="AA15" s="62"/>
      <c r="AB15" s="29"/>
      <c r="AC15" s="62"/>
      <c r="AD15" s="29"/>
      <c r="AE15" s="29"/>
      <c r="AF15" s="62"/>
      <c r="AG15" s="51"/>
      <c r="AH15" s="62"/>
      <c r="AI15" s="29"/>
      <c r="AJ15" s="29"/>
      <c r="AK15" s="29"/>
      <c r="AL15" s="29"/>
      <c r="AM15" s="29"/>
    </row>
    <row r="16" spans="2:39" x14ac:dyDescent="0.2">
      <c r="B16" s="70" t="s">
        <v>114</v>
      </c>
      <c r="C16" s="69"/>
      <c r="D16" s="69" t="s">
        <v>113</v>
      </c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8"/>
    </row>
    <row r="17" spans="2:24" x14ac:dyDescent="0.2"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</row>
    <row r="18" spans="2:24" x14ac:dyDescent="0.2">
      <c r="B18" s="58" t="s">
        <v>112</v>
      </c>
      <c r="C18" s="101">
        <v>103689</v>
      </c>
      <c r="D18" s="58" t="s">
        <v>334</v>
      </c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</row>
    <row r="19" spans="2:24" x14ac:dyDescent="0.2">
      <c r="B19" s="58"/>
      <c r="C19" s="58"/>
      <c r="D19" s="58"/>
      <c r="E19" s="58"/>
      <c r="F19" s="58"/>
      <c r="G19" s="58"/>
      <c r="H19" s="58"/>
      <c r="I19" s="63"/>
      <c r="J19" s="63"/>
      <c r="K19" s="63"/>
      <c r="L19" s="63"/>
      <c r="M19" s="63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</row>
    <row r="20" spans="2:24" x14ac:dyDescent="0.2">
      <c r="B20" s="58"/>
      <c r="C20" s="58"/>
      <c r="D20" s="84"/>
      <c r="E20" s="59" t="s">
        <v>111</v>
      </c>
      <c r="F20" s="59"/>
      <c r="G20" s="59" t="s">
        <v>54</v>
      </c>
      <c r="H20" s="59"/>
      <c r="I20" s="59" t="s">
        <v>58</v>
      </c>
      <c r="J20" s="58"/>
      <c r="K20" s="63"/>
      <c r="L20" s="58"/>
      <c r="M20" s="63"/>
      <c r="N20" s="63"/>
      <c r="O20" s="63"/>
      <c r="P20" s="63"/>
      <c r="Q20" s="58"/>
      <c r="R20" s="63"/>
      <c r="S20" s="58"/>
      <c r="T20" s="63"/>
      <c r="U20" s="58"/>
      <c r="V20" s="58"/>
      <c r="W20" s="58"/>
      <c r="X20" s="58"/>
    </row>
    <row r="21" spans="2:24" x14ac:dyDescent="0.2">
      <c r="B21" s="29"/>
      <c r="C21" s="29"/>
      <c r="D21" s="100" t="s">
        <v>335</v>
      </c>
      <c r="E21" s="34">
        <v>3</v>
      </c>
      <c r="F21" s="51" t="s">
        <v>51</v>
      </c>
      <c r="G21" s="34">
        <v>2</v>
      </c>
      <c r="H21" s="99" t="s">
        <v>50</v>
      </c>
      <c r="I21" s="61">
        <f>E21*G21</f>
        <v>6</v>
      </c>
      <c r="J21" s="29"/>
      <c r="K21" s="103"/>
      <c r="L21" s="51"/>
      <c r="M21" s="89"/>
      <c r="N21" s="51"/>
      <c r="O21" s="89"/>
      <c r="P21" s="51"/>
      <c r="Q21" s="29"/>
      <c r="R21" s="89"/>
      <c r="S21" s="51"/>
      <c r="T21" s="89"/>
      <c r="U21" s="86"/>
      <c r="V21" s="29"/>
      <c r="W21" s="29"/>
      <c r="X21" s="29"/>
    </row>
    <row r="22" spans="2:24" x14ac:dyDescent="0.2">
      <c r="B22" s="29"/>
      <c r="C22" s="29"/>
      <c r="D22" s="100" t="s">
        <v>110</v>
      </c>
      <c r="E22" s="34">
        <v>1.5</v>
      </c>
      <c r="F22" s="51" t="s">
        <v>51</v>
      </c>
      <c r="G22" s="34">
        <v>1</v>
      </c>
      <c r="H22" s="99" t="s">
        <v>50</v>
      </c>
      <c r="I22" s="61">
        <f>E22*G22</f>
        <v>1.5</v>
      </c>
      <c r="J22" s="29"/>
      <c r="K22" s="89"/>
      <c r="L22" s="51"/>
      <c r="M22" s="89"/>
      <c r="N22" s="51"/>
      <c r="O22" s="89"/>
      <c r="P22" s="51"/>
      <c r="Q22" s="29"/>
      <c r="R22" s="89"/>
      <c r="S22" s="51"/>
      <c r="T22" s="89"/>
      <c r="U22" s="86"/>
      <c r="V22" s="29"/>
      <c r="W22" s="29"/>
      <c r="X22" s="29"/>
    </row>
    <row r="23" spans="2:24" x14ac:dyDescent="0.2">
      <c r="B23" s="29"/>
      <c r="C23" s="29"/>
      <c r="D23" s="100"/>
      <c r="E23" s="34"/>
      <c r="F23" s="51"/>
      <c r="G23" s="34"/>
      <c r="H23" s="99"/>
      <c r="I23" s="61"/>
      <c r="J23" s="29"/>
      <c r="K23" s="89"/>
      <c r="L23" s="51"/>
      <c r="M23" s="89"/>
      <c r="N23" s="51"/>
      <c r="O23" s="89"/>
      <c r="P23" s="51"/>
      <c r="Q23" s="29"/>
      <c r="R23" s="89"/>
      <c r="S23" s="51"/>
      <c r="T23" s="89"/>
      <c r="U23" s="86"/>
      <c r="V23" s="29"/>
      <c r="W23" s="29"/>
      <c r="X23" s="29"/>
    </row>
    <row r="24" spans="2:24" x14ac:dyDescent="0.2">
      <c r="B24" s="29"/>
      <c r="C24" s="29"/>
      <c r="D24" s="29"/>
      <c r="E24" s="34"/>
      <c r="F24" s="29"/>
      <c r="G24" s="52" t="s">
        <v>73</v>
      </c>
      <c r="H24" s="86" t="s">
        <v>109</v>
      </c>
      <c r="I24" s="62">
        <f>I22+I21</f>
        <v>7.5</v>
      </c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</row>
    <row r="25" spans="2:24" x14ac:dyDescent="0.2">
      <c r="B25" s="93"/>
      <c r="C25" s="92"/>
      <c r="D25" s="102"/>
      <c r="E25" s="29"/>
      <c r="F25" s="29"/>
      <c r="G25" s="29"/>
      <c r="H25" s="29"/>
      <c r="I25" s="62"/>
      <c r="J25" s="53"/>
      <c r="K25" s="62"/>
      <c r="L25" s="51"/>
      <c r="M25" s="62"/>
      <c r="N25" s="29"/>
      <c r="O25" s="62"/>
      <c r="P25" s="29"/>
      <c r="Q25" s="29"/>
      <c r="R25" s="62"/>
      <c r="S25" s="51"/>
      <c r="T25" s="62"/>
      <c r="U25" s="29"/>
      <c r="V25" s="29"/>
      <c r="W25" s="29"/>
      <c r="X25" s="29"/>
    </row>
    <row r="26" spans="2:24" x14ac:dyDescent="0.2">
      <c r="B26" s="58" t="s">
        <v>99</v>
      </c>
      <c r="C26" s="101">
        <v>97633</v>
      </c>
      <c r="D26" s="58" t="s">
        <v>336</v>
      </c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</row>
    <row r="27" spans="2:24" x14ac:dyDescent="0.2">
      <c r="B27" s="37"/>
      <c r="C27" s="37"/>
      <c r="D27" s="29"/>
      <c r="E27" s="37"/>
      <c r="F27" s="37"/>
      <c r="G27" s="63"/>
      <c r="H27" s="37"/>
      <c r="I27" s="61"/>
      <c r="J27" s="29"/>
      <c r="K27" s="37"/>
      <c r="L27" s="29"/>
      <c r="M27" s="63"/>
      <c r="N27" s="63"/>
      <c r="O27" s="63"/>
      <c r="P27" s="29"/>
      <c r="Q27" s="29"/>
      <c r="R27" s="29"/>
      <c r="S27" s="29"/>
      <c r="T27" s="29"/>
      <c r="U27" s="29"/>
      <c r="V27" s="29"/>
      <c r="W27" s="29"/>
      <c r="X27" s="29"/>
    </row>
    <row r="28" spans="2:24" x14ac:dyDescent="0.2">
      <c r="B28" s="37"/>
      <c r="C28" s="37"/>
      <c r="D28" s="84"/>
      <c r="E28" s="59" t="s">
        <v>472</v>
      </c>
      <c r="F28" s="59"/>
      <c r="G28" s="59" t="s">
        <v>497</v>
      </c>
      <c r="H28" s="59"/>
      <c r="I28" s="59" t="s">
        <v>58</v>
      </c>
      <c r="J28" s="29"/>
      <c r="K28" s="37"/>
      <c r="L28" s="29"/>
      <c r="M28" s="63"/>
      <c r="N28" s="63"/>
      <c r="O28" s="63"/>
      <c r="P28" s="29"/>
      <c r="Q28" s="29"/>
      <c r="R28" s="29"/>
      <c r="S28" s="29"/>
      <c r="T28" s="29"/>
      <c r="U28" s="29"/>
      <c r="V28" s="29"/>
      <c r="W28" s="29"/>
      <c r="X28" s="29"/>
    </row>
    <row r="29" spans="2:24" x14ac:dyDescent="0.2">
      <c r="B29" s="37"/>
      <c r="C29" s="37"/>
      <c r="D29" s="100" t="s">
        <v>469</v>
      </c>
      <c r="E29" s="34">
        <f>4.84+4.84+4.84+4.84+6+6</f>
        <v>31.36</v>
      </c>
      <c r="F29" s="51" t="s">
        <v>51</v>
      </c>
      <c r="G29" s="34">
        <v>2.97</v>
      </c>
      <c r="H29" s="99" t="s">
        <v>50</v>
      </c>
      <c r="I29" s="61">
        <f>E29*G29</f>
        <v>93.139200000000002</v>
      </c>
      <c r="J29" s="29"/>
      <c r="K29" s="56" t="s">
        <v>560</v>
      </c>
      <c r="L29" s="29"/>
      <c r="M29" s="63"/>
      <c r="N29" s="63"/>
      <c r="O29" s="63"/>
      <c r="P29" s="29"/>
      <c r="Q29" s="29"/>
      <c r="R29" s="29"/>
      <c r="S29" s="29"/>
      <c r="T29" s="29"/>
      <c r="U29" s="29"/>
      <c r="V29" s="29"/>
      <c r="W29" s="29"/>
      <c r="X29" s="29"/>
    </row>
    <row r="30" spans="2:24" x14ac:dyDescent="0.2">
      <c r="B30" s="37"/>
      <c r="C30" s="37"/>
      <c r="D30" s="100" t="s">
        <v>471</v>
      </c>
      <c r="E30" s="34">
        <f>8+6.15+6.15+8+6+5</f>
        <v>39.299999999999997</v>
      </c>
      <c r="F30" s="51" t="s">
        <v>51</v>
      </c>
      <c r="G30" s="34">
        <v>2.94</v>
      </c>
      <c r="H30" s="99" t="s">
        <v>50</v>
      </c>
      <c r="I30" s="61">
        <f t="shared" ref="I30" si="0">E30*G30</f>
        <v>115.54199999999999</v>
      </c>
      <c r="J30" s="29"/>
      <c r="K30" s="37"/>
      <c r="L30" s="29"/>
      <c r="M30" s="63"/>
      <c r="N30" s="63"/>
      <c r="O30" s="63"/>
      <c r="P30" s="29"/>
      <c r="Q30" s="29"/>
      <c r="R30" s="29"/>
      <c r="S30" s="29"/>
      <c r="T30" s="29"/>
      <c r="U30" s="29"/>
      <c r="V30" s="29"/>
      <c r="W30" s="29"/>
      <c r="X30" s="29"/>
    </row>
    <row r="31" spans="2:24" x14ac:dyDescent="0.2">
      <c r="B31" s="37"/>
      <c r="C31" s="37"/>
      <c r="D31" s="100" t="s">
        <v>510</v>
      </c>
      <c r="E31" s="34">
        <v>7.55</v>
      </c>
      <c r="F31" s="51" t="s">
        <v>51</v>
      </c>
      <c r="G31" s="34">
        <v>0.57999999999999996</v>
      </c>
      <c r="H31" s="99" t="s">
        <v>50</v>
      </c>
      <c r="I31" s="61">
        <f t="shared" ref="I31" si="1">E31*G31</f>
        <v>4.3789999999999996</v>
      </c>
      <c r="J31" s="29"/>
      <c r="K31" s="37"/>
      <c r="L31" s="29"/>
      <c r="M31" s="63"/>
      <c r="N31" s="63"/>
      <c r="O31" s="63"/>
      <c r="P31" s="29"/>
      <c r="Q31" s="29"/>
      <c r="R31" s="29"/>
      <c r="S31" s="29"/>
      <c r="T31" s="29"/>
      <c r="U31" s="29"/>
      <c r="V31" s="29"/>
      <c r="W31" s="29"/>
      <c r="X31" s="29"/>
    </row>
    <row r="32" spans="2:24" x14ac:dyDescent="0.2">
      <c r="B32" s="37"/>
      <c r="C32" s="37"/>
      <c r="D32" s="100"/>
      <c r="E32" s="34"/>
      <c r="F32" s="51"/>
      <c r="G32" s="34"/>
      <c r="H32" s="99"/>
      <c r="I32" s="61"/>
      <c r="J32" s="29"/>
      <c r="K32" s="37"/>
      <c r="L32" s="29"/>
      <c r="M32" s="63"/>
      <c r="N32" s="63"/>
      <c r="O32" s="63"/>
      <c r="P32" s="29"/>
      <c r="Q32" s="29"/>
      <c r="R32" s="29"/>
      <c r="S32" s="29"/>
      <c r="T32" s="29"/>
      <c r="U32" s="29"/>
      <c r="V32" s="29"/>
      <c r="W32" s="29"/>
      <c r="X32" s="29"/>
    </row>
    <row r="33" spans="2:24" x14ac:dyDescent="0.2">
      <c r="B33" s="37"/>
      <c r="C33" s="37"/>
      <c r="D33" s="29"/>
      <c r="E33" s="34"/>
      <c r="F33" s="29"/>
      <c r="G33" s="52" t="s">
        <v>73</v>
      </c>
      <c r="H33" s="86" t="s">
        <v>109</v>
      </c>
      <c r="I33" s="62">
        <f>SUM(I29:I31)</f>
        <v>213.06019999999998</v>
      </c>
      <c r="J33" s="29"/>
      <c r="K33" s="37"/>
      <c r="L33" s="29"/>
      <c r="M33" s="63"/>
      <c r="N33" s="63"/>
      <c r="O33" s="63"/>
      <c r="P33" s="29"/>
      <c r="Q33" s="29"/>
      <c r="R33" s="29"/>
      <c r="S33" s="29"/>
      <c r="T33" s="29"/>
      <c r="U33" s="29"/>
      <c r="V33" s="29"/>
      <c r="W33" s="29"/>
      <c r="X33" s="29"/>
    </row>
    <row r="34" spans="2:24" x14ac:dyDescent="0.2">
      <c r="B34" s="37"/>
      <c r="C34" s="37"/>
      <c r="D34" s="29"/>
      <c r="E34" s="37"/>
      <c r="F34" s="37"/>
      <c r="G34" s="63"/>
      <c r="H34" s="37"/>
      <c r="I34" s="61"/>
      <c r="J34" s="29"/>
      <c r="K34" s="37"/>
      <c r="L34" s="29"/>
      <c r="M34" s="63"/>
      <c r="N34" s="63"/>
      <c r="O34" s="63"/>
      <c r="P34" s="29"/>
      <c r="Q34" s="29"/>
      <c r="R34" s="29"/>
      <c r="S34" s="29"/>
      <c r="T34" s="29"/>
      <c r="U34" s="29"/>
      <c r="V34" s="29"/>
      <c r="W34" s="29"/>
      <c r="X34" s="29"/>
    </row>
    <row r="35" spans="2:24" x14ac:dyDescent="0.2">
      <c r="B35" s="58" t="s">
        <v>108</v>
      </c>
      <c r="C35" s="101">
        <v>97663</v>
      </c>
      <c r="D35" s="58" t="s">
        <v>337</v>
      </c>
      <c r="E35" s="37"/>
      <c r="F35" s="37"/>
      <c r="G35" s="63"/>
      <c r="H35" s="37"/>
      <c r="I35" s="61"/>
      <c r="J35" s="29"/>
      <c r="K35" s="37"/>
      <c r="L35" s="29"/>
      <c r="M35" s="63"/>
      <c r="N35" s="63"/>
      <c r="O35" s="63"/>
      <c r="P35" s="29"/>
      <c r="Q35" s="29"/>
      <c r="R35" s="29"/>
      <c r="S35" s="29"/>
      <c r="T35" s="29"/>
      <c r="U35" s="29"/>
      <c r="V35" s="29"/>
      <c r="W35" s="29"/>
      <c r="X35" s="29"/>
    </row>
    <row r="36" spans="2:24" x14ac:dyDescent="0.2">
      <c r="B36" s="37"/>
      <c r="C36" s="37"/>
      <c r="D36" s="29"/>
      <c r="E36" s="37"/>
      <c r="F36" s="37"/>
      <c r="G36" s="63"/>
      <c r="H36" s="37"/>
      <c r="I36" s="61"/>
      <c r="J36" s="29"/>
      <c r="K36" s="37"/>
      <c r="L36" s="29"/>
      <c r="M36" s="63"/>
      <c r="N36" s="63"/>
      <c r="O36" s="63"/>
      <c r="P36" s="29"/>
      <c r="Q36" s="29"/>
      <c r="R36" s="29"/>
      <c r="S36" s="29"/>
      <c r="T36" s="29"/>
      <c r="U36" s="29"/>
      <c r="V36" s="29"/>
      <c r="W36" s="29"/>
      <c r="X36" s="29"/>
    </row>
    <row r="37" spans="2:24" x14ac:dyDescent="0.2">
      <c r="B37" s="37"/>
      <c r="C37" s="37"/>
      <c r="D37" s="73" t="s">
        <v>43</v>
      </c>
      <c r="E37" s="59" t="s">
        <v>44</v>
      </c>
      <c r="F37" s="37"/>
      <c r="G37" s="56" t="s">
        <v>498</v>
      </c>
      <c r="H37" s="37"/>
      <c r="I37" s="61"/>
      <c r="J37" s="29"/>
      <c r="K37" s="37"/>
      <c r="L37" s="29"/>
      <c r="M37" s="63"/>
      <c r="N37" s="63"/>
      <c r="O37" s="63"/>
      <c r="P37" s="29"/>
      <c r="Q37" s="29"/>
      <c r="R37" s="29"/>
      <c r="S37" s="29"/>
      <c r="T37" s="29"/>
      <c r="U37" s="29"/>
      <c r="V37" s="29"/>
      <c r="W37" s="29"/>
      <c r="X37" s="29"/>
    </row>
    <row r="38" spans="2:24" x14ac:dyDescent="0.2">
      <c r="B38" s="37"/>
      <c r="C38" s="37"/>
      <c r="D38" s="54" t="s">
        <v>429</v>
      </c>
      <c r="E38" s="75">
        <v>5</v>
      </c>
      <c r="F38" s="37"/>
      <c r="G38" s="63"/>
      <c r="H38" s="37"/>
      <c r="I38" s="61"/>
      <c r="J38" s="29"/>
      <c r="K38" s="37"/>
      <c r="L38" s="29"/>
      <c r="M38" s="63"/>
      <c r="N38" s="63"/>
      <c r="O38" s="63"/>
      <c r="P38" s="29"/>
      <c r="Q38" s="29"/>
      <c r="R38" s="29"/>
      <c r="S38" s="29"/>
      <c r="T38" s="29"/>
      <c r="U38" s="29"/>
      <c r="V38" s="29"/>
      <c r="W38" s="29"/>
      <c r="X38" s="29"/>
    </row>
    <row r="39" spans="2:24" x14ac:dyDescent="0.2">
      <c r="B39" s="37"/>
      <c r="C39" s="37"/>
      <c r="D39" s="54" t="s">
        <v>430</v>
      </c>
      <c r="E39" s="75">
        <v>7</v>
      </c>
      <c r="F39" s="37"/>
      <c r="G39" s="63"/>
      <c r="H39" s="37"/>
      <c r="I39" s="61"/>
      <c r="J39" s="29"/>
      <c r="K39" s="37"/>
      <c r="L39" s="29"/>
      <c r="M39" s="63"/>
      <c r="N39" s="63"/>
      <c r="O39" s="63"/>
      <c r="P39" s="29"/>
      <c r="Q39" s="29"/>
      <c r="R39" s="29"/>
      <c r="S39" s="29"/>
      <c r="T39" s="29"/>
      <c r="U39" s="29"/>
      <c r="V39" s="29"/>
      <c r="W39" s="29"/>
      <c r="X39" s="29"/>
    </row>
    <row r="40" spans="2:24" x14ac:dyDescent="0.2">
      <c r="B40" s="37"/>
      <c r="C40" s="37"/>
      <c r="D40" s="29"/>
      <c r="E40" s="37"/>
      <c r="F40" s="37"/>
      <c r="G40" s="63"/>
      <c r="H40" s="37"/>
      <c r="I40" s="61"/>
      <c r="J40" s="29"/>
      <c r="K40" s="37"/>
      <c r="L40" s="29"/>
      <c r="M40" s="63"/>
      <c r="N40" s="63"/>
      <c r="O40" s="63"/>
      <c r="P40" s="29"/>
      <c r="Q40" s="29"/>
      <c r="R40" s="29"/>
      <c r="S40" s="29"/>
      <c r="T40" s="29"/>
      <c r="U40" s="29"/>
      <c r="V40" s="29"/>
      <c r="W40" s="29"/>
      <c r="X40" s="29"/>
    </row>
    <row r="41" spans="2:24" x14ac:dyDescent="0.2">
      <c r="B41" s="37"/>
      <c r="C41" s="37"/>
      <c r="D41" s="63" t="s">
        <v>41</v>
      </c>
      <c r="E41" s="90">
        <f>SUM(E38:E39)</f>
        <v>12</v>
      </c>
      <c r="F41" s="37"/>
      <c r="G41" s="63"/>
      <c r="H41" s="37"/>
      <c r="I41" s="61"/>
      <c r="J41" s="29"/>
      <c r="K41" s="37"/>
      <c r="L41" s="29"/>
      <c r="M41" s="63"/>
      <c r="N41" s="63"/>
      <c r="O41" s="63"/>
      <c r="P41" s="29"/>
      <c r="Q41" s="29"/>
      <c r="R41" s="29"/>
      <c r="S41" s="29"/>
      <c r="T41" s="29"/>
      <c r="U41" s="29"/>
      <c r="V41" s="29"/>
      <c r="W41" s="29"/>
      <c r="X41" s="29"/>
    </row>
    <row r="42" spans="2:24" x14ac:dyDescent="0.2">
      <c r="B42" s="37"/>
      <c r="C42" s="37"/>
      <c r="D42" s="29"/>
      <c r="E42" s="37"/>
      <c r="F42" s="37"/>
      <c r="G42" s="63"/>
      <c r="H42" s="37"/>
      <c r="I42" s="61"/>
      <c r="J42" s="29"/>
      <c r="K42" s="37"/>
      <c r="L42" s="29"/>
      <c r="M42" s="63"/>
      <c r="N42" s="63"/>
      <c r="O42" s="63"/>
      <c r="P42" s="29"/>
      <c r="Q42" s="29"/>
      <c r="R42" s="29"/>
      <c r="S42" s="29"/>
      <c r="T42" s="29"/>
      <c r="U42" s="29"/>
      <c r="V42" s="29"/>
      <c r="W42" s="29"/>
      <c r="X42" s="29"/>
    </row>
    <row r="43" spans="2:24" x14ac:dyDescent="0.2">
      <c r="B43" s="58" t="s">
        <v>107</v>
      </c>
      <c r="C43" s="101">
        <v>97666</v>
      </c>
      <c r="D43" s="58" t="s">
        <v>338</v>
      </c>
      <c r="E43" s="37"/>
      <c r="F43" s="37"/>
      <c r="G43" s="63"/>
      <c r="H43" s="37"/>
      <c r="I43" s="61"/>
      <c r="J43" s="29"/>
      <c r="K43" s="37"/>
      <c r="L43" s="29"/>
      <c r="M43" s="63"/>
      <c r="N43" s="63"/>
      <c r="O43" s="63"/>
      <c r="P43" s="29"/>
      <c r="Q43" s="29"/>
      <c r="R43" s="29"/>
      <c r="S43" s="29"/>
      <c r="T43" s="29"/>
      <c r="U43" s="29"/>
      <c r="V43" s="29"/>
      <c r="W43" s="29"/>
      <c r="X43" s="29"/>
    </row>
    <row r="44" spans="2:24" x14ac:dyDescent="0.2">
      <c r="B44" s="37"/>
      <c r="C44" s="37"/>
      <c r="D44" s="29"/>
      <c r="E44" s="37"/>
      <c r="F44" s="37"/>
      <c r="G44" s="63"/>
      <c r="H44" s="37"/>
      <c r="I44" s="61"/>
      <c r="J44" s="29"/>
      <c r="K44" s="37"/>
      <c r="L44" s="29"/>
      <c r="M44" s="63"/>
      <c r="N44" s="63"/>
      <c r="O44" s="63"/>
      <c r="P44" s="29"/>
      <c r="Q44" s="29"/>
      <c r="R44" s="29"/>
      <c r="S44" s="29"/>
      <c r="T44" s="29"/>
      <c r="U44" s="29"/>
      <c r="V44" s="29"/>
      <c r="W44" s="29"/>
      <c r="X44" s="29"/>
    </row>
    <row r="45" spans="2:24" x14ac:dyDescent="0.2">
      <c r="B45" s="37"/>
      <c r="C45" s="37"/>
      <c r="D45" s="73" t="s">
        <v>43</v>
      </c>
      <c r="E45" s="59" t="s">
        <v>44</v>
      </c>
      <c r="F45" s="37"/>
      <c r="G45" s="56" t="s">
        <v>476</v>
      </c>
      <c r="H45" s="37"/>
      <c r="I45" s="61"/>
      <c r="J45" s="29"/>
      <c r="K45" s="37"/>
      <c r="L45" s="29"/>
      <c r="M45" s="63"/>
      <c r="N45" s="63"/>
      <c r="O45" s="63"/>
      <c r="P45" s="29"/>
      <c r="Q45" s="29"/>
      <c r="R45" s="29"/>
      <c r="S45" s="29"/>
      <c r="T45" s="29"/>
      <c r="U45" s="29"/>
      <c r="V45" s="29"/>
      <c r="W45" s="29"/>
      <c r="X45" s="29"/>
    </row>
    <row r="46" spans="2:24" x14ac:dyDescent="0.2">
      <c r="B46" s="37"/>
      <c r="C46" s="37"/>
      <c r="D46" s="54" t="s">
        <v>429</v>
      </c>
      <c r="E46" s="75">
        <v>12</v>
      </c>
      <c r="F46" s="37"/>
      <c r="G46" s="63"/>
      <c r="H46" s="37"/>
      <c r="I46" s="61"/>
      <c r="J46" s="29"/>
      <c r="K46" s="37"/>
      <c r="L46" s="29"/>
      <c r="M46" s="63"/>
      <c r="N46" s="63"/>
      <c r="O46" s="63"/>
      <c r="P46" s="29"/>
      <c r="Q46" s="29"/>
      <c r="R46" s="29"/>
      <c r="S46" s="29"/>
      <c r="T46" s="29"/>
      <c r="U46" s="29"/>
      <c r="V46" s="29"/>
      <c r="W46" s="29"/>
      <c r="X46" s="29"/>
    </row>
    <row r="47" spans="2:24" x14ac:dyDescent="0.2">
      <c r="B47" s="37"/>
      <c r="C47" s="37"/>
      <c r="D47" s="54" t="s">
        <v>430</v>
      </c>
      <c r="E47" s="75">
        <v>12</v>
      </c>
      <c r="F47" s="37"/>
      <c r="G47" s="63"/>
      <c r="H47" s="37"/>
      <c r="I47" s="61"/>
      <c r="J47" s="29"/>
      <c r="K47" s="37"/>
      <c r="L47" s="29"/>
      <c r="M47" s="63"/>
      <c r="N47" s="63"/>
      <c r="O47" s="63"/>
      <c r="P47" s="29"/>
      <c r="Q47" s="29"/>
      <c r="R47" s="29"/>
      <c r="S47" s="29"/>
      <c r="T47" s="29"/>
      <c r="U47" s="29"/>
      <c r="V47" s="29"/>
      <c r="W47" s="29"/>
      <c r="X47" s="29"/>
    </row>
    <row r="48" spans="2:24" x14ac:dyDescent="0.2">
      <c r="B48" s="37"/>
      <c r="C48" s="37"/>
      <c r="D48" s="51" t="s">
        <v>594</v>
      </c>
      <c r="E48" s="75">
        <v>8</v>
      </c>
      <c r="F48" s="37"/>
      <c r="G48" s="56" t="s">
        <v>595</v>
      </c>
      <c r="H48" s="37"/>
      <c r="I48" s="61"/>
      <c r="J48" s="29"/>
      <c r="K48" s="37"/>
      <c r="L48" s="29"/>
      <c r="M48" s="63"/>
      <c r="N48" s="63"/>
      <c r="O48" s="63"/>
      <c r="P48" s="29"/>
      <c r="Q48" s="29"/>
      <c r="R48" s="29"/>
      <c r="S48" s="29"/>
      <c r="T48" s="29"/>
      <c r="U48" s="29"/>
      <c r="V48" s="29"/>
      <c r="W48" s="29"/>
      <c r="X48" s="29"/>
    </row>
    <row r="49" spans="2:24" x14ac:dyDescent="0.2">
      <c r="B49" s="37"/>
      <c r="C49" s="37"/>
      <c r="D49" s="29"/>
      <c r="E49" s="37"/>
      <c r="F49" s="37"/>
      <c r="G49" s="63"/>
      <c r="H49" s="37"/>
      <c r="I49" s="61"/>
      <c r="J49" s="29"/>
      <c r="K49" s="37"/>
      <c r="L49" s="29"/>
      <c r="M49" s="63"/>
      <c r="N49" s="63"/>
      <c r="O49" s="63"/>
      <c r="P49" s="29"/>
      <c r="Q49" s="29"/>
      <c r="R49" s="29"/>
      <c r="S49" s="29"/>
      <c r="T49" s="29"/>
      <c r="U49" s="29"/>
      <c r="V49" s="29"/>
      <c r="W49" s="29"/>
      <c r="X49" s="29"/>
    </row>
    <row r="50" spans="2:24" x14ac:dyDescent="0.2">
      <c r="B50" s="37"/>
      <c r="C50" s="37"/>
      <c r="D50" s="63" t="s">
        <v>41</v>
      </c>
      <c r="E50" s="90">
        <f>SUM(E46:E48)</f>
        <v>32</v>
      </c>
      <c r="F50" s="37"/>
      <c r="G50" s="63"/>
      <c r="H50" s="37"/>
      <c r="I50" s="61"/>
      <c r="J50" s="29"/>
      <c r="K50" s="37"/>
      <c r="L50" s="29"/>
      <c r="M50" s="63"/>
      <c r="N50" s="63"/>
      <c r="O50" s="63"/>
      <c r="P50" s="29"/>
      <c r="Q50" s="29"/>
      <c r="R50" s="29"/>
      <c r="S50" s="29"/>
      <c r="T50" s="29"/>
      <c r="U50" s="29"/>
      <c r="V50" s="29"/>
      <c r="W50" s="29"/>
      <c r="X50" s="29"/>
    </row>
    <row r="51" spans="2:24" x14ac:dyDescent="0.2">
      <c r="B51" s="37"/>
      <c r="C51" s="37"/>
      <c r="D51" s="29"/>
      <c r="E51" s="37"/>
      <c r="F51" s="37"/>
      <c r="G51" s="63"/>
      <c r="H51" s="37"/>
      <c r="I51" s="61"/>
      <c r="J51" s="29"/>
      <c r="K51" s="37"/>
      <c r="L51" s="29"/>
      <c r="M51" s="63"/>
      <c r="N51" s="63"/>
      <c r="O51" s="63"/>
      <c r="P51" s="29"/>
      <c r="Q51" s="29"/>
      <c r="R51" s="29"/>
      <c r="S51" s="29"/>
      <c r="T51" s="29"/>
      <c r="U51" s="29"/>
      <c r="V51" s="29"/>
      <c r="W51" s="29"/>
      <c r="X51" s="29"/>
    </row>
    <row r="52" spans="2:24" x14ac:dyDescent="0.2">
      <c r="B52" s="58" t="s">
        <v>106</v>
      </c>
      <c r="C52" s="101">
        <v>97665</v>
      </c>
      <c r="D52" s="58" t="s">
        <v>339</v>
      </c>
      <c r="E52" s="37"/>
      <c r="F52" s="37"/>
      <c r="G52" s="63"/>
      <c r="H52" s="37"/>
      <c r="I52" s="61"/>
      <c r="J52" s="29"/>
      <c r="K52" s="37"/>
      <c r="L52" s="29"/>
      <c r="M52" s="63"/>
      <c r="N52" s="63"/>
      <c r="O52" s="63"/>
      <c r="P52" s="29"/>
      <c r="Q52" s="29"/>
      <c r="R52" s="29"/>
      <c r="S52" s="29"/>
      <c r="T52" s="29"/>
      <c r="U52" s="29"/>
      <c r="V52" s="29"/>
      <c r="W52" s="29"/>
      <c r="X52" s="29"/>
    </row>
    <row r="53" spans="2:24" x14ac:dyDescent="0.2">
      <c r="B53" s="37"/>
      <c r="C53" s="37"/>
      <c r="D53" s="29"/>
      <c r="E53" s="37"/>
      <c r="F53" s="37"/>
      <c r="G53" s="63"/>
      <c r="H53" s="37"/>
      <c r="I53" s="61"/>
      <c r="J53" s="29"/>
      <c r="K53" s="37"/>
      <c r="L53" s="29"/>
      <c r="M53" s="63"/>
      <c r="N53" s="63"/>
      <c r="O53" s="63"/>
      <c r="P53" s="29"/>
      <c r="Q53" s="29"/>
      <c r="R53" s="29"/>
      <c r="S53" s="29"/>
      <c r="T53" s="29"/>
      <c r="U53" s="29"/>
      <c r="V53" s="29"/>
      <c r="W53" s="29"/>
      <c r="X53" s="29"/>
    </row>
    <row r="54" spans="2:24" x14ac:dyDescent="0.2">
      <c r="B54" s="37"/>
      <c r="C54" s="37"/>
      <c r="D54" s="73" t="s">
        <v>43</v>
      </c>
      <c r="E54" s="59" t="s">
        <v>44</v>
      </c>
      <c r="F54" s="37"/>
      <c r="G54" s="56" t="s">
        <v>411</v>
      </c>
      <c r="H54" s="37"/>
      <c r="I54" s="61"/>
      <c r="J54" s="29"/>
      <c r="K54" s="37"/>
      <c r="L54" s="29"/>
      <c r="M54" s="63"/>
      <c r="N54" s="63"/>
      <c r="O54" s="63"/>
      <c r="P54" s="29"/>
      <c r="Q54" s="29"/>
      <c r="R54" s="29"/>
      <c r="S54" s="29"/>
      <c r="T54" s="29"/>
      <c r="U54" s="29"/>
      <c r="V54" s="29"/>
      <c r="W54" s="29"/>
      <c r="X54" s="29"/>
    </row>
    <row r="55" spans="2:24" x14ac:dyDescent="0.2">
      <c r="B55" s="37"/>
      <c r="C55" s="37"/>
      <c r="D55" s="71" t="s">
        <v>431</v>
      </c>
      <c r="E55" s="75">
        <v>2</v>
      </c>
      <c r="F55" s="37"/>
      <c r="G55" s="56"/>
      <c r="H55" s="37"/>
      <c r="I55" s="61"/>
      <c r="J55" s="29"/>
      <c r="K55" s="37"/>
      <c r="L55" s="29"/>
      <c r="M55" s="63"/>
      <c r="N55" s="63"/>
      <c r="O55" s="63"/>
      <c r="P55" s="29"/>
      <c r="Q55" s="29"/>
      <c r="R55" s="29"/>
      <c r="S55" s="29"/>
      <c r="T55" s="29"/>
      <c r="U55" s="29"/>
      <c r="V55" s="29"/>
      <c r="W55" s="29"/>
      <c r="X55" s="29"/>
    </row>
    <row r="56" spans="2:24" x14ac:dyDescent="0.2">
      <c r="B56" s="37"/>
      <c r="C56" s="37"/>
      <c r="D56" s="99" t="s">
        <v>429</v>
      </c>
      <c r="E56" s="75">
        <v>5</v>
      </c>
      <c r="F56" s="37"/>
      <c r="G56" s="56"/>
      <c r="H56" s="37"/>
      <c r="I56" s="61"/>
      <c r="J56" s="29"/>
      <c r="K56" s="37"/>
      <c r="L56" s="29"/>
      <c r="M56" s="63"/>
      <c r="N56" s="63"/>
      <c r="O56" s="63"/>
      <c r="P56" s="29"/>
      <c r="Q56" s="29"/>
      <c r="R56" s="29"/>
      <c r="S56" s="29"/>
      <c r="T56" s="29"/>
      <c r="U56" s="29"/>
      <c r="V56" s="29"/>
      <c r="W56" s="29"/>
      <c r="X56" s="29"/>
    </row>
    <row r="57" spans="2:24" x14ac:dyDescent="0.2">
      <c r="B57" s="37"/>
      <c r="C57" s="37"/>
      <c r="D57" s="71" t="s">
        <v>432</v>
      </c>
      <c r="E57" s="75">
        <v>2</v>
      </c>
      <c r="F57" s="37"/>
      <c r="G57" s="56"/>
      <c r="H57" s="37"/>
      <c r="I57" s="61"/>
      <c r="J57" s="29"/>
      <c r="K57" s="37"/>
      <c r="L57" s="29"/>
      <c r="M57" s="63"/>
      <c r="N57" s="63"/>
      <c r="O57" s="63"/>
      <c r="P57" s="29"/>
      <c r="Q57" s="29"/>
      <c r="R57" s="29"/>
      <c r="S57" s="29"/>
      <c r="T57" s="29"/>
      <c r="U57" s="29"/>
      <c r="V57" s="29"/>
      <c r="W57" s="29"/>
      <c r="X57" s="29"/>
    </row>
    <row r="58" spans="2:24" x14ac:dyDescent="0.2">
      <c r="B58" s="37"/>
      <c r="C58" s="37"/>
      <c r="D58" s="99" t="s">
        <v>433</v>
      </c>
      <c r="E58" s="75">
        <v>2</v>
      </c>
      <c r="F58" s="37"/>
      <c r="G58" s="56"/>
      <c r="H58" s="37"/>
      <c r="I58" s="61"/>
      <c r="J58" s="29"/>
      <c r="K58" s="37"/>
      <c r="L58" s="29"/>
      <c r="M58" s="63"/>
      <c r="N58" s="63"/>
      <c r="O58" s="63"/>
      <c r="P58" s="29"/>
      <c r="Q58" s="29"/>
      <c r="R58" s="29"/>
      <c r="S58" s="29"/>
      <c r="T58" s="29"/>
      <c r="U58" s="29"/>
      <c r="V58" s="29"/>
      <c r="W58" s="29"/>
      <c r="X58" s="29"/>
    </row>
    <row r="59" spans="2:24" x14ac:dyDescent="0.2">
      <c r="B59" s="37"/>
      <c r="C59" s="37"/>
      <c r="D59" s="99" t="s">
        <v>434</v>
      </c>
      <c r="E59" s="75">
        <v>2</v>
      </c>
      <c r="F59" s="37"/>
      <c r="G59" s="63"/>
      <c r="H59" s="37"/>
      <c r="I59" s="61"/>
      <c r="J59" s="29"/>
      <c r="K59" s="37"/>
      <c r="L59" s="29"/>
      <c r="M59" s="63"/>
      <c r="N59" s="63"/>
      <c r="O59" s="63"/>
      <c r="P59" s="29"/>
      <c r="Q59" s="29"/>
      <c r="R59" s="29"/>
      <c r="S59" s="29"/>
      <c r="T59" s="29"/>
      <c r="U59" s="29"/>
      <c r="V59" s="29"/>
      <c r="W59" s="29"/>
      <c r="X59" s="29"/>
    </row>
    <row r="60" spans="2:24" x14ac:dyDescent="0.2">
      <c r="B60" s="37"/>
      <c r="C60" s="37"/>
      <c r="D60" s="99" t="s">
        <v>435</v>
      </c>
      <c r="E60" s="75">
        <v>2</v>
      </c>
      <c r="F60" s="37"/>
      <c r="G60" s="63"/>
      <c r="H60" s="37"/>
      <c r="I60" s="61"/>
      <c r="J60" s="29"/>
      <c r="K60" s="37"/>
      <c r="L60" s="29"/>
      <c r="M60" s="63"/>
      <c r="N60" s="63"/>
      <c r="O60" s="63"/>
      <c r="P60" s="29"/>
      <c r="Q60" s="29"/>
      <c r="R60" s="29"/>
      <c r="S60" s="29"/>
      <c r="T60" s="29"/>
      <c r="U60" s="29"/>
      <c r="V60" s="29"/>
      <c r="W60" s="29"/>
      <c r="X60" s="29"/>
    </row>
    <row r="61" spans="2:24" x14ac:dyDescent="0.2">
      <c r="B61" s="37"/>
      <c r="C61" s="37"/>
      <c r="D61" s="99" t="s">
        <v>436</v>
      </c>
      <c r="E61" s="75">
        <v>5</v>
      </c>
      <c r="F61" s="37"/>
      <c r="G61" s="63"/>
      <c r="H61" s="37"/>
      <c r="I61" s="61"/>
      <c r="J61" s="29"/>
      <c r="K61" s="37"/>
      <c r="L61" s="29"/>
      <c r="M61" s="63"/>
      <c r="N61" s="63"/>
      <c r="O61" s="63"/>
      <c r="P61" s="29"/>
      <c r="Q61" s="29"/>
      <c r="R61" s="29"/>
      <c r="S61" s="29"/>
      <c r="T61" s="29"/>
      <c r="U61" s="29"/>
      <c r="V61" s="29"/>
      <c r="W61" s="29"/>
      <c r="X61" s="29"/>
    </row>
    <row r="62" spans="2:24" x14ac:dyDescent="0.2">
      <c r="B62" s="37"/>
      <c r="C62" s="37"/>
      <c r="D62" s="99" t="s">
        <v>487</v>
      </c>
      <c r="E62" s="75">
        <v>4</v>
      </c>
      <c r="F62" s="37"/>
      <c r="G62" s="63"/>
      <c r="H62" s="37"/>
      <c r="I62" s="61"/>
      <c r="J62" s="29"/>
      <c r="K62" s="37"/>
      <c r="L62" s="29"/>
      <c r="M62" s="63"/>
      <c r="N62" s="63"/>
      <c r="O62" s="63"/>
      <c r="P62" s="29"/>
      <c r="Q62" s="29"/>
      <c r="R62" s="29"/>
      <c r="S62" s="29"/>
      <c r="T62" s="29"/>
      <c r="U62" s="29"/>
      <c r="V62" s="29"/>
      <c r="W62" s="29"/>
      <c r="X62" s="29"/>
    </row>
    <row r="63" spans="2:24" x14ac:dyDescent="0.2">
      <c r="B63" s="37"/>
      <c r="C63" s="37"/>
      <c r="D63" s="99" t="s">
        <v>468</v>
      </c>
      <c r="E63" s="75">
        <v>5</v>
      </c>
      <c r="F63" s="37"/>
      <c r="G63" s="63"/>
      <c r="H63" s="37"/>
      <c r="I63" s="61"/>
      <c r="J63" s="29"/>
      <c r="K63" s="37"/>
      <c r="L63" s="29"/>
      <c r="M63" s="63"/>
      <c r="N63" s="63"/>
      <c r="O63" s="63"/>
      <c r="P63" s="29"/>
      <c r="Q63" s="29"/>
      <c r="R63" s="29"/>
      <c r="S63" s="29"/>
      <c r="T63" s="29"/>
      <c r="U63" s="29"/>
      <c r="V63" s="29"/>
      <c r="W63" s="29"/>
      <c r="X63" s="29"/>
    </row>
    <row r="64" spans="2:24" x14ac:dyDescent="0.2">
      <c r="B64" s="37"/>
      <c r="C64" s="37"/>
      <c r="D64" s="29"/>
      <c r="E64" s="75"/>
      <c r="F64" s="37"/>
      <c r="G64" s="63"/>
      <c r="H64" s="37"/>
      <c r="I64" s="61"/>
      <c r="J64" s="29"/>
      <c r="K64" s="37"/>
      <c r="L64" s="29"/>
      <c r="M64" s="63"/>
      <c r="N64" s="63"/>
      <c r="O64" s="63"/>
      <c r="P64" s="29"/>
      <c r="Q64" s="29"/>
      <c r="R64" s="29"/>
      <c r="S64" s="29"/>
      <c r="T64" s="29"/>
      <c r="U64" s="29"/>
      <c r="V64" s="29"/>
      <c r="W64" s="29"/>
      <c r="X64" s="29"/>
    </row>
    <row r="65" spans="2:24" x14ac:dyDescent="0.2">
      <c r="B65" s="37"/>
      <c r="C65" s="37"/>
      <c r="D65" s="63" t="s">
        <v>41</v>
      </c>
      <c r="E65" s="90">
        <f>SUM(E55:E63)</f>
        <v>29</v>
      </c>
      <c r="F65" s="37"/>
      <c r="G65" s="63"/>
      <c r="H65" s="37"/>
      <c r="I65" s="61"/>
      <c r="J65" s="29"/>
      <c r="K65" s="37"/>
      <c r="L65" s="29"/>
      <c r="M65" s="63"/>
      <c r="N65" s="63"/>
      <c r="O65" s="63"/>
      <c r="P65" s="29"/>
      <c r="Q65" s="29"/>
      <c r="R65" s="29"/>
      <c r="S65" s="29"/>
      <c r="T65" s="29"/>
      <c r="U65" s="29"/>
      <c r="V65" s="29"/>
      <c r="W65" s="29"/>
      <c r="X65" s="29"/>
    </row>
    <row r="66" spans="2:24" x14ac:dyDescent="0.2">
      <c r="B66" s="37"/>
      <c r="C66" s="37"/>
      <c r="D66" s="29"/>
      <c r="E66" s="37"/>
      <c r="F66" s="37"/>
      <c r="G66" s="63"/>
      <c r="H66" s="37"/>
      <c r="I66" s="61"/>
      <c r="J66" s="29"/>
      <c r="K66" s="37"/>
      <c r="L66" s="29"/>
      <c r="M66" s="63"/>
      <c r="N66" s="63"/>
      <c r="O66" s="63"/>
      <c r="P66" s="29"/>
      <c r="Q66" s="29"/>
      <c r="R66" s="29"/>
      <c r="S66" s="29"/>
      <c r="T66" s="29"/>
      <c r="U66" s="29"/>
      <c r="V66" s="29"/>
      <c r="W66" s="29"/>
      <c r="X66" s="29"/>
    </row>
    <row r="67" spans="2:24" x14ac:dyDescent="0.2">
      <c r="B67" s="58" t="s">
        <v>105</v>
      </c>
      <c r="C67" s="101">
        <v>97644</v>
      </c>
      <c r="D67" s="58" t="s">
        <v>340</v>
      </c>
      <c r="E67" s="37"/>
      <c r="F67" s="37"/>
      <c r="G67" s="63"/>
      <c r="H67" s="37"/>
      <c r="I67" s="61"/>
      <c r="J67" s="29"/>
      <c r="K67" s="37"/>
      <c r="L67" s="29"/>
      <c r="M67" s="63"/>
      <c r="N67" s="63"/>
      <c r="O67" s="63"/>
      <c r="P67" s="29"/>
      <c r="Q67" s="29"/>
      <c r="R67" s="29"/>
      <c r="S67" s="29"/>
      <c r="T67" s="29"/>
      <c r="U67" s="29"/>
      <c r="V67" s="29"/>
      <c r="W67" s="29"/>
      <c r="X67" s="29"/>
    </row>
    <row r="68" spans="2:24" x14ac:dyDescent="0.2">
      <c r="B68" s="37"/>
      <c r="C68" s="37"/>
      <c r="D68" s="29"/>
      <c r="E68" s="37"/>
      <c r="F68" s="37"/>
      <c r="G68" s="63"/>
      <c r="H68" s="37"/>
      <c r="I68" s="61"/>
      <c r="J68" s="29"/>
      <c r="K68" s="37"/>
      <c r="L68" s="29"/>
      <c r="M68" s="63"/>
      <c r="N68" s="63"/>
      <c r="O68" s="63"/>
      <c r="P68" s="29"/>
      <c r="Q68" s="29"/>
      <c r="R68" s="29"/>
      <c r="S68" s="29"/>
      <c r="T68" s="29"/>
      <c r="U68" s="29"/>
      <c r="V68" s="29"/>
      <c r="W68" s="29"/>
      <c r="X68" s="29"/>
    </row>
    <row r="69" spans="2:24" x14ac:dyDescent="0.2">
      <c r="B69" s="37"/>
      <c r="C69" s="37"/>
      <c r="D69" s="73" t="s">
        <v>43</v>
      </c>
      <c r="E69" s="59" t="s">
        <v>44</v>
      </c>
      <c r="F69" s="64"/>
      <c r="G69" s="72" t="s">
        <v>437</v>
      </c>
      <c r="H69" s="59" t="s">
        <v>45</v>
      </c>
      <c r="I69" s="61"/>
      <c r="J69" s="29"/>
      <c r="K69" s="37"/>
      <c r="L69" s="29"/>
      <c r="M69" s="63"/>
      <c r="N69" s="63"/>
      <c r="O69" s="63"/>
      <c r="P69" s="29"/>
      <c r="Q69" s="29"/>
      <c r="R69" s="29"/>
      <c r="S69" s="29"/>
      <c r="T69" s="29"/>
      <c r="U69" s="29"/>
      <c r="V69" s="29"/>
      <c r="W69" s="29"/>
      <c r="X69" s="29"/>
    </row>
    <row r="70" spans="2:24" x14ac:dyDescent="0.2">
      <c r="B70" s="37"/>
      <c r="C70" s="37"/>
      <c r="D70" s="71" t="s">
        <v>431</v>
      </c>
      <c r="E70" s="75">
        <v>1</v>
      </c>
      <c r="F70" s="51" t="s">
        <v>51</v>
      </c>
      <c r="G70" s="99" t="s">
        <v>438</v>
      </c>
      <c r="H70" s="61">
        <f>0.8*2.1</f>
        <v>1.6800000000000002</v>
      </c>
      <c r="I70" s="61"/>
      <c r="J70" s="29"/>
      <c r="K70" s="37"/>
      <c r="L70" s="29"/>
      <c r="M70" s="63"/>
      <c r="N70" s="63"/>
      <c r="O70" s="63"/>
      <c r="P70" s="29"/>
      <c r="Q70" s="29"/>
      <c r="R70" s="29"/>
      <c r="S70" s="29"/>
      <c r="T70" s="29"/>
      <c r="U70" s="29"/>
      <c r="V70" s="29"/>
      <c r="W70" s="29"/>
      <c r="X70" s="29"/>
    </row>
    <row r="71" spans="2:24" x14ac:dyDescent="0.2">
      <c r="B71" s="37"/>
      <c r="C71" s="37"/>
      <c r="D71" s="71" t="s">
        <v>432</v>
      </c>
      <c r="E71" s="75">
        <v>1</v>
      </c>
      <c r="F71" s="51" t="s">
        <v>51</v>
      </c>
      <c r="G71" s="99" t="s">
        <v>438</v>
      </c>
      <c r="H71" s="61">
        <f>0.8*2.1</f>
        <v>1.6800000000000002</v>
      </c>
      <c r="I71" s="56"/>
      <c r="J71" s="29"/>
      <c r="K71" s="56" t="s">
        <v>499</v>
      </c>
      <c r="L71" s="29"/>
      <c r="M71" s="63"/>
      <c r="N71" s="63"/>
      <c r="O71" s="63"/>
      <c r="P71" s="29"/>
      <c r="Q71" s="29"/>
      <c r="R71" s="29"/>
      <c r="S71" s="29"/>
      <c r="T71" s="29"/>
      <c r="U71" s="29"/>
      <c r="V71" s="29"/>
      <c r="W71" s="29"/>
      <c r="X71" s="29"/>
    </row>
    <row r="72" spans="2:24" x14ac:dyDescent="0.2">
      <c r="B72" s="37"/>
      <c r="C72" s="37"/>
      <c r="D72" s="99" t="s">
        <v>540</v>
      </c>
      <c r="E72" s="75">
        <v>1</v>
      </c>
      <c r="F72" s="51" t="s">
        <v>51</v>
      </c>
      <c r="G72" s="51">
        <v>0.93</v>
      </c>
      <c r="H72" s="61">
        <f>0.93*2.1*2</f>
        <v>3.9060000000000006</v>
      </c>
      <c r="I72" s="61"/>
      <c r="J72" s="29"/>
      <c r="K72" s="37"/>
      <c r="L72" s="29"/>
      <c r="M72" s="63"/>
      <c r="N72" s="63"/>
      <c r="O72" s="63"/>
      <c r="P72" s="29"/>
      <c r="Q72" s="29"/>
      <c r="R72" s="29"/>
      <c r="S72" s="29"/>
      <c r="T72" s="29"/>
      <c r="U72" s="29"/>
      <c r="V72" s="29"/>
      <c r="W72" s="29"/>
      <c r="X72" s="29"/>
    </row>
    <row r="73" spans="2:24" x14ac:dyDescent="0.2">
      <c r="B73" s="37"/>
      <c r="C73" s="37"/>
      <c r="D73" s="99"/>
      <c r="E73" s="75"/>
      <c r="F73" s="37"/>
      <c r="G73" s="51"/>
      <c r="H73" s="99"/>
      <c r="I73" s="61"/>
      <c r="J73" s="29"/>
      <c r="K73" s="37"/>
      <c r="L73" s="29"/>
      <c r="M73" s="63"/>
      <c r="N73" s="63"/>
      <c r="O73" s="63"/>
      <c r="P73" s="29"/>
      <c r="Q73" s="29"/>
      <c r="R73" s="29"/>
      <c r="S73" s="29"/>
      <c r="T73" s="29"/>
      <c r="U73" s="29"/>
      <c r="V73" s="29"/>
      <c r="W73" s="29"/>
      <c r="X73" s="29"/>
    </row>
    <row r="74" spans="2:24" x14ac:dyDescent="0.2">
      <c r="B74" s="37"/>
      <c r="C74" s="37"/>
      <c r="D74" s="29"/>
      <c r="E74" s="37"/>
      <c r="F74" s="37"/>
      <c r="G74" s="63" t="s">
        <v>41</v>
      </c>
      <c r="H74" s="62">
        <f>SUM(H70:H72)</f>
        <v>7.2660000000000009</v>
      </c>
      <c r="I74" s="61"/>
      <c r="J74" s="29"/>
      <c r="K74" s="37"/>
      <c r="L74" s="29"/>
      <c r="M74" s="63"/>
      <c r="N74" s="63"/>
      <c r="O74" s="63"/>
      <c r="P74" s="29"/>
      <c r="Q74" s="29"/>
      <c r="R74" s="29"/>
      <c r="S74" s="29"/>
      <c r="T74" s="29"/>
      <c r="U74" s="29"/>
      <c r="V74" s="29"/>
      <c r="W74" s="29"/>
      <c r="X74" s="29"/>
    </row>
    <row r="75" spans="2:24" x14ac:dyDescent="0.2">
      <c r="B75" s="37"/>
      <c r="C75" s="37"/>
      <c r="D75" s="205"/>
      <c r="E75" s="206"/>
      <c r="F75" s="37"/>
      <c r="G75" s="63"/>
      <c r="H75" s="37"/>
      <c r="I75" s="61"/>
      <c r="J75" s="29"/>
      <c r="K75" s="37"/>
      <c r="L75" s="29"/>
      <c r="M75" s="63"/>
      <c r="N75" s="63"/>
      <c r="O75" s="63"/>
      <c r="P75" s="29"/>
      <c r="Q75" s="29"/>
      <c r="R75" s="29"/>
      <c r="S75" s="29"/>
      <c r="T75" s="29"/>
      <c r="U75" s="29"/>
      <c r="V75" s="29"/>
      <c r="W75" s="29"/>
      <c r="X75" s="29"/>
    </row>
    <row r="76" spans="2:24" x14ac:dyDescent="0.2">
      <c r="B76" s="37"/>
      <c r="C76" s="37"/>
      <c r="D76" s="29"/>
      <c r="E76" s="37"/>
      <c r="F76" s="37"/>
      <c r="G76" s="63"/>
      <c r="H76" s="37"/>
      <c r="I76" s="61"/>
      <c r="J76" s="29"/>
      <c r="K76" s="37"/>
      <c r="L76" s="29"/>
      <c r="M76" s="63"/>
      <c r="N76" s="63"/>
      <c r="O76" s="63"/>
      <c r="P76" s="29"/>
      <c r="Q76" s="29"/>
      <c r="R76" s="29"/>
      <c r="S76" s="29"/>
      <c r="T76" s="29"/>
      <c r="U76" s="29"/>
      <c r="V76" s="29"/>
      <c r="W76" s="29"/>
      <c r="X76" s="29"/>
    </row>
    <row r="77" spans="2:24" x14ac:dyDescent="0.2">
      <c r="B77" s="58" t="s">
        <v>104</v>
      </c>
      <c r="C77" s="101">
        <v>97625</v>
      </c>
      <c r="D77" s="58" t="s">
        <v>341</v>
      </c>
      <c r="E77" s="58"/>
      <c r="F77" s="58"/>
      <c r="G77" s="58"/>
      <c r="H77" s="58"/>
      <c r="I77" s="58"/>
      <c r="J77" s="58"/>
      <c r="K77" s="37"/>
      <c r="L77" s="29"/>
      <c r="M77" s="63"/>
      <c r="N77" s="63"/>
      <c r="O77" s="63"/>
      <c r="P77" s="29"/>
      <c r="Q77" s="29"/>
      <c r="R77" s="29"/>
      <c r="S77" s="29"/>
      <c r="T77" s="29"/>
      <c r="U77" s="29"/>
      <c r="V77" s="29"/>
      <c r="W77" s="29"/>
      <c r="X77" s="29"/>
    </row>
    <row r="78" spans="2:24" x14ac:dyDescent="0.2">
      <c r="B78" s="37"/>
      <c r="C78" s="37"/>
      <c r="D78" s="29"/>
      <c r="E78" s="37"/>
      <c r="F78" s="37"/>
      <c r="G78" s="63"/>
      <c r="H78" s="37"/>
      <c r="I78" s="61"/>
      <c r="J78" s="29"/>
      <c r="K78" s="37"/>
      <c r="L78" s="29"/>
      <c r="M78" s="63"/>
      <c r="N78" s="63"/>
      <c r="O78" s="63"/>
      <c r="P78" s="29"/>
      <c r="Q78" s="29"/>
      <c r="R78" s="29"/>
      <c r="S78" s="29"/>
      <c r="T78" s="29"/>
      <c r="U78" s="29"/>
      <c r="V78" s="29"/>
      <c r="W78" s="29"/>
      <c r="X78" s="29"/>
    </row>
    <row r="79" spans="2:24" x14ac:dyDescent="0.2">
      <c r="B79" s="37"/>
      <c r="C79" s="37"/>
      <c r="D79" s="84"/>
      <c r="E79" s="59" t="s">
        <v>318</v>
      </c>
      <c r="F79" s="59"/>
      <c r="G79" s="59" t="s">
        <v>54</v>
      </c>
      <c r="H79" s="59"/>
      <c r="I79" s="59" t="s">
        <v>42</v>
      </c>
      <c r="J79" s="44"/>
      <c r="K79" s="64" t="s">
        <v>85</v>
      </c>
      <c r="L79" s="29"/>
      <c r="M79" s="56" t="s">
        <v>410</v>
      </c>
      <c r="N79" s="63"/>
      <c r="O79" s="63"/>
      <c r="P79" s="29"/>
      <c r="Q79" s="29"/>
      <c r="R79" s="29"/>
      <c r="S79" s="29"/>
      <c r="T79" s="29"/>
      <c r="U79" s="29"/>
      <c r="V79" s="29"/>
      <c r="W79" s="29"/>
      <c r="X79" s="29"/>
    </row>
    <row r="80" spans="2:24" x14ac:dyDescent="0.2">
      <c r="B80" s="37"/>
      <c r="C80" s="37"/>
      <c r="D80" s="51" t="s">
        <v>431</v>
      </c>
      <c r="E80" s="51">
        <v>0.7</v>
      </c>
      <c r="F80" s="51" t="s">
        <v>51</v>
      </c>
      <c r="G80" s="51">
        <v>2.25</v>
      </c>
      <c r="H80" s="51" t="s">
        <v>51</v>
      </c>
      <c r="I80" s="51">
        <f>4.42+4.23+2.25+2.85</f>
        <v>13.75</v>
      </c>
      <c r="J80" s="51" t="s">
        <v>50</v>
      </c>
      <c r="K80" s="193">
        <f>E80*G80*I80</f>
        <v>21.65625</v>
      </c>
      <c r="L80" s="29"/>
      <c r="M80" s="63"/>
      <c r="N80" s="63"/>
      <c r="O80" s="63"/>
      <c r="P80" s="29"/>
      <c r="Q80" s="29"/>
      <c r="R80" s="29"/>
      <c r="S80" s="29"/>
      <c r="T80" s="29"/>
      <c r="U80" s="29"/>
      <c r="V80" s="29"/>
      <c r="W80" s="29"/>
      <c r="X80" s="29"/>
    </row>
    <row r="81" spans="2:24" x14ac:dyDescent="0.2">
      <c r="B81" s="37"/>
      <c r="C81" s="37"/>
      <c r="D81" s="51" t="s">
        <v>439</v>
      </c>
      <c r="E81" s="51">
        <v>0.15</v>
      </c>
      <c r="F81" s="51" t="s">
        <v>51</v>
      </c>
      <c r="G81" s="51">
        <v>2.1</v>
      </c>
      <c r="H81" s="51" t="s">
        <v>51</v>
      </c>
      <c r="I81" s="51">
        <v>0.8</v>
      </c>
      <c r="J81" s="51" t="s">
        <v>50</v>
      </c>
      <c r="K81" s="193">
        <f t="shared" ref="K81" si="2">E81*G81*I81</f>
        <v>0.252</v>
      </c>
      <c r="L81" s="29"/>
      <c r="M81" s="63"/>
      <c r="N81" s="63"/>
      <c r="O81" s="63"/>
      <c r="P81" s="29"/>
      <c r="Q81" s="29"/>
      <c r="R81" s="29"/>
      <c r="S81" s="29"/>
      <c r="T81" s="29"/>
      <c r="U81" s="29"/>
      <c r="V81" s="29"/>
      <c r="W81" s="29"/>
      <c r="X81" s="29"/>
    </row>
    <row r="82" spans="2:24" x14ac:dyDescent="0.2">
      <c r="B82" s="29"/>
      <c r="C82" s="29"/>
      <c r="D82" s="51"/>
      <c r="E82" s="51"/>
      <c r="F82" s="51"/>
      <c r="G82" s="51"/>
      <c r="H82" s="51"/>
      <c r="I82" s="51"/>
      <c r="J82" s="51"/>
      <c r="K82" s="193"/>
      <c r="L82" s="51"/>
      <c r="M82" s="51"/>
      <c r="N82" s="51"/>
      <c r="O82" s="51"/>
      <c r="P82" s="29"/>
      <c r="Q82" s="29"/>
      <c r="R82" s="29"/>
      <c r="S82" s="29"/>
      <c r="T82" s="29"/>
      <c r="U82" s="29"/>
      <c r="V82" s="29"/>
      <c r="W82" s="29"/>
      <c r="X82" s="29"/>
    </row>
    <row r="83" spans="2:24" x14ac:dyDescent="0.2">
      <c r="B83" s="37"/>
      <c r="C83" s="37"/>
      <c r="D83" s="53"/>
      <c r="E83" s="52"/>
      <c r="F83" s="29"/>
      <c r="G83" s="29"/>
      <c r="H83" s="37"/>
      <c r="I83" s="37"/>
      <c r="J83" s="37" t="s">
        <v>41</v>
      </c>
      <c r="K83" s="94">
        <f>SUM(K80:K82)</f>
        <v>21.908249999999999</v>
      </c>
      <c r="L83" s="63"/>
      <c r="M83" s="63"/>
      <c r="N83" s="63"/>
      <c r="O83" s="63"/>
      <c r="P83" s="29"/>
      <c r="Q83" s="29"/>
      <c r="R83" s="29"/>
      <c r="S83" s="29"/>
      <c r="T83" s="29"/>
      <c r="U83" s="29"/>
      <c r="V83" s="29"/>
      <c r="W83" s="29"/>
      <c r="X83" s="29"/>
    </row>
    <row r="84" spans="2:24" x14ac:dyDescent="0.2">
      <c r="B84" s="37"/>
      <c r="C84" s="37"/>
      <c r="D84" s="53"/>
      <c r="E84" s="52"/>
      <c r="F84" s="29"/>
      <c r="G84" s="29"/>
      <c r="H84" s="37"/>
      <c r="I84" s="37"/>
      <c r="J84" s="37"/>
      <c r="K84" s="37"/>
      <c r="L84" s="63"/>
      <c r="M84" s="63"/>
      <c r="N84" s="63"/>
      <c r="O84" s="63"/>
      <c r="P84" s="29"/>
      <c r="Q84" s="29"/>
      <c r="R84" s="29"/>
      <c r="S84" s="29"/>
      <c r="T84" s="29"/>
      <c r="U84" s="29"/>
      <c r="V84" s="29"/>
      <c r="W84" s="29"/>
      <c r="X84" s="29"/>
    </row>
    <row r="85" spans="2:24" x14ac:dyDescent="0.2">
      <c r="B85" s="58" t="s">
        <v>103</v>
      </c>
      <c r="C85" s="101" t="s">
        <v>342</v>
      </c>
      <c r="D85" s="58" t="s">
        <v>343</v>
      </c>
      <c r="E85" s="58"/>
      <c r="F85" s="58"/>
      <c r="G85" s="58"/>
      <c r="H85" s="58"/>
      <c r="I85" s="58"/>
      <c r="J85" s="58"/>
      <c r="K85" s="37"/>
      <c r="L85" s="29"/>
      <c r="M85" s="63"/>
      <c r="N85" s="63"/>
      <c r="O85" s="63"/>
      <c r="P85" s="29"/>
      <c r="Q85" s="29"/>
      <c r="R85" s="29"/>
      <c r="S85" s="29"/>
      <c r="T85" s="29"/>
      <c r="U85" s="29"/>
      <c r="V85" s="29"/>
      <c r="W85" s="29"/>
      <c r="X85" s="29"/>
    </row>
    <row r="86" spans="2:24" x14ac:dyDescent="0.2">
      <c r="B86" s="37"/>
      <c r="C86" s="37"/>
      <c r="D86" s="29"/>
      <c r="E86" s="37"/>
      <c r="F86" s="37"/>
      <c r="G86" s="63"/>
      <c r="H86" s="37"/>
      <c r="I86" s="61"/>
      <c r="J86" s="29"/>
      <c r="K86" s="37"/>
      <c r="L86" s="29"/>
      <c r="M86" s="63"/>
      <c r="N86" s="63"/>
      <c r="O86" s="63"/>
      <c r="P86" s="29"/>
      <c r="Q86" s="29"/>
      <c r="R86" s="29"/>
      <c r="S86" s="29"/>
      <c r="T86" s="29"/>
      <c r="U86" s="29"/>
      <c r="V86" s="29"/>
      <c r="W86" s="29"/>
      <c r="X86" s="29"/>
    </row>
    <row r="87" spans="2:24" x14ac:dyDescent="0.2">
      <c r="B87" s="37"/>
      <c r="C87" s="37"/>
      <c r="D87" s="84"/>
      <c r="E87" s="59" t="s">
        <v>318</v>
      </c>
      <c r="F87" s="59"/>
      <c r="G87" s="59" t="s">
        <v>54</v>
      </c>
      <c r="H87" s="59"/>
      <c r="I87" s="59" t="s">
        <v>42</v>
      </c>
      <c r="J87" s="44"/>
      <c r="K87" s="64" t="s">
        <v>85</v>
      </c>
      <c r="L87" s="29"/>
      <c r="M87" s="56"/>
      <c r="N87" s="63"/>
      <c r="O87" s="63"/>
      <c r="P87" s="29"/>
      <c r="Q87" s="29"/>
      <c r="R87" s="29"/>
      <c r="S87" s="29"/>
      <c r="T87" s="29"/>
      <c r="U87" s="29"/>
      <c r="V87" s="29"/>
      <c r="W87" s="29"/>
      <c r="X87" s="29"/>
    </row>
    <row r="88" spans="2:24" x14ac:dyDescent="0.2">
      <c r="B88" s="37"/>
      <c r="C88" s="37"/>
      <c r="D88" s="51" t="s">
        <v>500</v>
      </c>
      <c r="E88" s="51">
        <v>0.46</v>
      </c>
      <c r="F88" s="51" t="s">
        <v>51</v>
      </c>
      <c r="G88" s="51">
        <v>0.45</v>
      </c>
      <c r="H88" s="51" t="s">
        <v>51</v>
      </c>
      <c r="I88" s="51">
        <v>7.55</v>
      </c>
      <c r="J88" s="51" t="s">
        <v>50</v>
      </c>
      <c r="K88" s="193">
        <f>E88*G88*I88</f>
        <v>1.5628500000000001</v>
      </c>
      <c r="L88" s="29"/>
      <c r="M88" s="56" t="s">
        <v>440</v>
      </c>
      <c r="N88" s="63"/>
      <c r="O88" s="63"/>
      <c r="P88" s="29"/>
      <c r="Q88" s="29"/>
      <c r="R88" s="29"/>
      <c r="S88" s="29"/>
      <c r="T88" s="29"/>
      <c r="U88" s="29"/>
      <c r="V88" s="29"/>
      <c r="W88" s="29"/>
      <c r="X88" s="29"/>
    </row>
    <row r="89" spans="2:24" x14ac:dyDescent="0.2">
      <c r="B89" s="37"/>
      <c r="C89" s="37"/>
      <c r="D89" s="51"/>
      <c r="E89" s="51"/>
      <c r="F89" s="51"/>
      <c r="G89" s="51"/>
      <c r="H89" s="51"/>
      <c r="I89" s="51"/>
      <c r="J89" s="51"/>
      <c r="K89" s="193"/>
      <c r="L89" s="63"/>
      <c r="M89" s="63"/>
      <c r="N89" s="63"/>
      <c r="O89" s="63"/>
      <c r="P89" s="29"/>
      <c r="Q89" s="29"/>
      <c r="R89" s="29"/>
      <c r="S89" s="29"/>
      <c r="T89" s="29"/>
      <c r="U89" s="29"/>
      <c r="V89" s="29"/>
      <c r="W89" s="29"/>
      <c r="X89" s="29"/>
    </row>
    <row r="90" spans="2:24" x14ac:dyDescent="0.2">
      <c r="B90" s="37"/>
      <c r="C90" s="37"/>
      <c r="D90" s="53"/>
      <c r="E90" s="52"/>
      <c r="F90" s="29"/>
      <c r="G90" s="29"/>
      <c r="H90" s="37"/>
      <c r="I90" s="37"/>
      <c r="J90" s="37" t="s">
        <v>41</v>
      </c>
      <c r="K90" s="94">
        <f>SUM(K88:K89)</f>
        <v>1.5628500000000001</v>
      </c>
      <c r="L90" s="63"/>
      <c r="M90" s="63"/>
      <c r="N90" s="63"/>
      <c r="O90" s="63"/>
      <c r="P90" s="29"/>
      <c r="Q90" s="29"/>
      <c r="R90" s="29"/>
      <c r="S90" s="29"/>
      <c r="T90" s="29"/>
      <c r="U90" s="29"/>
      <c r="V90" s="29"/>
      <c r="W90" s="29"/>
      <c r="X90" s="29"/>
    </row>
    <row r="91" spans="2:24" x14ac:dyDescent="0.2">
      <c r="B91" s="37"/>
      <c r="C91" s="37"/>
      <c r="D91" s="53"/>
      <c r="E91" s="52"/>
      <c r="F91" s="29"/>
      <c r="G91" s="29"/>
      <c r="H91" s="37"/>
      <c r="I91" s="37"/>
      <c r="J91" s="37"/>
      <c r="K91" s="37"/>
      <c r="L91" s="63"/>
      <c r="M91" s="63"/>
      <c r="N91" s="63"/>
      <c r="O91" s="63"/>
      <c r="P91" s="29"/>
      <c r="Q91" s="29"/>
      <c r="R91" s="29"/>
      <c r="S91" s="29"/>
      <c r="T91" s="29"/>
      <c r="U91" s="29"/>
      <c r="V91" s="29"/>
      <c r="W91" s="29"/>
      <c r="X91" s="29"/>
    </row>
    <row r="92" spans="2:24" x14ac:dyDescent="0.2">
      <c r="B92" s="58" t="s">
        <v>102</v>
      </c>
      <c r="C92" s="101" t="s">
        <v>344</v>
      </c>
      <c r="D92" s="58" t="s">
        <v>345</v>
      </c>
      <c r="E92" s="58"/>
      <c r="F92" s="58"/>
      <c r="G92" s="58"/>
      <c r="H92" s="58"/>
      <c r="I92" s="58"/>
      <c r="J92" s="58"/>
      <c r="K92" s="37"/>
      <c r="L92" s="63"/>
      <c r="M92" s="63"/>
      <c r="N92" s="63"/>
      <c r="O92" s="63"/>
      <c r="P92" s="29"/>
      <c r="Q92" s="29"/>
      <c r="R92" s="29"/>
      <c r="S92" s="29"/>
      <c r="T92" s="29"/>
      <c r="U92" s="29"/>
      <c r="V92" s="29"/>
      <c r="W92" s="29"/>
      <c r="X92" s="29"/>
    </row>
    <row r="93" spans="2:24" x14ac:dyDescent="0.2">
      <c r="B93" s="37"/>
      <c r="C93" s="37"/>
      <c r="D93" s="29"/>
      <c r="E93" s="37"/>
      <c r="F93" s="37"/>
      <c r="G93" s="63"/>
      <c r="H93" s="37"/>
      <c r="I93" s="61"/>
      <c r="J93" s="29"/>
      <c r="K93" s="37"/>
      <c r="L93" s="63"/>
      <c r="M93" s="63"/>
      <c r="N93" s="63"/>
      <c r="O93" s="63"/>
      <c r="P93" s="29"/>
      <c r="Q93" s="29"/>
      <c r="R93" s="29"/>
      <c r="S93" s="29"/>
      <c r="T93" s="29"/>
      <c r="U93" s="29"/>
      <c r="V93" s="29"/>
      <c r="W93" s="29"/>
      <c r="X93" s="29"/>
    </row>
    <row r="94" spans="2:24" x14ac:dyDescent="0.2">
      <c r="B94" s="37"/>
      <c r="C94" s="37"/>
      <c r="D94" s="84"/>
      <c r="E94" s="59" t="s">
        <v>318</v>
      </c>
      <c r="F94" s="59"/>
      <c r="G94" s="59" t="s">
        <v>54</v>
      </c>
      <c r="H94" s="59"/>
      <c r="I94" s="59" t="s">
        <v>58</v>
      </c>
      <c r="J94" s="29"/>
      <c r="K94" s="37"/>
      <c r="L94" s="63"/>
      <c r="M94" s="63"/>
      <c r="N94" s="63"/>
      <c r="O94" s="63"/>
      <c r="P94" s="29"/>
      <c r="Q94" s="29"/>
      <c r="R94" s="29"/>
      <c r="S94" s="29"/>
      <c r="T94" s="29"/>
      <c r="U94" s="29"/>
      <c r="V94" s="29"/>
      <c r="W94" s="29"/>
      <c r="X94" s="29"/>
    </row>
    <row r="95" spans="2:24" x14ac:dyDescent="0.2">
      <c r="B95" s="37"/>
      <c r="C95" s="37"/>
      <c r="D95" s="82" t="s">
        <v>441</v>
      </c>
      <c r="E95" s="34">
        <v>0.15</v>
      </c>
      <c r="F95" s="51" t="s">
        <v>51</v>
      </c>
      <c r="G95" s="34">
        <v>2.1</v>
      </c>
      <c r="H95" s="99" t="s">
        <v>50</v>
      </c>
      <c r="I95" s="61">
        <f>E95*G95*2</f>
        <v>0.63</v>
      </c>
      <c r="J95" s="29"/>
      <c r="K95" s="29" t="s">
        <v>409</v>
      </c>
      <c r="L95" s="63"/>
      <c r="M95" s="63"/>
      <c r="N95" s="63"/>
      <c r="O95" s="63"/>
      <c r="P95" s="29"/>
      <c r="Q95" s="29"/>
      <c r="R95" s="29"/>
      <c r="S95" s="29"/>
      <c r="T95" s="29"/>
      <c r="U95" s="29"/>
      <c r="V95" s="29"/>
      <c r="W95" s="29"/>
      <c r="X95" s="29"/>
    </row>
    <row r="96" spans="2:24" x14ac:dyDescent="0.2">
      <c r="B96" s="37"/>
      <c r="C96" s="37"/>
      <c r="D96" s="82" t="s">
        <v>442</v>
      </c>
      <c r="E96" s="34">
        <v>0.15</v>
      </c>
      <c r="F96" s="51" t="s">
        <v>51</v>
      </c>
      <c r="G96" s="34">
        <v>2.1</v>
      </c>
      <c r="H96" s="99" t="s">
        <v>50</v>
      </c>
      <c r="I96" s="61">
        <f>E96*G96*2</f>
        <v>0.63</v>
      </c>
      <c r="J96" s="29"/>
      <c r="K96" s="37"/>
      <c r="L96" s="63"/>
      <c r="M96" s="63"/>
      <c r="N96" s="63"/>
      <c r="O96" s="63"/>
      <c r="P96" s="29"/>
      <c r="Q96" s="29"/>
      <c r="R96" s="29"/>
      <c r="S96" s="29"/>
      <c r="T96" s="29"/>
      <c r="U96" s="29"/>
      <c r="V96" s="29"/>
      <c r="W96" s="29"/>
      <c r="X96" s="29"/>
    </row>
    <row r="97" spans="2:24" x14ac:dyDescent="0.2">
      <c r="B97" s="37"/>
      <c r="C97" s="37"/>
      <c r="D97" s="100"/>
      <c r="E97" s="34"/>
      <c r="F97" s="51"/>
      <c r="G97" s="34"/>
      <c r="H97" s="99"/>
      <c r="I97" s="61"/>
      <c r="J97" s="29"/>
      <c r="K97" s="37"/>
      <c r="L97" s="63"/>
      <c r="M97" s="63"/>
      <c r="N97" s="63"/>
      <c r="O97" s="63"/>
      <c r="P97" s="29"/>
      <c r="Q97" s="29"/>
      <c r="R97" s="29"/>
      <c r="S97" s="29"/>
      <c r="T97" s="29"/>
      <c r="U97" s="29"/>
      <c r="V97" s="29"/>
      <c r="W97" s="29"/>
      <c r="X97" s="29"/>
    </row>
    <row r="98" spans="2:24" x14ac:dyDescent="0.2">
      <c r="B98" s="37"/>
      <c r="C98" s="37"/>
      <c r="D98" s="29"/>
      <c r="E98" s="34"/>
      <c r="F98" s="29"/>
      <c r="G98" s="52" t="s">
        <v>73</v>
      </c>
      <c r="H98" s="86" t="s">
        <v>109</v>
      </c>
      <c r="I98" s="62">
        <f>SUM(I95:I96)</f>
        <v>1.26</v>
      </c>
      <c r="J98" s="29"/>
      <c r="K98" s="37"/>
      <c r="L98" s="63"/>
      <c r="M98" s="63"/>
      <c r="N98" s="63"/>
      <c r="O98" s="63"/>
      <c r="P98" s="29"/>
      <c r="Q98" s="29"/>
      <c r="R98" s="29"/>
      <c r="S98" s="29"/>
      <c r="T98" s="29"/>
      <c r="U98" s="29"/>
      <c r="V98" s="29"/>
      <c r="W98" s="29"/>
      <c r="X98" s="29"/>
    </row>
    <row r="99" spans="2:24" x14ac:dyDescent="0.2">
      <c r="B99" s="37"/>
      <c r="C99" s="37"/>
      <c r="D99" s="53"/>
      <c r="E99" s="52"/>
      <c r="F99" s="29"/>
      <c r="G99" s="29"/>
      <c r="H99" s="37"/>
      <c r="I99" s="37"/>
      <c r="J99" s="37"/>
      <c r="K99" s="37"/>
      <c r="L99" s="63"/>
      <c r="M99" s="63"/>
      <c r="N99" s="63"/>
      <c r="O99" s="63"/>
      <c r="P99" s="29"/>
      <c r="Q99" s="29"/>
      <c r="R99" s="29"/>
      <c r="S99" s="29"/>
      <c r="T99" s="29"/>
      <c r="U99" s="29"/>
      <c r="V99" s="29"/>
      <c r="W99" s="29"/>
      <c r="X99" s="29"/>
    </row>
    <row r="100" spans="2:24" x14ac:dyDescent="0.2">
      <c r="B100" s="58" t="s">
        <v>101</v>
      </c>
      <c r="C100" s="101" t="s">
        <v>864</v>
      </c>
      <c r="D100" s="58" t="s">
        <v>346</v>
      </c>
      <c r="E100" s="37"/>
      <c r="F100" s="37"/>
      <c r="G100" s="63"/>
      <c r="H100" s="37"/>
      <c r="I100" s="37"/>
      <c r="J100" s="37"/>
      <c r="K100" s="37"/>
      <c r="L100" s="63"/>
      <c r="M100" s="63"/>
      <c r="N100" s="63"/>
      <c r="O100" s="63"/>
      <c r="P100" s="29"/>
      <c r="Q100" s="29"/>
      <c r="R100" s="29"/>
      <c r="S100" s="29"/>
      <c r="T100" s="29"/>
      <c r="U100" s="29"/>
      <c r="V100" s="29"/>
      <c r="W100" s="29"/>
      <c r="X100" s="29"/>
    </row>
    <row r="101" spans="2:24" x14ac:dyDescent="0.2">
      <c r="B101" s="37"/>
      <c r="C101" s="37"/>
      <c r="D101" s="29"/>
      <c r="E101" s="37"/>
      <c r="F101" s="37"/>
      <c r="G101" s="63"/>
      <c r="H101" s="37"/>
      <c r="I101" s="37"/>
      <c r="J101" s="37"/>
      <c r="K101" s="37"/>
      <c r="L101" s="63"/>
      <c r="M101" s="63"/>
      <c r="N101" s="63"/>
      <c r="O101" s="63"/>
      <c r="P101" s="29"/>
      <c r="Q101" s="29"/>
      <c r="R101" s="29"/>
      <c r="S101" s="29"/>
      <c r="T101" s="29"/>
      <c r="U101" s="29"/>
      <c r="V101" s="29"/>
      <c r="W101" s="29"/>
      <c r="X101" s="29"/>
    </row>
    <row r="102" spans="2:24" x14ac:dyDescent="0.2">
      <c r="B102" s="37"/>
      <c r="C102" s="37"/>
      <c r="D102" s="73" t="s">
        <v>43</v>
      </c>
      <c r="E102" s="59" t="s">
        <v>44</v>
      </c>
      <c r="F102" s="37"/>
      <c r="G102" s="63"/>
      <c r="H102" s="29" t="s">
        <v>513</v>
      </c>
      <c r="I102" s="37"/>
      <c r="J102" s="37"/>
      <c r="K102" s="37"/>
      <c r="L102" s="63"/>
      <c r="M102" s="63"/>
      <c r="N102" s="63"/>
      <c r="O102" s="63"/>
      <c r="P102" s="29"/>
      <c r="Q102" s="29"/>
      <c r="R102" s="29"/>
      <c r="S102" s="29"/>
      <c r="T102" s="29"/>
      <c r="U102" s="29"/>
      <c r="V102" s="29"/>
      <c r="W102" s="29"/>
      <c r="X102" s="29"/>
    </row>
    <row r="103" spans="2:24" x14ac:dyDescent="0.2">
      <c r="B103" s="37"/>
      <c r="C103" s="37"/>
      <c r="D103" s="71" t="s">
        <v>429</v>
      </c>
      <c r="E103" s="75">
        <v>9</v>
      </c>
      <c r="F103" s="37"/>
      <c r="G103" s="63"/>
      <c r="H103" s="29"/>
      <c r="I103" s="37"/>
      <c r="J103" s="37"/>
      <c r="K103" s="37"/>
      <c r="L103" s="63"/>
      <c r="M103" s="63"/>
      <c r="N103" s="63"/>
      <c r="O103" s="63"/>
      <c r="P103" s="29"/>
      <c r="Q103" s="29"/>
      <c r="R103" s="29"/>
      <c r="S103" s="29"/>
      <c r="T103" s="29"/>
      <c r="U103" s="29"/>
      <c r="V103" s="29"/>
      <c r="W103" s="29"/>
      <c r="X103" s="29"/>
    </row>
    <row r="104" spans="2:24" x14ac:dyDescent="0.2">
      <c r="B104" s="37"/>
      <c r="C104" s="37"/>
      <c r="D104" s="99" t="s">
        <v>462</v>
      </c>
      <c r="E104" s="75">
        <v>8</v>
      </c>
      <c r="F104" s="37"/>
      <c r="G104" s="63"/>
      <c r="H104" s="29"/>
      <c r="I104" s="37"/>
      <c r="J104" s="37"/>
      <c r="K104" s="37"/>
      <c r="L104" s="63"/>
      <c r="M104" s="63"/>
      <c r="N104" s="63"/>
      <c r="O104" s="63"/>
      <c r="P104" s="29"/>
      <c r="Q104" s="29"/>
      <c r="R104" s="29"/>
      <c r="S104" s="29"/>
      <c r="T104" s="29"/>
      <c r="U104" s="29"/>
      <c r="V104" s="29"/>
      <c r="W104" s="29"/>
      <c r="X104" s="29"/>
    </row>
    <row r="105" spans="2:24" x14ac:dyDescent="0.2">
      <c r="B105" s="37"/>
      <c r="C105" s="37"/>
      <c r="D105" s="29"/>
      <c r="E105" s="37"/>
      <c r="F105" s="37"/>
      <c r="G105" s="63" t="s">
        <v>443</v>
      </c>
      <c r="H105" s="37"/>
      <c r="I105" s="37"/>
      <c r="J105" s="37"/>
      <c r="K105" s="37"/>
      <c r="L105" s="63"/>
      <c r="M105" s="63"/>
      <c r="N105" s="63"/>
      <c r="O105" s="63"/>
      <c r="P105" s="29"/>
      <c r="Q105" s="29"/>
      <c r="R105" s="29"/>
      <c r="S105" s="29"/>
      <c r="T105" s="29"/>
      <c r="U105" s="29"/>
      <c r="V105" s="29"/>
      <c r="W105" s="29"/>
      <c r="X105" s="29"/>
    </row>
    <row r="106" spans="2:24" x14ac:dyDescent="0.2">
      <c r="B106" s="37"/>
      <c r="C106" s="37"/>
      <c r="D106" s="63" t="s">
        <v>41</v>
      </c>
      <c r="E106" s="90">
        <f>SUM(E103:E104)</f>
        <v>17</v>
      </c>
      <c r="F106" s="37"/>
      <c r="G106" s="63"/>
      <c r="H106" s="37"/>
      <c r="I106" s="37"/>
      <c r="J106" s="37"/>
      <c r="K106" s="37"/>
      <c r="L106" s="63"/>
      <c r="M106" s="63"/>
      <c r="N106" s="63"/>
      <c r="O106" s="63"/>
      <c r="P106" s="29"/>
      <c r="Q106" s="29"/>
      <c r="R106" s="29"/>
      <c r="S106" s="29"/>
      <c r="T106" s="29"/>
      <c r="U106" s="29"/>
      <c r="V106" s="29"/>
      <c r="W106" s="29"/>
      <c r="X106" s="29"/>
    </row>
    <row r="107" spans="2:24" x14ac:dyDescent="0.2">
      <c r="B107" s="37"/>
      <c r="C107" s="37"/>
      <c r="D107" s="53"/>
      <c r="E107" s="52"/>
      <c r="F107" s="29"/>
      <c r="G107" s="29"/>
      <c r="H107" s="37"/>
      <c r="I107" s="37"/>
      <c r="J107" s="37"/>
      <c r="K107" s="37"/>
      <c r="L107" s="63"/>
      <c r="M107" s="63"/>
      <c r="N107" s="63"/>
      <c r="O107" s="63"/>
      <c r="P107" s="29"/>
      <c r="Q107" s="29"/>
      <c r="R107" s="29"/>
      <c r="S107" s="29"/>
      <c r="T107" s="29"/>
      <c r="U107" s="29"/>
      <c r="V107" s="29"/>
      <c r="W107" s="29"/>
      <c r="X107" s="29"/>
    </row>
    <row r="108" spans="2:24" x14ac:dyDescent="0.2">
      <c r="B108" s="58" t="s">
        <v>100</v>
      </c>
      <c r="C108" s="101" t="s">
        <v>348</v>
      </c>
      <c r="D108" s="58" t="s">
        <v>347</v>
      </c>
      <c r="E108" s="37"/>
      <c r="F108" s="37"/>
      <c r="G108" s="63"/>
      <c r="H108" s="37"/>
      <c r="I108" s="37"/>
      <c r="J108" s="37"/>
      <c r="K108" s="37"/>
      <c r="L108" s="63"/>
      <c r="M108" s="63"/>
      <c r="N108" s="63"/>
      <c r="O108" s="63"/>
      <c r="P108" s="29"/>
      <c r="Q108" s="29"/>
      <c r="R108" s="29"/>
      <c r="S108" s="29"/>
      <c r="T108" s="29"/>
      <c r="U108" s="29"/>
      <c r="V108" s="29"/>
      <c r="W108" s="29"/>
      <c r="X108" s="29"/>
    </row>
    <row r="109" spans="2:24" x14ac:dyDescent="0.2">
      <c r="B109" s="37"/>
      <c r="C109" s="37"/>
      <c r="D109" s="29"/>
      <c r="E109" s="37"/>
      <c r="F109" s="37"/>
      <c r="G109" s="63"/>
      <c r="H109" s="37"/>
      <c r="I109" s="37"/>
      <c r="J109" s="37"/>
      <c r="K109" s="37"/>
      <c r="L109" s="63"/>
      <c r="M109" s="63"/>
      <c r="N109" s="63"/>
      <c r="O109" s="63"/>
      <c r="P109" s="29"/>
      <c r="Q109" s="29"/>
      <c r="R109" s="29"/>
      <c r="S109" s="29"/>
      <c r="T109" s="29"/>
      <c r="U109" s="29"/>
      <c r="V109" s="29"/>
      <c r="W109" s="29"/>
      <c r="X109" s="29"/>
    </row>
    <row r="110" spans="2:24" x14ac:dyDescent="0.2">
      <c r="B110" s="37"/>
      <c r="C110" s="37"/>
      <c r="D110" s="73" t="s">
        <v>43</v>
      </c>
      <c r="E110" s="59" t="s">
        <v>44</v>
      </c>
      <c r="F110" s="37"/>
      <c r="G110" s="63"/>
      <c r="H110" s="29" t="s">
        <v>412</v>
      </c>
      <c r="I110" s="37"/>
      <c r="J110" s="37"/>
      <c r="K110" s="37"/>
      <c r="L110" s="63"/>
      <c r="M110" s="63"/>
      <c r="N110" s="63"/>
      <c r="O110" s="63"/>
      <c r="P110" s="29"/>
      <c r="Q110" s="29"/>
      <c r="R110" s="29"/>
      <c r="S110" s="29"/>
      <c r="T110" s="29"/>
      <c r="U110" s="29"/>
      <c r="V110" s="29"/>
      <c r="W110" s="29"/>
      <c r="X110" s="29"/>
    </row>
    <row r="111" spans="2:24" x14ac:dyDescent="0.2">
      <c r="B111" s="37"/>
      <c r="C111" s="37"/>
      <c r="D111" s="99" t="s">
        <v>463</v>
      </c>
      <c r="E111" s="75">
        <v>1</v>
      </c>
      <c r="F111" s="37"/>
      <c r="G111" s="63"/>
      <c r="H111" s="37"/>
      <c r="I111" s="37"/>
      <c r="J111" s="37"/>
      <c r="K111" s="37"/>
      <c r="L111" s="63"/>
      <c r="M111" s="63"/>
      <c r="N111" s="63"/>
      <c r="O111" s="63"/>
      <c r="P111" s="29"/>
      <c r="Q111" s="29"/>
      <c r="R111" s="29"/>
      <c r="S111" s="29"/>
      <c r="T111" s="29"/>
      <c r="U111" s="29"/>
      <c r="V111" s="29"/>
      <c r="W111" s="29"/>
      <c r="X111" s="29"/>
    </row>
    <row r="112" spans="2:24" x14ac:dyDescent="0.2">
      <c r="B112" s="37"/>
      <c r="C112" s="37"/>
      <c r="D112" s="54" t="s">
        <v>429</v>
      </c>
      <c r="E112" s="75">
        <v>1</v>
      </c>
      <c r="F112" s="37"/>
      <c r="G112" s="63"/>
      <c r="H112" s="37"/>
      <c r="I112" s="37"/>
      <c r="J112" s="37"/>
      <c r="K112" s="37"/>
      <c r="L112" s="63"/>
      <c r="M112" s="63"/>
      <c r="N112" s="63"/>
      <c r="O112" s="63"/>
      <c r="P112" s="29"/>
      <c r="Q112" s="29"/>
      <c r="R112" s="29"/>
      <c r="S112" s="29"/>
      <c r="T112" s="29"/>
      <c r="U112" s="29"/>
      <c r="V112" s="29"/>
      <c r="W112" s="29"/>
      <c r="X112" s="29"/>
    </row>
    <row r="113" spans="2:24" x14ac:dyDescent="0.2">
      <c r="B113" s="37"/>
      <c r="C113" s="37"/>
      <c r="D113" s="99" t="s">
        <v>464</v>
      </c>
      <c r="E113" s="75">
        <v>1</v>
      </c>
      <c r="F113" s="37"/>
      <c r="G113" s="63"/>
      <c r="H113" s="37"/>
      <c r="I113" s="37"/>
      <c r="J113" s="37"/>
      <c r="K113" s="37"/>
      <c r="L113" s="63"/>
      <c r="M113" s="63"/>
      <c r="N113" s="63"/>
      <c r="O113" s="63"/>
      <c r="P113" s="29"/>
      <c r="Q113" s="29"/>
      <c r="R113" s="29"/>
      <c r="S113" s="29"/>
      <c r="T113" s="29"/>
      <c r="U113" s="29"/>
      <c r="V113" s="29"/>
      <c r="W113" s="29"/>
      <c r="X113" s="29"/>
    </row>
    <row r="114" spans="2:24" x14ac:dyDescent="0.2">
      <c r="B114" s="37"/>
      <c r="C114" s="37"/>
      <c r="D114" s="99" t="s">
        <v>436</v>
      </c>
      <c r="E114" s="75">
        <v>0</v>
      </c>
      <c r="F114" s="37"/>
      <c r="G114" s="63"/>
      <c r="H114" s="37"/>
      <c r="I114" s="37"/>
      <c r="J114" s="37"/>
      <c r="K114" s="37"/>
      <c r="L114" s="63"/>
      <c r="M114" s="63"/>
      <c r="N114" s="63"/>
      <c r="O114" s="63"/>
      <c r="P114" s="29"/>
      <c r="Q114" s="29"/>
      <c r="R114" s="29"/>
      <c r="S114" s="29"/>
      <c r="T114" s="29"/>
      <c r="U114" s="29"/>
      <c r="V114" s="29"/>
      <c r="W114" s="29"/>
      <c r="X114" s="29"/>
    </row>
    <row r="115" spans="2:24" x14ac:dyDescent="0.2">
      <c r="B115" s="37"/>
      <c r="C115" s="37"/>
      <c r="D115" s="99" t="s">
        <v>434</v>
      </c>
      <c r="E115" s="75">
        <v>0</v>
      </c>
      <c r="F115" s="37"/>
      <c r="G115" s="63"/>
      <c r="H115" s="37"/>
      <c r="I115" s="37"/>
      <c r="J115" s="37"/>
      <c r="K115" s="37"/>
      <c r="L115" s="63"/>
      <c r="M115" s="63"/>
      <c r="N115" s="63"/>
      <c r="O115" s="63"/>
      <c r="P115" s="29"/>
      <c r="Q115" s="29"/>
      <c r="R115" s="29"/>
      <c r="S115" s="29"/>
      <c r="T115" s="29"/>
      <c r="U115" s="29"/>
      <c r="V115" s="29"/>
      <c r="W115" s="29"/>
      <c r="X115" s="29"/>
    </row>
    <row r="116" spans="2:24" x14ac:dyDescent="0.2">
      <c r="B116" s="37"/>
      <c r="C116" s="37"/>
      <c r="D116" s="99" t="s">
        <v>465</v>
      </c>
      <c r="E116" s="75">
        <v>0</v>
      </c>
      <c r="F116" s="37"/>
      <c r="G116" s="63"/>
      <c r="H116" s="37"/>
      <c r="I116" s="37"/>
      <c r="J116" s="37"/>
      <c r="K116" s="37"/>
      <c r="L116" s="63"/>
      <c r="M116" s="63"/>
      <c r="N116" s="63"/>
      <c r="O116" s="63"/>
      <c r="P116" s="29"/>
      <c r="Q116" s="29"/>
      <c r="R116" s="29"/>
      <c r="S116" s="29"/>
      <c r="T116" s="29"/>
      <c r="U116" s="29"/>
      <c r="V116" s="29"/>
      <c r="W116" s="29"/>
      <c r="X116" s="29"/>
    </row>
    <row r="117" spans="2:24" x14ac:dyDescent="0.2">
      <c r="B117" s="37"/>
      <c r="C117" s="37"/>
      <c r="D117" s="99" t="s">
        <v>456</v>
      </c>
      <c r="E117" s="75">
        <v>0</v>
      </c>
      <c r="F117" s="37"/>
      <c r="G117" s="63"/>
      <c r="H117" s="37"/>
      <c r="I117" s="37"/>
      <c r="J117" s="37"/>
      <c r="K117" s="37"/>
      <c r="L117" s="63"/>
      <c r="M117" s="63"/>
      <c r="N117" s="63"/>
      <c r="O117" s="63"/>
      <c r="P117" s="29"/>
      <c r="Q117" s="29"/>
      <c r="R117" s="29"/>
      <c r="S117" s="29"/>
      <c r="T117" s="29"/>
      <c r="U117" s="29"/>
      <c r="V117" s="29"/>
      <c r="W117" s="29"/>
      <c r="X117" s="29"/>
    </row>
    <row r="118" spans="2:24" x14ac:dyDescent="0.2">
      <c r="B118" s="37"/>
      <c r="C118" s="37"/>
      <c r="D118" s="99" t="s">
        <v>466</v>
      </c>
      <c r="E118" s="75">
        <v>1</v>
      </c>
      <c r="F118" s="37"/>
      <c r="G118" s="63"/>
      <c r="H118" s="37"/>
      <c r="I118" s="37"/>
      <c r="J118" s="37"/>
      <c r="K118" s="37"/>
      <c r="L118" s="63"/>
      <c r="M118" s="63"/>
      <c r="N118" s="63"/>
      <c r="O118" s="63"/>
      <c r="P118" s="29"/>
      <c r="Q118" s="29"/>
      <c r="R118" s="29"/>
      <c r="S118" s="29"/>
      <c r="T118" s="29"/>
      <c r="U118" s="29"/>
      <c r="V118" s="29"/>
      <c r="W118" s="29"/>
      <c r="X118" s="29"/>
    </row>
    <row r="119" spans="2:24" x14ac:dyDescent="0.2">
      <c r="B119" s="37"/>
      <c r="C119" s="37"/>
      <c r="D119" s="29"/>
      <c r="E119" s="37"/>
      <c r="F119" s="37"/>
      <c r="G119" s="63"/>
      <c r="H119" s="37"/>
      <c r="I119" s="37"/>
      <c r="J119" s="37"/>
      <c r="K119" s="37"/>
      <c r="L119" s="63"/>
      <c r="M119" s="63"/>
      <c r="N119" s="63"/>
      <c r="O119" s="63"/>
      <c r="P119" s="29"/>
      <c r="Q119" s="29"/>
      <c r="R119" s="29"/>
      <c r="S119" s="29"/>
      <c r="T119" s="29"/>
      <c r="U119" s="29"/>
      <c r="V119" s="29"/>
      <c r="W119" s="29"/>
      <c r="X119" s="29"/>
    </row>
    <row r="120" spans="2:24" x14ac:dyDescent="0.2">
      <c r="B120" s="37"/>
      <c r="C120" s="37"/>
      <c r="D120" s="63" t="s">
        <v>41</v>
      </c>
      <c r="E120" s="90">
        <f>SUM(E111:E118)</f>
        <v>4</v>
      </c>
      <c r="F120" s="37"/>
      <c r="G120" s="63"/>
      <c r="H120" s="37"/>
      <c r="I120" s="37"/>
      <c r="J120" s="37"/>
      <c r="K120" s="37"/>
      <c r="L120" s="63"/>
      <c r="M120" s="63"/>
      <c r="N120" s="63"/>
      <c r="O120" s="63"/>
      <c r="P120" s="29"/>
      <c r="Q120" s="29"/>
      <c r="R120" s="29"/>
      <c r="S120" s="29"/>
      <c r="T120" s="29"/>
      <c r="U120" s="29"/>
      <c r="V120" s="29"/>
      <c r="W120" s="29"/>
      <c r="X120" s="29"/>
    </row>
    <row r="121" spans="2:24" x14ac:dyDescent="0.2">
      <c r="B121" s="37"/>
      <c r="C121" s="37"/>
      <c r="D121" s="53"/>
      <c r="E121" s="52"/>
      <c r="F121" s="29"/>
      <c r="G121" s="29"/>
      <c r="H121" s="37"/>
      <c r="I121" s="37"/>
      <c r="J121" s="37"/>
      <c r="K121" s="37"/>
      <c r="L121" s="63"/>
      <c r="M121" s="63"/>
      <c r="N121" s="63"/>
      <c r="O121" s="63"/>
      <c r="P121" s="29"/>
      <c r="Q121" s="29"/>
      <c r="R121" s="29"/>
      <c r="S121" s="29"/>
      <c r="T121" s="29"/>
      <c r="U121" s="29"/>
      <c r="V121" s="29"/>
      <c r="W121" s="29"/>
      <c r="X121" s="29"/>
    </row>
    <row r="122" spans="2:24" x14ac:dyDescent="0.2">
      <c r="B122" s="58" t="s">
        <v>405</v>
      </c>
      <c r="C122" s="101" t="s">
        <v>406</v>
      </c>
      <c r="D122" s="58" t="s">
        <v>407</v>
      </c>
      <c r="E122" s="58"/>
      <c r="F122" s="58"/>
      <c r="G122" s="58"/>
      <c r="H122" s="58"/>
      <c r="I122" s="58"/>
      <c r="J122" s="37"/>
      <c r="K122" s="37"/>
      <c r="L122" s="63"/>
      <c r="M122" s="63"/>
      <c r="N122" s="63"/>
      <c r="O122" s="63"/>
      <c r="P122" s="29"/>
      <c r="Q122" s="29"/>
      <c r="R122" s="29"/>
      <c r="S122" s="29"/>
      <c r="T122" s="29"/>
      <c r="U122" s="29"/>
      <c r="V122" s="29"/>
      <c r="W122" s="29"/>
      <c r="X122" s="29"/>
    </row>
    <row r="123" spans="2:24" x14ac:dyDescent="0.2">
      <c r="B123" s="37"/>
      <c r="C123" s="37"/>
      <c r="D123" s="29"/>
      <c r="E123" s="37"/>
      <c r="F123" s="37"/>
      <c r="G123" s="63"/>
      <c r="H123" s="37"/>
      <c r="I123" s="61"/>
      <c r="J123" s="37"/>
      <c r="K123" s="29" t="s">
        <v>408</v>
      </c>
      <c r="L123" s="63"/>
      <c r="M123" s="63"/>
      <c r="N123" s="63"/>
      <c r="O123" s="63"/>
      <c r="P123" s="29"/>
      <c r="Q123" s="29"/>
      <c r="R123" s="29"/>
      <c r="S123" s="29"/>
      <c r="T123" s="29"/>
      <c r="U123" s="29"/>
      <c r="V123" s="29"/>
      <c r="W123" s="29"/>
      <c r="X123" s="29"/>
    </row>
    <row r="124" spans="2:24" x14ac:dyDescent="0.2">
      <c r="B124" s="37"/>
      <c r="C124" s="37"/>
      <c r="D124" s="84"/>
      <c r="E124" s="59" t="s">
        <v>318</v>
      </c>
      <c r="F124" s="59"/>
      <c r="G124" s="59" t="s">
        <v>42</v>
      </c>
      <c r="H124" s="59"/>
      <c r="I124" s="59" t="s">
        <v>58</v>
      </c>
      <c r="J124" s="37"/>
      <c r="K124" s="37"/>
      <c r="L124" s="63"/>
      <c r="M124" s="63"/>
      <c r="N124" s="63"/>
      <c r="O124" s="63"/>
      <c r="P124" s="29"/>
      <c r="Q124" s="29"/>
      <c r="R124" s="29"/>
      <c r="S124" s="29"/>
      <c r="T124" s="29"/>
      <c r="U124" s="29"/>
      <c r="V124" s="29"/>
      <c r="W124" s="29"/>
      <c r="X124" s="29"/>
    </row>
    <row r="125" spans="2:24" x14ac:dyDescent="0.2">
      <c r="B125" s="37"/>
      <c r="C125" s="37"/>
      <c r="D125" s="71" t="s">
        <v>431</v>
      </c>
      <c r="E125" s="34">
        <v>6.03</v>
      </c>
      <c r="F125" s="51" t="s">
        <v>51</v>
      </c>
      <c r="G125" s="34">
        <v>5.01</v>
      </c>
      <c r="H125" s="99" t="s">
        <v>50</v>
      </c>
      <c r="I125" s="61">
        <f>E125*G125</f>
        <v>30.2103</v>
      </c>
      <c r="J125" s="37"/>
      <c r="K125" s="37"/>
      <c r="L125" s="63"/>
      <c r="M125" s="63"/>
      <c r="N125" s="63"/>
      <c r="O125" s="63"/>
      <c r="P125" s="29"/>
      <c r="Q125" s="29"/>
      <c r="R125" s="29"/>
      <c r="S125" s="29"/>
      <c r="T125" s="29"/>
      <c r="U125" s="29"/>
      <c r="V125" s="29"/>
      <c r="W125" s="29"/>
      <c r="X125" s="29"/>
    </row>
    <row r="126" spans="2:24" x14ac:dyDescent="0.2">
      <c r="B126" s="37"/>
      <c r="C126" s="37"/>
      <c r="D126" s="99" t="s">
        <v>429</v>
      </c>
      <c r="E126" s="34">
        <v>6.01</v>
      </c>
      <c r="F126" s="51" t="s">
        <v>51</v>
      </c>
      <c r="G126" s="34">
        <v>5.96</v>
      </c>
      <c r="H126" s="99" t="s">
        <v>50</v>
      </c>
      <c r="I126" s="61">
        <f>E126*G126</f>
        <v>35.819600000000001</v>
      </c>
      <c r="J126" s="37"/>
      <c r="K126" s="37"/>
      <c r="L126" s="63"/>
      <c r="M126" s="63"/>
      <c r="N126" s="63"/>
      <c r="O126" s="63"/>
      <c r="P126" s="29"/>
      <c r="Q126" s="29"/>
      <c r="R126" s="29"/>
      <c r="S126" s="29"/>
      <c r="T126" s="29"/>
      <c r="U126" s="29"/>
      <c r="V126" s="29"/>
      <c r="W126" s="29"/>
      <c r="X126" s="29"/>
    </row>
    <row r="127" spans="2:24" x14ac:dyDescent="0.2">
      <c r="B127" s="37"/>
      <c r="C127" s="37"/>
      <c r="D127" s="71" t="s">
        <v>432</v>
      </c>
      <c r="E127" s="34">
        <v>5</v>
      </c>
      <c r="F127" s="51" t="s">
        <v>51</v>
      </c>
      <c r="G127" s="34">
        <v>6</v>
      </c>
      <c r="H127" s="99" t="s">
        <v>50</v>
      </c>
      <c r="I127" s="61">
        <f>E127*G127</f>
        <v>30</v>
      </c>
      <c r="J127" s="37"/>
      <c r="K127" s="37"/>
      <c r="L127" s="63"/>
      <c r="M127" s="63"/>
      <c r="N127" s="63"/>
      <c r="O127" s="63"/>
      <c r="P127" s="29"/>
      <c r="Q127" s="29"/>
      <c r="R127" s="29"/>
      <c r="S127" s="29"/>
      <c r="T127" s="29"/>
      <c r="U127" s="29"/>
      <c r="V127" s="29"/>
      <c r="W127" s="29"/>
      <c r="X127" s="29"/>
    </row>
    <row r="128" spans="2:24" x14ac:dyDescent="0.2">
      <c r="B128" s="37"/>
      <c r="C128" s="37"/>
      <c r="D128" s="99" t="s">
        <v>433</v>
      </c>
      <c r="E128" s="34">
        <v>5</v>
      </c>
      <c r="F128" s="51" t="s">
        <v>51</v>
      </c>
      <c r="G128" s="34">
        <v>8.0500000000000007</v>
      </c>
      <c r="H128" s="99" t="s">
        <v>50</v>
      </c>
      <c r="I128" s="61">
        <f t="shared" ref="I128:I131" si="3">E128*G128</f>
        <v>40.25</v>
      </c>
      <c r="J128" s="37"/>
      <c r="K128" s="37"/>
      <c r="L128" s="63"/>
      <c r="M128" s="63"/>
      <c r="N128" s="63"/>
      <c r="O128" s="63"/>
      <c r="P128" s="29"/>
      <c r="Q128" s="29"/>
      <c r="R128" s="29"/>
      <c r="S128" s="29"/>
      <c r="T128" s="29"/>
      <c r="U128" s="29"/>
      <c r="V128" s="29"/>
      <c r="W128" s="29"/>
      <c r="X128" s="29"/>
    </row>
    <row r="129" spans="2:24" x14ac:dyDescent="0.2">
      <c r="B129" s="37"/>
      <c r="C129" s="37"/>
      <c r="D129" s="99" t="s">
        <v>434</v>
      </c>
      <c r="E129" s="34">
        <v>7.55</v>
      </c>
      <c r="F129" s="51" t="s">
        <v>51</v>
      </c>
      <c r="G129" s="34">
        <v>4.82</v>
      </c>
      <c r="H129" s="99" t="s">
        <v>50</v>
      </c>
      <c r="I129" s="61">
        <f t="shared" si="3"/>
        <v>36.390999999999998</v>
      </c>
      <c r="J129" s="37"/>
      <c r="K129" s="37"/>
      <c r="L129" s="63"/>
      <c r="M129" s="63"/>
      <c r="N129" s="63"/>
      <c r="O129" s="63"/>
      <c r="P129" s="29"/>
      <c r="Q129" s="29"/>
      <c r="R129" s="29"/>
      <c r="S129" s="29"/>
      <c r="T129" s="29"/>
      <c r="U129" s="29"/>
      <c r="V129" s="29"/>
      <c r="W129" s="29"/>
      <c r="X129" s="29"/>
    </row>
    <row r="130" spans="2:24" x14ac:dyDescent="0.2">
      <c r="B130" s="37"/>
      <c r="C130" s="37"/>
      <c r="D130" s="99" t="s">
        <v>435</v>
      </c>
      <c r="E130" s="34">
        <v>4.03</v>
      </c>
      <c r="F130" s="51" t="s">
        <v>51</v>
      </c>
      <c r="G130" s="34">
        <v>8.02</v>
      </c>
      <c r="H130" s="99" t="s">
        <v>50</v>
      </c>
      <c r="I130" s="61">
        <f t="shared" si="3"/>
        <v>32.320599999999999</v>
      </c>
      <c r="J130" s="37"/>
      <c r="K130" s="37"/>
      <c r="L130" s="63"/>
      <c r="M130" s="63"/>
      <c r="N130" s="63"/>
      <c r="O130" s="63"/>
      <c r="P130" s="29"/>
      <c r="Q130" s="29"/>
      <c r="R130" s="29"/>
      <c r="S130" s="29"/>
      <c r="T130" s="29"/>
      <c r="U130" s="29"/>
      <c r="V130" s="29"/>
      <c r="W130" s="29"/>
      <c r="X130" s="29"/>
    </row>
    <row r="131" spans="2:24" x14ac:dyDescent="0.2">
      <c r="B131" s="37"/>
      <c r="C131" s="37"/>
      <c r="D131" s="99" t="s">
        <v>436</v>
      </c>
      <c r="E131" s="34">
        <v>6</v>
      </c>
      <c r="F131" s="51" t="s">
        <v>51</v>
      </c>
      <c r="G131" s="34">
        <v>8</v>
      </c>
      <c r="H131" s="99" t="s">
        <v>50</v>
      </c>
      <c r="I131" s="61">
        <f t="shared" si="3"/>
        <v>48</v>
      </c>
      <c r="J131" s="37"/>
      <c r="K131" s="37"/>
      <c r="L131" s="63"/>
      <c r="M131" s="63"/>
      <c r="N131" s="63"/>
      <c r="O131" s="63"/>
      <c r="P131" s="29"/>
      <c r="Q131" s="29"/>
      <c r="R131" s="29"/>
      <c r="S131" s="29"/>
      <c r="T131" s="29"/>
      <c r="U131" s="29"/>
      <c r="V131" s="29"/>
      <c r="W131" s="29"/>
      <c r="X131" s="29"/>
    </row>
    <row r="132" spans="2:24" x14ac:dyDescent="0.2">
      <c r="B132" s="37"/>
      <c r="C132" s="37"/>
      <c r="D132" s="99"/>
      <c r="E132" s="34"/>
      <c r="F132" s="51"/>
      <c r="G132" s="34"/>
      <c r="H132" s="99"/>
      <c r="I132" s="61"/>
      <c r="J132" s="37"/>
      <c r="K132" s="37"/>
      <c r="L132" s="63"/>
      <c r="M132" s="63"/>
      <c r="N132" s="63"/>
      <c r="O132" s="63"/>
      <c r="P132" s="29"/>
      <c r="Q132" s="29"/>
      <c r="R132" s="29"/>
      <c r="S132" s="29"/>
      <c r="T132" s="29"/>
      <c r="U132" s="29"/>
      <c r="V132" s="29"/>
      <c r="W132" s="29"/>
      <c r="X132" s="29"/>
    </row>
    <row r="133" spans="2:24" x14ac:dyDescent="0.2">
      <c r="B133" s="37"/>
      <c r="C133" s="37"/>
      <c r="D133" s="29"/>
      <c r="E133" s="52"/>
      <c r="F133" s="29"/>
      <c r="G133" s="52" t="s">
        <v>73</v>
      </c>
      <c r="H133" s="86" t="s">
        <v>109</v>
      </c>
      <c r="I133" s="196">
        <f>SUM(I125:I131)</f>
        <v>252.99149999999997</v>
      </c>
      <c r="J133" s="37"/>
      <c r="K133" s="37"/>
      <c r="L133" s="63"/>
      <c r="M133" s="63"/>
      <c r="N133" s="63"/>
      <c r="O133" s="63"/>
      <c r="P133" s="29"/>
      <c r="Q133" s="29"/>
      <c r="R133" s="29"/>
      <c r="S133" s="29"/>
      <c r="T133" s="29"/>
      <c r="U133" s="29"/>
      <c r="V133" s="29"/>
      <c r="W133" s="29"/>
      <c r="X133" s="29"/>
    </row>
    <row r="134" spans="2:24" x14ac:dyDescent="0.2">
      <c r="B134" s="37"/>
      <c r="C134" s="37"/>
      <c r="D134" s="29"/>
      <c r="E134" s="52"/>
      <c r="F134" s="29"/>
      <c r="G134" s="52"/>
      <c r="H134" s="86"/>
      <c r="I134" s="196"/>
      <c r="J134" s="37"/>
      <c r="K134" s="37"/>
      <c r="L134" s="63"/>
      <c r="M134" s="63"/>
      <c r="N134" s="63"/>
      <c r="O134" s="63"/>
      <c r="P134" s="29"/>
      <c r="Q134" s="29"/>
      <c r="R134" s="29"/>
      <c r="S134" s="29"/>
      <c r="T134" s="29"/>
      <c r="U134" s="29"/>
      <c r="V134" s="29"/>
      <c r="W134" s="29"/>
      <c r="X134" s="29"/>
    </row>
    <row r="135" spans="2:24" x14ac:dyDescent="0.2">
      <c r="B135" s="58" t="s">
        <v>491</v>
      </c>
      <c r="C135" s="101" t="s">
        <v>505</v>
      </c>
      <c r="D135" s="58" t="s">
        <v>502</v>
      </c>
      <c r="E135" s="58"/>
      <c r="F135" s="29"/>
      <c r="G135" s="52"/>
      <c r="H135" s="86"/>
      <c r="I135" s="196"/>
      <c r="J135" s="37"/>
      <c r="K135" s="37"/>
      <c r="L135" s="63"/>
      <c r="M135" s="63"/>
      <c r="N135" s="63"/>
      <c r="O135" s="63"/>
      <c r="P135" s="29"/>
      <c r="Q135" s="29"/>
      <c r="R135" s="29"/>
      <c r="S135" s="29"/>
      <c r="T135" s="29"/>
      <c r="U135" s="29"/>
      <c r="V135" s="29"/>
      <c r="W135" s="29"/>
      <c r="X135" s="29"/>
    </row>
    <row r="136" spans="2:24" x14ac:dyDescent="0.2">
      <c r="B136" s="37"/>
      <c r="C136" s="37"/>
      <c r="D136" s="29"/>
      <c r="E136" s="52"/>
      <c r="F136" s="29"/>
      <c r="G136" s="52"/>
      <c r="H136" s="86"/>
      <c r="I136" s="196"/>
      <c r="J136" s="37"/>
      <c r="K136" s="37"/>
      <c r="L136" s="63"/>
      <c r="M136" s="63"/>
      <c r="N136" s="63"/>
      <c r="O136" s="63"/>
      <c r="P136" s="29"/>
      <c r="Q136" s="29"/>
      <c r="R136" s="29"/>
      <c r="S136" s="29"/>
      <c r="T136" s="29"/>
      <c r="U136" s="29"/>
      <c r="V136" s="29"/>
      <c r="W136" s="29"/>
      <c r="X136" s="29"/>
    </row>
    <row r="137" spans="2:24" x14ac:dyDescent="0.2">
      <c r="B137" s="37"/>
      <c r="C137" s="37"/>
      <c r="D137" s="59" t="s">
        <v>43</v>
      </c>
      <c r="E137" s="59" t="s">
        <v>318</v>
      </c>
      <c r="F137" s="59"/>
      <c r="G137" s="59" t="s">
        <v>42</v>
      </c>
      <c r="H137" s="59"/>
      <c r="I137" s="59" t="s">
        <v>52</v>
      </c>
      <c r="J137" s="37"/>
      <c r="K137" s="63"/>
      <c r="L137" s="63"/>
      <c r="M137" s="63"/>
      <c r="N137" s="63"/>
      <c r="O137" s="63"/>
      <c r="P137" s="29"/>
      <c r="Q137" s="29"/>
      <c r="R137" s="29"/>
      <c r="S137" s="29"/>
      <c r="T137" s="29"/>
      <c r="U137" s="29"/>
      <c r="V137" s="29"/>
      <c r="W137" s="29"/>
      <c r="X137" s="29"/>
    </row>
    <row r="138" spans="2:24" x14ac:dyDescent="0.2">
      <c r="B138" s="37"/>
      <c r="C138" s="37"/>
      <c r="D138" s="99" t="s">
        <v>492</v>
      </c>
      <c r="E138" s="34">
        <v>0.46</v>
      </c>
      <c r="F138" s="51" t="s">
        <v>51</v>
      </c>
      <c r="G138" s="34">
        <v>7.55</v>
      </c>
      <c r="H138" s="99" t="s">
        <v>50</v>
      </c>
      <c r="I138" s="61">
        <f>E138*G138</f>
        <v>3.4729999999999999</v>
      </c>
      <c r="J138" s="37"/>
      <c r="K138" s="29" t="s">
        <v>501</v>
      </c>
      <c r="L138" s="63"/>
      <c r="M138" s="63"/>
      <c r="N138" s="63"/>
      <c r="O138" s="63"/>
      <c r="P138" s="29"/>
      <c r="Q138" s="29"/>
      <c r="R138" s="29"/>
      <c r="S138" s="29"/>
      <c r="T138" s="29"/>
      <c r="U138" s="29"/>
      <c r="V138" s="29"/>
      <c r="W138" s="29"/>
      <c r="X138" s="29"/>
    </row>
    <row r="139" spans="2:24" x14ac:dyDescent="0.2">
      <c r="B139" s="37"/>
      <c r="C139" s="37"/>
      <c r="D139" s="99"/>
      <c r="E139" s="34"/>
      <c r="F139" s="51"/>
      <c r="G139" s="34"/>
      <c r="H139" s="99"/>
      <c r="I139" s="61"/>
      <c r="J139" s="37"/>
      <c r="K139" s="37"/>
      <c r="L139" s="63"/>
      <c r="M139" s="63"/>
      <c r="N139" s="63"/>
      <c r="O139" s="63"/>
      <c r="P139" s="29"/>
      <c r="Q139" s="29"/>
      <c r="R139" s="29"/>
      <c r="S139" s="29"/>
      <c r="T139" s="29"/>
      <c r="U139" s="29"/>
      <c r="V139" s="29"/>
      <c r="W139" s="29"/>
      <c r="X139" s="29"/>
    </row>
    <row r="140" spans="2:24" x14ac:dyDescent="0.2">
      <c r="B140" s="37"/>
      <c r="C140" s="37"/>
      <c r="D140" s="53"/>
      <c r="E140" s="79"/>
      <c r="F140" s="61"/>
      <c r="G140" s="34"/>
      <c r="H140" s="53" t="s">
        <v>41</v>
      </c>
      <c r="I140" s="62">
        <f>SUM(I138:I139)</f>
        <v>3.4729999999999999</v>
      </c>
      <c r="J140" s="37"/>
      <c r="K140" s="37"/>
      <c r="L140" s="63"/>
      <c r="M140" s="63"/>
      <c r="N140" s="63"/>
      <c r="O140" s="63"/>
      <c r="P140" s="29"/>
      <c r="Q140" s="29"/>
      <c r="R140" s="29"/>
      <c r="S140" s="29"/>
      <c r="T140" s="29"/>
      <c r="U140" s="29"/>
      <c r="V140" s="29"/>
      <c r="W140" s="29"/>
      <c r="X140" s="29"/>
    </row>
    <row r="141" spans="2:24" x14ac:dyDescent="0.2">
      <c r="B141" s="37"/>
      <c r="C141" s="37"/>
      <c r="D141" s="29"/>
      <c r="E141" s="52"/>
      <c r="F141" s="29"/>
      <c r="G141" s="52"/>
      <c r="H141" s="86"/>
      <c r="I141" s="196"/>
      <c r="J141" s="37"/>
      <c r="K141" s="37"/>
      <c r="L141" s="63"/>
      <c r="M141" s="63"/>
      <c r="N141" s="63"/>
      <c r="O141" s="63"/>
      <c r="P141" s="29"/>
      <c r="Q141" s="29"/>
      <c r="R141" s="29"/>
      <c r="S141" s="29"/>
      <c r="T141" s="29"/>
      <c r="U141" s="29"/>
      <c r="V141" s="29"/>
      <c r="W141" s="29"/>
      <c r="X141" s="29"/>
    </row>
    <row r="142" spans="2:24" x14ac:dyDescent="0.2">
      <c r="B142" s="58" t="s">
        <v>503</v>
      </c>
      <c r="C142" s="101">
        <v>104791</v>
      </c>
      <c r="D142" s="58" t="s">
        <v>506</v>
      </c>
      <c r="E142" s="58"/>
      <c r="F142" s="58"/>
      <c r="G142" s="58"/>
      <c r="H142" s="58"/>
      <c r="I142" s="58"/>
      <c r="J142" s="58"/>
      <c r="K142" s="58"/>
      <c r="L142" s="63"/>
      <c r="M142" s="63"/>
      <c r="N142" s="63"/>
      <c r="O142" s="63"/>
      <c r="P142" s="29"/>
      <c r="Q142" s="29"/>
      <c r="R142" s="29"/>
      <c r="S142" s="29"/>
      <c r="T142" s="29"/>
      <c r="U142" s="29"/>
      <c r="V142" s="29"/>
      <c r="W142" s="29"/>
      <c r="X142" s="29"/>
    </row>
    <row r="143" spans="2:24" x14ac:dyDescent="0.2">
      <c r="B143" s="37"/>
      <c r="C143" s="37"/>
      <c r="D143" s="29"/>
      <c r="E143" s="37"/>
      <c r="F143" s="37"/>
      <c r="G143" s="63"/>
      <c r="H143" s="37"/>
      <c r="I143" s="61"/>
      <c r="J143" s="29"/>
      <c r="K143" s="37"/>
      <c r="L143" s="63"/>
      <c r="M143" s="63"/>
      <c r="N143" s="63"/>
      <c r="O143" s="63"/>
      <c r="P143" s="29"/>
      <c r="Q143" s="29"/>
      <c r="R143" s="29"/>
      <c r="S143" s="29"/>
      <c r="T143" s="29"/>
      <c r="U143" s="29"/>
      <c r="V143" s="29"/>
      <c r="W143" s="29"/>
      <c r="X143" s="29"/>
    </row>
    <row r="144" spans="2:24" x14ac:dyDescent="0.2">
      <c r="B144" s="37"/>
      <c r="C144" s="37"/>
      <c r="D144" s="84"/>
      <c r="E144" s="59" t="s">
        <v>472</v>
      </c>
      <c r="F144" s="59"/>
      <c r="G144" s="59" t="s">
        <v>497</v>
      </c>
      <c r="H144" s="59"/>
      <c r="I144" s="59" t="s">
        <v>58</v>
      </c>
      <c r="J144" s="29"/>
      <c r="K144" s="37"/>
      <c r="L144" s="63"/>
      <c r="M144" s="63"/>
      <c r="N144" s="63"/>
      <c r="O144" s="63"/>
      <c r="P144" s="29"/>
      <c r="Q144" s="29"/>
      <c r="R144" s="29"/>
      <c r="S144" s="29"/>
      <c r="T144" s="29"/>
      <c r="U144" s="29"/>
      <c r="V144" s="29"/>
      <c r="W144" s="29"/>
      <c r="X144" s="29"/>
    </row>
    <row r="145" spans="2:24" x14ac:dyDescent="0.2">
      <c r="B145" s="37"/>
      <c r="C145" s="37"/>
      <c r="D145" s="100" t="s">
        <v>469</v>
      </c>
      <c r="E145" s="34">
        <f>4.84+4.84+4.84+4.84+6+6</f>
        <v>31.36</v>
      </c>
      <c r="F145" s="51" t="s">
        <v>51</v>
      </c>
      <c r="G145" s="34">
        <v>2.97</v>
      </c>
      <c r="H145" s="99" t="s">
        <v>50</v>
      </c>
      <c r="I145" s="61">
        <f>E145*G145</f>
        <v>93.139200000000002</v>
      </c>
      <c r="J145" s="29"/>
      <c r="K145" s="56" t="s">
        <v>504</v>
      </c>
      <c r="L145" s="63"/>
      <c r="M145" s="63"/>
      <c r="N145" s="63"/>
      <c r="O145" s="63"/>
      <c r="P145" s="29"/>
      <c r="Q145" s="29"/>
      <c r="R145" s="29"/>
      <c r="S145" s="29"/>
      <c r="T145" s="29"/>
      <c r="U145" s="29"/>
      <c r="V145" s="29"/>
      <c r="W145" s="29"/>
      <c r="X145" s="29"/>
    </row>
    <row r="146" spans="2:24" x14ac:dyDescent="0.2">
      <c r="B146" s="37"/>
      <c r="C146" s="37"/>
      <c r="D146" s="100" t="s">
        <v>471</v>
      </c>
      <c r="E146" s="34">
        <f>8+6.15+6.15+8+6+5</f>
        <v>39.299999999999997</v>
      </c>
      <c r="F146" s="51" t="s">
        <v>51</v>
      </c>
      <c r="G146" s="34">
        <v>2.94</v>
      </c>
      <c r="H146" s="99" t="s">
        <v>50</v>
      </c>
      <c r="I146" s="61">
        <f t="shared" ref="I146" si="4">E146*G146</f>
        <v>115.54199999999999</v>
      </c>
      <c r="J146" s="29"/>
      <c r="K146" s="37"/>
      <c r="L146" s="63"/>
      <c r="M146" s="63"/>
      <c r="N146" s="63"/>
      <c r="O146" s="63"/>
      <c r="P146" s="29"/>
      <c r="Q146" s="29"/>
      <c r="R146" s="29"/>
      <c r="S146" s="29"/>
      <c r="T146" s="29"/>
      <c r="U146" s="29"/>
      <c r="V146" s="29"/>
      <c r="W146" s="29"/>
      <c r="X146" s="29"/>
    </row>
    <row r="147" spans="2:24" x14ac:dyDescent="0.2">
      <c r="B147" s="37"/>
      <c r="C147" s="37"/>
      <c r="D147" s="100"/>
      <c r="E147" s="34"/>
      <c r="F147" s="51"/>
      <c r="G147" s="34"/>
      <c r="H147" s="99"/>
      <c r="I147" s="61"/>
      <c r="J147" s="29"/>
      <c r="K147" s="37"/>
      <c r="L147" s="63"/>
      <c r="M147" s="63"/>
      <c r="N147" s="63"/>
      <c r="O147" s="63"/>
      <c r="P147" s="29"/>
      <c r="Q147" s="29"/>
      <c r="R147" s="29"/>
      <c r="S147" s="29"/>
      <c r="T147" s="29"/>
      <c r="U147" s="29"/>
      <c r="V147" s="29"/>
      <c r="W147" s="29"/>
      <c r="X147" s="29"/>
    </row>
    <row r="148" spans="2:24" x14ac:dyDescent="0.2">
      <c r="B148" s="37"/>
      <c r="C148" s="37"/>
      <c r="D148" s="29"/>
      <c r="E148" s="34"/>
      <c r="F148" s="29"/>
      <c r="G148" s="52" t="s">
        <v>73</v>
      </c>
      <c r="H148" s="86" t="s">
        <v>109</v>
      </c>
      <c r="I148" s="62">
        <f>I145+I146</f>
        <v>208.68119999999999</v>
      </c>
      <c r="J148" s="29"/>
      <c r="K148" s="37"/>
      <c r="L148" s="63"/>
      <c r="M148" s="63"/>
      <c r="N148" s="63"/>
      <c r="O148" s="63"/>
      <c r="P148" s="29"/>
      <c r="Q148" s="29"/>
      <c r="R148" s="29"/>
      <c r="S148" s="29"/>
      <c r="T148" s="29"/>
      <c r="U148" s="29"/>
      <c r="V148" s="29"/>
      <c r="W148" s="29"/>
      <c r="X148" s="29"/>
    </row>
    <row r="149" spans="2:24" x14ac:dyDescent="0.2">
      <c r="B149" s="37"/>
      <c r="C149" s="37"/>
      <c r="D149" s="29"/>
      <c r="E149" s="52"/>
      <c r="F149" s="29"/>
      <c r="G149" s="52"/>
      <c r="H149" s="86"/>
      <c r="I149" s="196"/>
      <c r="J149" s="37"/>
      <c r="K149" s="37"/>
      <c r="L149" s="63"/>
      <c r="M149" s="63"/>
      <c r="N149" s="63"/>
      <c r="O149" s="63"/>
      <c r="P149" s="29"/>
      <c r="Q149" s="29"/>
      <c r="R149" s="29"/>
      <c r="S149" s="29"/>
      <c r="T149" s="29"/>
      <c r="U149" s="29"/>
      <c r="V149" s="29"/>
      <c r="W149" s="29"/>
      <c r="X149" s="29"/>
    </row>
    <row r="150" spans="2:24" x14ac:dyDescent="0.2">
      <c r="B150" s="58" t="s">
        <v>507</v>
      </c>
      <c r="C150" s="101" t="s">
        <v>508</v>
      </c>
      <c r="D150" s="58" t="s">
        <v>509</v>
      </c>
      <c r="E150" s="58"/>
      <c r="F150" s="58"/>
      <c r="G150" s="58"/>
      <c r="H150" s="58"/>
      <c r="I150" s="58"/>
      <c r="J150" s="58"/>
      <c r="K150" s="58"/>
      <c r="L150" s="63"/>
      <c r="M150" s="63"/>
      <c r="N150" s="63"/>
      <c r="O150" s="63"/>
      <c r="P150" s="29"/>
      <c r="Q150" s="29"/>
      <c r="R150" s="29"/>
      <c r="S150" s="29"/>
      <c r="T150" s="29"/>
      <c r="U150" s="29"/>
      <c r="V150" s="29"/>
      <c r="W150" s="29"/>
      <c r="X150" s="29"/>
    </row>
    <row r="151" spans="2:24" x14ac:dyDescent="0.2">
      <c r="B151" s="37"/>
      <c r="C151" s="37"/>
      <c r="D151" s="29"/>
      <c r="E151" s="37"/>
      <c r="F151" s="37"/>
      <c r="G151" s="63"/>
      <c r="H151" s="37"/>
      <c r="I151" s="61"/>
      <c r="J151" s="29"/>
      <c r="K151" s="37"/>
      <c r="L151" s="63"/>
      <c r="M151" s="63"/>
      <c r="N151" s="63"/>
      <c r="O151" s="63"/>
      <c r="P151" s="29"/>
      <c r="Q151" s="29"/>
      <c r="R151" s="29"/>
      <c r="S151" s="29"/>
      <c r="T151" s="29"/>
      <c r="U151" s="29"/>
      <c r="V151" s="29"/>
      <c r="W151" s="29"/>
      <c r="X151" s="29"/>
    </row>
    <row r="152" spans="2:24" x14ac:dyDescent="0.2">
      <c r="B152" s="37"/>
      <c r="C152" s="37"/>
      <c r="D152" s="84"/>
      <c r="E152" s="59" t="s">
        <v>472</v>
      </c>
      <c r="F152" s="59"/>
      <c r="G152" s="59" t="s">
        <v>497</v>
      </c>
      <c r="H152" s="59"/>
      <c r="I152" s="59" t="s">
        <v>58</v>
      </c>
      <c r="J152" s="29"/>
      <c r="K152" s="37"/>
      <c r="L152" s="63"/>
      <c r="M152" s="63"/>
      <c r="N152" s="63"/>
      <c r="O152" s="63"/>
      <c r="P152" s="29"/>
      <c r="Q152" s="29"/>
      <c r="R152" s="29"/>
      <c r="S152" s="29"/>
      <c r="T152" s="29"/>
      <c r="U152" s="29"/>
      <c r="V152" s="29"/>
      <c r="W152" s="29"/>
      <c r="X152" s="29"/>
    </row>
    <row r="153" spans="2:24" x14ac:dyDescent="0.2">
      <c r="B153" s="37"/>
      <c r="C153" s="37"/>
      <c r="D153" s="100" t="s">
        <v>470</v>
      </c>
      <c r="E153" s="34">
        <v>6</v>
      </c>
      <c r="F153" s="51" t="s">
        <v>51</v>
      </c>
      <c r="G153" s="34">
        <v>5.96</v>
      </c>
      <c r="H153" s="99" t="s">
        <v>50</v>
      </c>
      <c r="I153" s="61">
        <f>E153*G153</f>
        <v>35.76</v>
      </c>
      <c r="J153" s="29"/>
      <c r="K153" s="29" t="s">
        <v>596</v>
      </c>
      <c r="L153" s="63"/>
      <c r="M153" s="63"/>
      <c r="N153" s="63"/>
      <c r="O153" s="63"/>
      <c r="P153" s="29"/>
      <c r="Q153" s="29"/>
      <c r="R153" s="29"/>
      <c r="S153" s="29"/>
      <c r="T153" s="29"/>
      <c r="U153" s="29"/>
      <c r="V153" s="29"/>
      <c r="W153" s="29"/>
      <c r="X153" s="29"/>
    </row>
    <row r="154" spans="2:24" x14ac:dyDescent="0.2">
      <c r="B154" s="37"/>
      <c r="C154" s="37"/>
      <c r="D154" s="100" t="s">
        <v>448</v>
      </c>
      <c r="E154" s="34">
        <v>6</v>
      </c>
      <c r="F154" s="51" t="s">
        <v>51</v>
      </c>
      <c r="G154" s="34">
        <v>8</v>
      </c>
      <c r="H154" s="99" t="s">
        <v>50</v>
      </c>
      <c r="I154" s="61">
        <f t="shared" ref="I154" si="5">E154*G154</f>
        <v>48</v>
      </c>
      <c r="J154" s="29"/>
      <c r="K154" s="37"/>
      <c r="L154" s="63"/>
      <c r="M154" s="63"/>
      <c r="N154" s="63"/>
      <c r="O154" s="63"/>
      <c r="P154" s="29"/>
      <c r="Q154" s="29"/>
      <c r="R154" s="29"/>
      <c r="S154" s="29"/>
      <c r="T154" s="29"/>
      <c r="U154" s="29"/>
      <c r="V154" s="29"/>
      <c r="W154" s="29"/>
      <c r="X154" s="29"/>
    </row>
    <row r="155" spans="2:24" x14ac:dyDescent="0.2">
      <c r="B155" s="37"/>
      <c r="C155" s="37"/>
      <c r="D155" s="100"/>
      <c r="E155" s="34"/>
      <c r="F155" s="51"/>
      <c r="G155" s="34"/>
      <c r="H155" s="99"/>
      <c r="I155" s="61"/>
      <c r="J155" s="29"/>
      <c r="K155" s="37"/>
      <c r="L155" s="63"/>
      <c r="M155" s="63"/>
      <c r="N155" s="63"/>
      <c r="O155" s="63"/>
      <c r="P155" s="29"/>
      <c r="Q155" s="29"/>
      <c r="R155" s="29"/>
      <c r="S155" s="29"/>
      <c r="T155" s="29"/>
      <c r="U155" s="29"/>
      <c r="V155" s="29"/>
      <c r="W155" s="29"/>
      <c r="X155" s="29"/>
    </row>
    <row r="156" spans="2:24" x14ac:dyDescent="0.2">
      <c r="B156" s="37"/>
      <c r="C156" s="37"/>
      <c r="D156" s="29"/>
      <c r="E156" s="34"/>
      <c r="F156" s="29"/>
      <c r="G156" s="52" t="s">
        <v>73</v>
      </c>
      <c r="H156" s="86" t="s">
        <v>109</v>
      </c>
      <c r="I156" s="62">
        <f>I153+I154</f>
        <v>83.759999999999991</v>
      </c>
      <c r="J156" s="29"/>
      <c r="K156" s="37"/>
      <c r="L156" s="63"/>
      <c r="M156" s="63"/>
      <c r="N156" s="63"/>
      <c r="O156" s="63"/>
      <c r="P156" s="29"/>
      <c r="Q156" s="29"/>
      <c r="R156" s="29"/>
      <c r="S156" s="29"/>
      <c r="T156" s="29"/>
      <c r="U156" s="29"/>
      <c r="V156" s="29"/>
      <c r="W156" s="29"/>
      <c r="X156" s="29"/>
    </row>
    <row r="157" spans="2:24" x14ac:dyDescent="0.2">
      <c r="B157" s="37"/>
      <c r="C157" s="37"/>
      <c r="D157" s="29"/>
      <c r="E157" s="34"/>
      <c r="F157" s="29"/>
      <c r="G157" s="52"/>
      <c r="H157" s="86"/>
      <c r="I157" s="62"/>
      <c r="J157" s="29"/>
      <c r="K157" s="37"/>
      <c r="L157" s="63"/>
      <c r="M157" s="63"/>
      <c r="N157" s="63"/>
      <c r="O157" s="63"/>
      <c r="P157" s="29"/>
      <c r="Q157" s="29"/>
      <c r="R157" s="29"/>
      <c r="S157" s="29"/>
      <c r="T157" s="29"/>
      <c r="U157" s="29"/>
      <c r="V157" s="29"/>
      <c r="W157" s="29"/>
      <c r="X157" s="29"/>
    </row>
    <row r="158" spans="2:24" x14ac:dyDescent="0.2">
      <c r="B158" s="58" t="s">
        <v>514</v>
      </c>
      <c r="C158" s="101" t="s">
        <v>518</v>
      </c>
      <c r="D158" s="58" t="s">
        <v>517</v>
      </c>
      <c r="E158" s="58"/>
      <c r="F158" s="58"/>
      <c r="G158" s="58"/>
      <c r="H158" s="58"/>
      <c r="I158" s="58"/>
      <c r="J158" s="58"/>
      <c r="K158" s="37"/>
      <c r="L158" s="63"/>
      <c r="M158" s="63"/>
      <c r="N158" s="63"/>
      <c r="O158" s="63"/>
      <c r="P158" s="29"/>
      <c r="Q158" s="29"/>
      <c r="R158" s="29"/>
      <c r="S158" s="29"/>
      <c r="T158" s="29"/>
      <c r="U158" s="29"/>
      <c r="V158" s="29"/>
      <c r="W158" s="29"/>
      <c r="X158" s="29"/>
    </row>
    <row r="159" spans="2:24" x14ac:dyDescent="0.2">
      <c r="B159" s="37"/>
      <c r="C159" s="37"/>
      <c r="D159" s="29"/>
      <c r="E159" s="37"/>
      <c r="F159" s="37"/>
      <c r="G159" s="63"/>
      <c r="H159" s="37"/>
      <c r="I159" s="61"/>
      <c r="J159" s="29"/>
      <c r="K159" s="37"/>
      <c r="L159" s="63"/>
      <c r="M159" s="63"/>
      <c r="N159" s="63"/>
      <c r="O159" s="63"/>
      <c r="P159" s="29"/>
      <c r="Q159" s="29"/>
      <c r="R159" s="29"/>
      <c r="S159" s="29"/>
      <c r="T159" s="29"/>
      <c r="U159" s="29"/>
      <c r="V159" s="29"/>
      <c r="W159" s="29"/>
      <c r="X159" s="29"/>
    </row>
    <row r="160" spans="2:24" x14ac:dyDescent="0.2">
      <c r="B160" s="37"/>
      <c r="C160" s="37"/>
      <c r="D160" s="84"/>
      <c r="E160" s="59" t="s">
        <v>472</v>
      </c>
      <c r="F160" s="59"/>
      <c r="G160" s="59" t="s">
        <v>497</v>
      </c>
      <c r="H160" s="59"/>
      <c r="I160" s="59" t="s">
        <v>58</v>
      </c>
      <c r="J160" s="29"/>
      <c r="K160" s="37"/>
      <c r="L160" s="63"/>
      <c r="M160" s="63"/>
      <c r="N160" s="63"/>
      <c r="O160" s="63"/>
      <c r="P160" s="29"/>
      <c r="Q160" s="29"/>
      <c r="R160" s="29"/>
      <c r="S160" s="29"/>
      <c r="T160" s="29"/>
      <c r="U160" s="29"/>
      <c r="V160" s="29"/>
      <c r="W160" s="29"/>
      <c r="X160" s="29"/>
    </row>
    <row r="161" spans="2:24" x14ac:dyDescent="0.2">
      <c r="B161" s="37"/>
      <c r="C161" s="37"/>
      <c r="D161" s="82" t="s">
        <v>515</v>
      </c>
      <c r="E161" s="34">
        <v>5.01</v>
      </c>
      <c r="F161" s="51" t="s">
        <v>51</v>
      </c>
      <c r="G161" s="34">
        <v>6.03</v>
      </c>
      <c r="H161" s="99" t="s">
        <v>50</v>
      </c>
      <c r="I161" s="61">
        <f>E161*G161</f>
        <v>30.2103</v>
      </c>
      <c r="J161" s="29"/>
      <c r="K161" s="29" t="s">
        <v>524</v>
      </c>
      <c r="L161" s="63"/>
      <c r="M161" s="63"/>
      <c r="N161" s="63"/>
      <c r="O161" s="63"/>
      <c r="P161" s="29"/>
      <c r="Q161" s="29"/>
      <c r="R161" s="29"/>
      <c r="S161" s="29"/>
      <c r="T161" s="29"/>
      <c r="U161" s="29"/>
      <c r="V161" s="29"/>
      <c r="W161" s="29"/>
      <c r="X161" s="29"/>
    </row>
    <row r="162" spans="2:24" x14ac:dyDescent="0.2">
      <c r="B162" s="37"/>
      <c r="C162" s="37"/>
      <c r="D162" s="82" t="s">
        <v>516</v>
      </c>
      <c r="E162" s="34">
        <v>7.55</v>
      </c>
      <c r="F162" s="51" t="s">
        <v>51</v>
      </c>
      <c r="G162" s="34">
        <v>4.82</v>
      </c>
      <c r="H162" s="99" t="s">
        <v>50</v>
      </c>
      <c r="I162" s="61">
        <f t="shared" ref="I162:I169" si="6">E162*G162</f>
        <v>36.390999999999998</v>
      </c>
      <c r="J162" s="29"/>
      <c r="K162" s="37"/>
      <c r="L162" s="63"/>
      <c r="M162" s="63"/>
      <c r="N162" s="63"/>
      <c r="O162" s="63"/>
      <c r="P162" s="29"/>
      <c r="Q162" s="29"/>
      <c r="R162" s="29"/>
      <c r="S162" s="29"/>
      <c r="T162" s="29"/>
      <c r="U162" s="29"/>
      <c r="V162" s="29"/>
      <c r="W162" s="29"/>
      <c r="X162" s="29"/>
    </row>
    <row r="163" spans="2:24" x14ac:dyDescent="0.2">
      <c r="B163" s="37"/>
      <c r="C163" s="37"/>
      <c r="D163" s="82" t="s">
        <v>565</v>
      </c>
      <c r="E163" s="34">
        <v>6</v>
      </c>
      <c r="F163" s="51" t="s">
        <v>51</v>
      </c>
      <c r="G163" s="34">
        <v>5</v>
      </c>
      <c r="H163" s="99" t="s">
        <v>50</v>
      </c>
      <c r="I163" s="61">
        <f t="shared" si="6"/>
        <v>30</v>
      </c>
      <c r="J163" s="29"/>
      <c r="K163" s="37"/>
      <c r="L163" s="63"/>
      <c r="M163" s="63"/>
      <c r="N163" s="63"/>
      <c r="O163" s="63"/>
      <c r="P163" s="29"/>
      <c r="Q163" s="29"/>
      <c r="R163" s="29"/>
      <c r="S163" s="29"/>
      <c r="T163" s="29"/>
      <c r="U163" s="29"/>
      <c r="V163" s="29"/>
      <c r="W163" s="29"/>
      <c r="X163" s="29"/>
    </row>
    <row r="164" spans="2:24" x14ac:dyDescent="0.2">
      <c r="B164" s="37"/>
      <c r="C164" s="37"/>
      <c r="D164" s="82" t="s">
        <v>561</v>
      </c>
      <c r="E164" s="34">
        <v>8.0500000000000007</v>
      </c>
      <c r="F164" s="51" t="s">
        <v>51</v>
      </c>
      <c r="G164" s="34">
        <v>5</v>
      </c>
      <c r="H164" s="99" t="s">
        <v>50</v>
      </c>
      <c r="I164" s="61">
        <f t="shared" si="6"/>
        <v>40.25</v>
      </c>
      <c r="J164" s="29"/>
      <c r="K164" s="37"/>
      <c r="L164" s="63"/>
      <c r="M164" s="63"/>
      <c r="N164" s="63"/>
      <c r="O164" s="63"/>
      <c r="P164" s="29"/>
      <c r="Q164" s="29"/>
      <c r="R164" s="29"/>
      <c r="S164" s="29"/>
      <c r="T164" s="29"/>
      <c r="U164" s="29"/>
      <c r="V164" s="29"/>
      <c r="W164" s="29"/>
      <c r="X164" s="29"/>
    </row>
    <row r="165" spans="2:24" x14ac:dyDescent="0.2">
      <c r="B165" s="37"/>
      <c r="C165" s="37"/>
      <c r="D165" s="82" t="s">
        <v>562</v>
      </c>
      <c r="E165" s="34">
        <v>8.02</v>
      </c>
      <c r="F165" s="51" t="s">
        <v>51</v>
      </c>
      <c r="G165" s="34">
        <v>4.03</v>
      </c>
      <c r="H165" s="99" t="s">
        <v>50</v>
      </c>
      <c r="I165" s="61">
        <f t="shared" si="6"/>
        <v>32.320599999999999</v>
      </c>
      <c r="J165" s="29"/>
      <c r="K165" s="37"/>
      <c r="L165" s="63"/>
      <c r="M165" s="63"/>
      <c r="N165" s="63"/>
      <c r="O165" s="63"/>
      <c r="P165" s="29"/>
      <c r="Q165" s="29"/>
      <c r="R165" s="29"/>
      <c r="S165" s="29"/>
      <c r="T165" s="29"/>
      <c r="U165" s="29"/>
      <c r="V165" s="29"/>
      <c r="W165" s="29"/>
      <c r="X165" s="29"/>
    </row>
    <row r="166" spans="2:24" x14ac:dyDescent="0.2">
      <c r="B166" s="37"/>
      <c r="C166" s="37"/>
      <c r="D166" s="82" t="s">
        <v>563</v>
      </c>
      <c r="E166" s="34">
        <v>21.7</v>
      </c>
      <c r="F166" s="51" t="s">
        <v>51</v>
      </c>
      <c r="G166" s="34">
        <v>2.1850000000000001</v>
      </c>
      <c r="H166" s="99" t="s">
        <v>50</v>
      </c>
      <c r="I166" s="61">
        <f t="shared" si="6"/>
        <v>47.414499999999997</v>
      </c>
      <c r="J166" s="29"/>
      <c r="K166" s="37"/>
      <c r="L166" s="63"/>
      <c r="M166" s="63"/>
      <c r="N166" s="63"/>
      <c r="O166" s="63"/>
      <c r="P166" s="29"/>
      <c r="Q166" s="29"/>
      <c r="R166" s="29"/>
      <c r="S166" s="29"/>
      <c r="T166" s="29"/>
      <c r="U166" s="29"/>
      <c r="V166" s="29"/>
      <c r="W166" s="29"/>
      <c r="X166" s="29"/>
    </row>
    <row r="167" spans="2:24" x14ac:dyDescent="0.2">
      <c r="B167" s="37"/>
      <c r="C167" s="37"/>
      <c r="D167" s="82" t="s">
        <v>564</v>
      </c>
      <c r="E167" s="34">
        <v>26.32</v>
      </c>
      <c r="F167" s="51" t="s">
        <v>51</v>
      </c>
      <c r="G167" s="34">
        <v>1.49</v>
      </c>
      <c r="H167" s="99" t="s">
        <v>50</v>
      </c>
      <c r="I167" s="61">
        <f t="shared" si="6"/>
        <v>39.216799999999999</v>
      </c>
      <c r="J167" s="29"/>
      <c r="K167" s="37"/>
      <c r="L167" s="63"/>
      <c r="M167" s="63"/>
      <c r="N167" s="63"/>
      <c r="O167" s="63"/>
      <c r="P167" s="29"/>
      <c r="Q167" s="29"/>
      <c r="R167" s="29"/>
      <c r="S167" s="29"/>
      <c r="T167" s="29"/>
      <c r="U167" s="29"/>
      <c r="V167" s="29"/>
      <c r="W167" s="29"/>
      <c r="X167" s="29"/>
    </row>
    <row r="168" spans="2:24" x14ac:dyDescent="0.2">
      <c r="B168" s="37"/>
      <c r="C168" s="37"/>
      <c r="D168" s="82" t="s">
        <v>548</v>
      </c>
      <c r="E168" s="34">
        <v>3.7</v>
      </c>
      <c r="F168" s="51" t="s">
        <v>51</v>
      </c>
      <c r="G168" s="34">
        <v>5.76</v>
      </c>
      <c r="H168" s="99" t="s">
        <v>50</v>
      </c>
      <c r="I168" s="61">
        <f t="shared" si="6"/>
        <v>21.312000000000001</v>
      </c>
      <c r="J168" s="29"/>
      <c r="K168" s="37"/>
      <c r="L168" s="63"/>
      <c r="M168" s="63"/>
      <c r="N168" s="63"/>
      <c r="O168" s="63"/>
      <c r="P168" s="29"/>
      <c r="Q168" s="29"/>
      <c r="R168" s="29"/>
      <c r="S168" s="29"/>
      <c r="T168" s="29"/>
      <c r="U168" s="29"/>
      <c r="V168" s="29"/>
      <c r="W168" s="29"/>
      <c r="X168" s="29"/>
    </row>
    <row r="169" spans="2:24" x14ac:dyDescent="0.2">
      <c r="B169" s="37"/>
      <c r="C169" s="37"/>
      <c r="D169" s="82" t="s">
        <v>618</v>
      </c>
      <c r="E169" s="34">
        <f>3.53+5.66+4.85+2.93</f>
        <v>16.97</v>
      </c>
      <c r="F169" s="51" t="s">
        <v>51</v>
      </c>
      <c r="G169" s="34">
        <v>0.45</v>
      </c>
      <c r="H169" s="99" t="s">
        <v>50</v>
      </c>
      <c r="I169" s="61">
        <f t="shared" si="6"/>
        <v>7.6364999999999998</v>
      </c>
      <c r="J169" s="29"/>
      <c r="K169" s="37"/>
      <c r="L169" s="63"/>
      <c r="M169" s="63"/>
      <c r="N169" s="63"/>
      <c r="O169" s="63"/>
      <c r="P169" s="29"/>
      <c r="Q169" s="29"/>
      <c r="R169" s="29"/>
      <c r="S169" s="29"/>
      <c r="T169" s="29"/>
      <c r="U169" s="29"/>
      <c r="V169" s="29"/>
      <c r="W169" s="29"/>
      <c r="X169" s="29"/>
    </row>
    <row r="170" spans="2:24" x14ac:dyDescent="0.2">
      <c r="B170" s="37"/>
      <c r="C170" s="37"/>
      <c r="D170" s="100"/>
      <c r="E170" s="34"/>
      <c r="F170" s="51"/>
      <c r="G170" s="34"/>
      <c r="H170" s="99"/>
      <c r="I170" s="61"/>
      <c r="J170" s="29"/>
      <c r="K170" s="37"/>
      <c r="L170" s="63"/>
      <c r="M170" s="63"/>
      <c r="N170" s="63"/>
      <c r="O170" s="63"/>
      <c r="P170" s="29"/>
      <c r="Q170" s="29"/>
      <c r="R170" s="29"/>
      <c r="S170" s="29"/>
      <c r="T170" s="29"/>
      <c r="U170" s="29"/>
      <c r="V170" s="29"/>
      <c r="W170" s="29"/>
      <c r="X170" s="29"/>
    </row>
    <row r="171" spans="2:24" x14ac:dyDescent="0.2">
      <c r="B171" s="37"/>
      <c r="C171" s="37"/>
      <c r="D171" s="29"/>
      <c r="E171" s="34"/>
      <c r="F171" s="29"/>
      <c r="G171" s="52" t="s">
        <v>73</v>
      </c>
      <c r="H171" s="86" t="s">
        <v>109</v>
      </c>
      <c r="I171" s="62">
        <f>SUM(I161:I169)</f>
        <v>284.75170000000003</v>
      </c>
      <c r="J171" s="29"/>
      <c r="K171" s="37"/>
      <c r="L171" s="63"/>
      <c r="M171" s="63"/>
      <c r="N171" s="63"/>
      <c r="O171" s="63"/>
      <c r="P171" s="29"/>
      <c r="Q171" s="29"/>
      <c r="R171" s="29"/>
      <c r="S171" s="29"/>
      <c r="T171" s="29"/>
      <c r="U171" s="29"/>
      <c r="V171" s="29"/>
      <c r="W171" s="29"/>
      <c r="X171" s="29"/>
    </row>
    <row r="172" spans="2:24" x14ac:dyDescent="0.2">
      <c r="B172" s="37"/>
      <c r="C172" s="37"/>
      <c r="D172" s="29"/>
      <c r="E172" s="34"/>
      <c r="F172" s="29"/>
      <c r="G172" s="52"/>
      <c r="H172" s="86"/>
      <c r="I172" s="62"/>
      <c r="J172" s="29"/>
      <c r="K172" s="37"/>
      <c r="L172" s="63"/>
      <c r="M172" s="63"/>
      <c r="N172" s="63"/>
      <c r="O172" s="63"/>
      <c r="P172" s="29"/>
      <c r="Q172" s="29"/>
      <c r="R172" s="29"/>
      <c r="S172" s="29"/>
      <c r="T172" s="29"/>
      <c r="U172" s="29"/>
      <c r="V172" s="29"/>
      <c r="W172" s="29"/>
      <c r="X172" s="29"/>
    </row>
    <row r="173" spans="2:24" x14ac:dyDescent="0.2">
      <c r="B173" s="58" t="s">
        <v>519</v>
      </c>
      <c r="C173" s="101" t="s">
        <v>518</v>
      </c>
      <c r="D173" s="58" t="s">
        <v>520</v>
      </c>
      <c r="E173" s="58"/>
      <c r="F173" s="58"/>
      <c r="G173" s="58"/>
      <c r="H173" s="58"/>
      <c r="I173" s="58"/>
      <c r="J173" s="58"/>
      <c r="K173" s="37"/>
      <c r="L173" s="63"/>
      <c r="M173" s="63"/>
      <c r="N173" s="63"/>
      <c r="O173" s="63"/>
      <c r="P173" s="29"/>
      <c r="Q173" s="29"/>
      <c r="R173" s="29"/>
      <c r="S173" s="29"/>
      <c r="T173" s="29"/>
      <c r="U173" s="29"/>
      <c r="V173" s="29"/>
      <c r="W173" s="29"/>
      <c r="X173" s="29"/>
    </row>
    <row r="174" spans="2:24" x14ac:dyDescent="0.2">
      <c r="B174" s="37"/>
      <c r="C174" s="37"/>
      <c r="D174" s="29"/>
      <c r="E174" s="37"/>
      <c r="F174" s="37"/>
      <c r="G174" s="63"/>
      <c r="H174" s="37"/>
      <c r="I174" s="61"/>
      <c r="J174" s="29"/>
      <c r="K174" s="37"/>
      <c r="L174" s="63"/>
      <c r="M174" s="63"/>
      <c r="N174" s="63"/>
      <c r="O174" s="63"/>
      <c r="P174" s="29"/>
      <c r="Q174" s="29"/>
      <c r="R174" s="29"/>
      <c r="S174" s="29"/>
      <c r="T174" s="29"/>
      <c r="U174" s="29"/>
      <c r="V174" s="29"/>
      <c r="W174" s="29"/>
      <c r="X174" s="29"/>
    </row>
    <row r="175" spans="2:24" x14ac:dyDescent="0.2">
      <c r="B175" s="37"/>
      <c r="C175" s="37"/>
      <c r="D175" s="84"/>
      <c r="E175" s="59" t="s">
        <v>56</v>
      </c>
      <c r="F175" s="63"/>
      <c r="G175" s="63"/>
      <c r="H175" s="63"/>
      <c r="I175" s="63"/>
      <c r="J175" s="29"/>
      <c r="K175" s="37"/>
      <c r="L175" s="63"/>
      <c r="M175" s="63"/>
      <c r="N175" s="63"/>
      <c r="O175" s="63"/>
      <c r="P175" s="29"/>
      <c r="Q175" s="29"/>
      <c r="R175" s="29"/>
      <c r="S175" s="29"/>
      <c r="T175" s="29"/>
      <c r="U175" s="29"/>
      <c r="V175" s="29"/>
      <c r="W175" s="29"/>
      <c r="X175" s="29"/>
    </row>
    <row r="176" spans="2:24" x14ac:dyDescent="0.2">
      <c r="B176" s="37"/>
      <c r="C176" s="37"/>
      <c r="D176" s="100" t="s">
        <v>515</v>
      </c>
      <c r="E176" s="34">
        <f>5.01+6.03+5.01+5.19</f>
        <v>21.24</v>
      </c>
      <c r="F176" s="51"/>
      <c r="G176" s="34"/>
      <c r="H176" s="29" t="s">
        <v>566</v>
      </c>
      <c r="I176" s="61"/>
      <c r="J176" s="29"/>
      <c r="K176" s="37"/>
      <c r="L176" s="63"/>
      <c r="M176" s="63"/>
      <c r="N176" s="63"/>
      <c r="O176" s="63"/>
      <c r="P176" s="29"/>
      <c r="Q176" s="29"/>
      <c r="R176" s="29"/>
      <c r="S176" s="29"/>
      <c r="T176" s="29"/>
      <c r="U176" s="29"/>
      <c r="V176" s="29"/>
      <c r="W176" s="29"/>
      <c r="X176" s="29"/>
    </row>
    <row r="177" spans="2:24" x14ac:dyDescent="0.2">
      <c r="B177" s="37"/>
      <c r="C177" s="37"/>
      <c r="D177" s="100" t="s">
        <v>516</v>
      </c>
      <c r="E177" s="34">
        <f>7.55+4.82+7.55+3.66</f>
        <v>23.580000000000002</v>
      </c>
      <c r="F177" s="51"/>
      <c r="G177" s="34"/>
      <c r="H177" s="99"/>
      <c r="I177" s="61"/>
      <c r="J177" s="29"/>
      <c r="K177" s="37"/>
      <c r="L177" s="63"/>
      <c r="M177" s="63"/>
      <c r="N177" s="63"/>
      <c r="O177" s="63"/>
      <c r="P177" s="29"/>
      <c r="Q177" s="29"/>
      <c r="R177" s="29"/>
      <c r="S177" s="29"/>
      <c r="T177" s="29"/>
      <c r="U177" s="29"/>
      <c r="V177" s="29"/>
      <c r="W177" s="29"/>
      <c r="X177" s="29"/>
    </row>
    <row r="178" spans="2:24" x14ac:dyDescent="0.2">
      <c r="B178" s="37"/>
      <c r="C178" s="37"/>
      <c r="D178" s="82" t="s">
        <v>565</v>
      </c>
      <c r="E178" s="34">
        <f>6+5+5+4.76</f>
        <v>20.759999999999998</v>
      </c>
      <c r="F178" s="51"/>
      <c r="G178" s="34"/>
      <c r="H178" s="99"/>
      <c r="I178" s="61"/>
      <c r="J178" s="29"/>
      <c r="K178" s="37"/>
      <c r="L178" s="63"/>
      <c r="M178" s="63"/>
      <c r="N178" s="63"/>
      <c r="O178" s="63"/>
      <c r="P178" s="29"/>
      <c r="Q178" s="29"/>
      <c r="R178" s="29"/>
      <c r="S178" s="29"/>
      <c r="T178" s="29"/>
      <c r="U178" s="29"/>
      <c r="V178" s="29"/>
      <c r="W178" s="29"/>
      <c r="X178" s="29"/>
    </row>
    <row r="179" spans="2:24" x14ac:dyDescent="0.2">
      <c r="B179" s="37"/>
      <c r="C179" s="37"/>
      <c r="D179" s="82" t="s">
        <v>561</v>
      </c>
      <c r="E179" s="34">
        <f>5+8.05+8.05+4</f>
        <v>25.1</v>
      </c>
      <c r="F179" s="51"/>
      <c r="G179" s="34"/>
      <c r="H179" s="99"/>
      <c r="I179" s="61"/>
      <c r="J179" s="29"/>
      <c r="K179" s="37"/>
      <c r="L179" s="63"/>
      <c r="M179" s="63"/>
      <c r="N179" s="63"/>
      <c r="O179" s="63"/>
      <c r="P179" s="29"/>
      <c r="Q179" s="29"/>
      <c r="R179" s="29"/>
      <c r="S179" s="29"/>
      <c r="T179" s="29"/>
      <c r="U179" s="29"/>
      <c r="V179" s="29"/>
      <c r="W179" s="29"/>
      <c r="X179" s="29"/>
    </row>
    <row r="180" spans="2:24" x14ac:dyDescent="0.2">
      <c r="B180" s="37"/>
      <c r="C180" s="37"/>
      <c r="D180" s="82" t="s">
        <v>562</v>
      </c>
      <c r="E180" s="34">
        <f>4.03+8.02+8.02+3.03</f>
        <v>23.1</v>
      </c>
      <c r="F180" s="51"/>
      <c r="G180" s="34"/>
      <c r="H180" s="99"/>
      <c r="I180" s="61"/>
      <c r="J180" s="29"/>
      <c r="K180" s="37"/>
      <c r="L180" s="63"/>
      <c r="M180" s="63"/>
      <c r="N180" s="63"/>
      <c r="O180" s="63"/>
      <c r="P180" s="29"/>
      <c r="Q180" s="29"/>
      <c r="R180" s="29"/>
      <c r="S180" s="29"/>
      <c r="T180" s="29"/>
      <c r="U180" s="29"/>
      <c r="V180" s="29"/>
      <c r="W180" s="29"/>
      <c r="X180" s="29"/>
    </row>
    <row r="181" spans="2:24" x14ac:dyDescent="0.2">
      <c r="B181" s="37"/>
      <c r="C181" s="37"/>
      <c r="D181" s="82" t="s">
        <v>563</v>
      </c>
      <c r="E181" s="34">
        <f>1.2+3.16+3.62+2.6+3.08+3.92+2.08+3.53+0.16+3.97+0.32+4.65+0.15+1+1+1+1+0.15+0.15+2.93+0.6+1.47</f>
        <v>41.739999999999995</v>
      </c>
      <c r="F181" s="51"/>
      <c r="G181" s="34"/>
      <c r="H181" s="99"/>
      <c r="I181" s="61"/>
      <c r="J181" s="29"/>
      <c r="K181" s="37"/>
      <c r="L181" s="63"/>
      <c r="M181" s="63"/>
      <c r="N181" s="63"/>
      <c r="O181" s="63"/>
      <c r="P181" s="29"/>
      <c r="Q181" s="29"/>
      <c r="R181" s="29"/>
      <c r="S181" s="29"/>
      <c r="T181" s="29"/>
      <c r="U181" s="29"/>
      <c r="V181" s="29"/>
      <c r="W181" s="29"/>
      <c r="X181" s="29"/>
    </row>
    <row r="182" spans="2:24" x14ac:dyDescent="0.2">
      <c r="B182" s="37"/>
      <c r="C182" s="37"/>
      <c r="D182" s="82" t="s">
        <v>564</v>
      </c>
      <c r="E182" s="34">
        <f>0.24+0.16+14.36+2.65+4.76+0.84+0.09+0.48+3.51+3.24+0.21+15.39+0.2+0.18</f>
        <v>46.310000000000009</v>
      </c>
      <c r="F182" s="51"/>
      <c r="G182" s="34"/>
      <c r="H182" s="99"/>
      <c r="I182" s="61"/>
      <c r="J182" s="29"/>
      <c r="K182" s="37"/>
      <c r="L182" s="63"/>
      <c r="M182" s="63"/>
      <c r="N182" s="63"/>
      <c r="O182" s="63"/>
      <c r="P182" s="29"/>
      <c r="Q182" s="29"/>
      <c r="R182" s="29"/>
      <c r="S182" s="29"/>
      <c r="T182" s="29"/>
      <c r="U182" s="29"/>
      <c r="V182" s="29"/>
      <c r="W182" s="29"/>
      <c r="X182" s="29"/>
    </row>
    <row r="183" spans="2:24" x14ac:dyDescent="0.2">
      <c r="B183" s="37"/>
      <c r="C183" s="37"/>
      <c r="D183" s="82" t="s">
        <v>548</v>
      </c>
      <c r="E183" s="34">
        <f>2.4+0.38+4.5+0.36+0.79+0.32+1.81+3.05+0.17</f>
        <v>13.78</v>
      </c>
      <c r="F183" s="51"/>
      <c r="G183" s="34"/>
      <c r="H183" s="99"/>
      <c r="I183" s="61"/>
      <c r="J183" s="29"/>
      <c r="K183" s="37"/>
      <c r="L183" s="63"/>
      <c r="M183" s="63"/>
      <c r="N183" s="63"/>
      <c r="O183" s="63"/>
      <c r="P183" s="29"/>
      <c r="Q183" s="29"/>
      <c r="R183" s="29"/>
      <c r="S183" s="29"/>
      <c r="T183" s="29"/>
      <c r="U183" s="29"/>
      <c r="V183" s="29"/>
      <c r="W183" s="29"/>
      <c r="X183" s="29"/>
    </row>
    <row r="184" spans="2:24" x14ac:dyDescent="0.2">
      <c r="B184" s="37"/>
      <c r="C184" s="37"/>
      <c r="D184" s="100"/>
      <c r="E184" s="34"/>
      <c r="F184" s="51"/>
      <c r="G184" s="34"/>
      <c r="H184" s="99"/>
      <c r="I184" s="61"/>
      <c r="J184" s="29"/>
      <c r="K184" s="37"/>
      <c r="L184" s="63"/>
      <c r="M184" s="63"/>
      <c r="N184" s="63"/>
      <c r="O184" s="63"/>
      <c r="P184" s="29"/>
      <c r="Q184" s="29"/>
      <c r="R184" s="29"/>
      <c r="S184" s="29"/>
      <c r="T184" s="29"/>
      <c r="U184" s="29"/>
      <c r="V184" s="29"/>
      <c r="W184" s="29"/>
      <c r="X184" s="29"/>
    </row>
    <row r="185" spans="2:24" x14ac:dyDescent="0.2">
      <c r="B185" s="37"/>
      <c r="C185" s="37"/>
      <c r="D185" s="80" t="s">
        <v>521</v>
      </c>
      <c r="E185" s="52">
        <f>SUM(E176:E183)</f>
        <v>215.60999999999999</v>
      </c>
      <c r="F185" s="29"/>
      <c r="G185" s="52"/>
      <c r="H185" s="86"/>
      <c r="I185" s="62"/>
      <c r="J185" s="29"/>
      <c r="K185" s="37"/>
      <c r="L185" s="63"/>
      <c r="M185" s="63"/>
      <c r="N185" s="63"/>
      <c r="O185" s="63"/>
      <c r="P185" s="29"/>
      <c r="Q185" s="29"/>
      <c r="R185" s="29"/>
      <c r="S185" s="29"/>
      <c r="T185" s="29"/>
      <c r="U185" s="29"/>
      <c r="V185" s="29"/>
      <c r="W185" s="29"/>
      <c r="X185" s="29"/>
    </row>
    <row r="186" spans="2:24" x14ac:dyDescent="0.2">
      <c r="B186" s="37"/>
      <c r="C186" s="37"/>
      <c r="D186" s="29"/>
      <c r="E186" s="34"/>
      <c r="F186" s="29"/>
      <c r="G186" s="52"/>
      <c r="H186" s="86"/>
      <c r="I186" s="62"/>
      <c r="J186" s="29"/>
      <c r="K186" s="37"/>
      <c r="L186" s="63"/>
      <c r="M186" s="63"/>
      <c r="N186" s="63"/>
      <c r="O186" s="63"/>
      <c r="P186" s="29"/>
      <c r="Q186" s="29"/>
      <c r="R186" s="29"/>
      <c r="S186" s="29"/>
      <c r="T186" s="29"/>
      <c r="U186" s="29"/>
      <c r="V186" s="29"/>
      <c r="W186" s="29"/>
      <c r="X186" s="29"/>
    </row>
    <row r="187" spans="2:24" x14ac:dyDescent="0.2">
      <c r="B187" s="58" t="s">
        <v>630</v>
      </c>
      <c r="C187" s="101">
        <v>97660</v>
      </c>
      <c r="D187" s="58" t="s">
        <v>631</v>
      </c>
      <c r="E187" s="37"/>
      <c r="F187" s="37"/>
      <c r="G187" s="63"/>
      <c r="H187" s="37"/>
      <c r="I187" s="62"/>
      <c r="J187" s="29"/>
      <c r="K187" s="37"/>
      <c r="L187" s="63"/>
      <c r="M187" s="63"/>
      <c r="N187" s="63"/>
      <c r="O187" s="63"/>
      <c r="P187" s="29"/>
      <c r="Q187" s="29"/>
      <c r="R187" s="29"/>
      <c r="S187" s="29"/>
      <c r="T187" s="29"/>
      <c r="U187" s="29"/>
      <c r="V187" s="29"/>
      <c r="W187" s="29"/>
      <c r="X187" s="29"/>
    </row>
    <row r="188" spans="2:24" x14ac:dyDescent="0.2">
      <c r="B188" s="37"/>
      <c r="C188" s="37"/>
      <c r="D188" s="29"/>
      <c r="E188" s="37"/>
      <c r="F188" s="37"/>
      <c r="G188" s="63"/>
      <c r="H188" s="37"/>
      <c r="I188" s="62"/>
      <c r="J188" s="29"/>
      <c r="K188" s="37"/>
      <c r="L188" s="63"/>
      <c r="M188" s="63"/>
      <c r="N188" s="63"/>
      <c r="O188" s="63"/>
      <c r="P188" s="29"/>
      <c r="Q188" s="29"/>
      <c r="R188" s="29"/>
      <c r="S188" s="29"/>
      <c r="T188" s="29"/>
      <c r="U188" s="29"/>
      <c r="V188" s="29"/>
      <c r="W188" s="29"/>
      <c r="X188" s="29"/>
    </row>
    <row r="189" spans="2:24" x14ac:dyDescent="0.2">
      <c r="B189" s="37"/>
      <c r="C189" s="37"/>
      <c r="D189" s="73" t="s">
        <v>43</v>
      </c>
      <c r="E189" s="59" t="s">
        <v>44</v>
      </c>
      <c r="F189" s="37"/>
      <c r="G189" s="56" t="s">
        <v>634</v>
      </c>
      <c r="H189" s="37"/>
      <c r="I189" s="62"/>
      <c r="J189" s="29"/>
      <c r="K189" s="37"/>
      <c r="L189" s="63"/>
      <c r="M189" s="63"/>
      <c r="N189" s="63"/>
      <c r="O189" s="63"/>
      <c r="P189" s="29"/>
      <c r="Q189" s="29"/>
      <c r="R189" s="29"/>
      <c r="S189" s="29"/>
      <c r="T189" s="29"/>
      <c r="U189" s="29"/>
      <c r="V189" s="29"/>
      <c r="W189" s="29"/>
      <c r="X189" s="29"/>
    </row>
    <row r="190" spans="2:24" x14ac:dyDescent="0.2">
      <c r="B190" s="37"/>
      <c r="C190" s="37"/>
      <c r="D190" s="71" t="s">
        <v>632</v>
      </c>
      <c r="E190" s="75">
        <v>15</v>
      </c>
      <c r="F190" s="37"/>
      <c r="G190" s="56"/>
      <c r="H190" s="37"/>
      <c r="I190" s="62"/>
      <c r="J190" s="29"/>
      <c r="K190" s="37"/>
      <c r="L190" s="63"/>
      <c r="M190" s="63"/>
      <c r="N190" s="63"/>
      <c r="O190" s="63"/>
      <c r="P190" s="29"/>
      <c r="Q190" s="29"/>
      <c r="R190" s="29"/>
      <c r="S190" s="29"/>
      <c r="T190" s="29"/>
      <c r="U190" s="29"/>
      <c r="V190" s="29"/>
      <c r="W190" s="29"/>
      <c r="X190" s="29"/>
    </row>
    <row r="191" spans="2:24" x14ac:dyDescent="0.2">
      <c r="B191" s="37"/>
      <c r="C191" s="37"/>
      <c r="D191" s="99" t="s">
        <v>633</v>
      </c>
      <c r="E191" s="75">
        <v>5</v>
      </c>
      <c r="F191" s="37"/>
      <c r="G191" s="56"/>
      <c r="H191" s="37"/>
      <c r="I191" s="62"/>
      <c r="J191" s="29"/>
      <c r="K191" s="37"/>
      <c r="L191" s="63"/>
      <c r="M191" s="63"/>
      <c r="N191" s="63"/>
      <c r="O191" s="63"/>
      <c r="P191" s="29"/>
      <c r="Q191" s="29"/>
      <c r="R191" s="29"/>
      <c r="S191" s="29"/>
      <c r="T191" s="29"/>
      <c r="U191" s="29"/>
      <c r="V191" s="29"/>
      <c r="W191" s="29"/>
      <c r="X191" s="29"/>
    </row>
    <row r="192" spans="2:24" x14ac:dyDescent="0.2">
      <c r="B192" s="37"/>
      <c r="C192" s="37"/>
      <c r="D192" s="71"/>
      <c r="E192" s="75"/>
      <c r="F192" s="37"/>
      <c r="G192" s="56"/>
      <c r="H192" s="37"/>
      <c r="I192" s="62"/>
      <c r="J192" s="29"/>
      <c r="K192" s="37"/>
      <c r="L192" s="63"/>
      <c r="M192" s="63"/>
      <c r="N192" s="63"/>
      <c r="O192" s="63"/>
      <c r="P192" s="29"/>
      <c r="Q192" s="29"/>
      <c r="R192" s="29"/>
      <c r="S192" s="29"/>
      <c r="T192" s="29"/>
      <c r="U192" s="29"/>
      <c r="V192" s="29"/>
      <c r="W192" s="29"/>
      <c r="X192" s="29"/>
    </row>
    <row r="193" spans="2:24" x14ac:dyDescent="0.2">
      <c r="B193" s="37"/>
      <c r="C193" s="37"/>
      <c r="D193" s="63" t="s">
        <v>41</v>
      </c>
      <c r="E193" s="90">
        <f>SUM(E190:E191)</f>
        <v>20</v>
      </c>
      <c r="F193" s="29"/>
      <c r="G193" s="52"/>
      <c r="H193" s="86"/>
      <c r="I193" s="62"/>
      <c r="J193" s="29"/>
      <c r="K193" s="37"/>
      <c r="L193" s="63"/>
      <c r="M193" s="63"/>
      <c r="N193" s="63"/>
      <c r="O193" s="63"/>
      <c r="P193" s="29"/>
      <c r="Q193" s="29"/>
      <c r="R193" s="29"/>
      <c r="S193" s="29"/>
      <c r="T193" s="29"/>
      <c r="U193" s="29"/>
      <c r="V193" s="29"/>
      <c r="W193" s="29"/>
      <c r="X193" s="29"/>
    </row>
    <row r="194" spans="2:24" x14ac:dyDescent="0.2">
      <c r="B194" s="37"/>
      <c r="C194" s="37"/>
      <c r="D194" s="29"/>
      <c r="E194" s="34"/>
      <c r="F194" s="29"/>
      <c r="G194" s="52"/>
      <c r="H194" s="86"/>
      <c r="I194" s="62"/>
      <c r="J194" s="29"/>
      <c r="K194" s="37"/>
      <c r="L194" s="63"/>
      <c r="M194" s="63"/>
      <c r="N194" s="63"/>
      <c r="O194" s="63"/>
      <c r="P194" s="29"/>
      <c r="Q194" s="29"/>
      <c r="R194" s="29"/>
      <c r="S194" s="29"/>
      <c r="T194" s="29"/>
      <c r="U194" s="29"/>
      <c r="V194" s="29"/>
      <c r="W194" s="29"/>
      <c r="X194" s="29"/>
    </row>
    <row r="195" spans="2:24" x14ac:dyDescent="0.2">
      <c r="B195" s="70" t="s">
        <v>98</v>
      </c>
      <c r="C195" s="69"/>
      <c r="D195" s="69" t="s">
        <v>97</v>
      </c>
      <c r="E195" s="69"/>
      <c r="F195" s="69"/>
      <c r="G195" s="69"/>
      <c r="H195" s="69"/>
      <c r="I195" s="69"/>
      <c r="J195" s="69"/>
      <c r="K195" s="69"/>
      <c r="L195" s="69"/>
      <c r="M195" s="69"/>
      <c r="N195" s="69"/>
      <c r="O195" s="69"/>
      <c r="P195" s="69"/>
      <c r="Q195" s="69"/>
      <c r="R195" s="69"/>
      <c r="S195" s="69"/>
      <c r="T195" s="69"/>
      <c r="U195" s="69"/>
      <c r="V195" s="69"/>
      <c r="W195" s="69"/>
      <c r="X195" s="68"/>
    </row>
    <row r="196" spans="2:24" x14ac:dyDescent="0.2">
      <c r="B196" s="58"/>
      <c r="C196" s="58"/>
      <c r="D196" s="58"/>
      <c r="E196" s="58"/>
      <c r="F196" s="58"/>
      <c r="G196" s="58"/>
      <c r="H196" s="58"/>
      <c r="I196" s="58"/>
      <c r="J196" s="58"/>
      <c r="K196" s="58"/>
      <c r="L196" s="58"/>
      <c r="M196" s="58"/>
      <c r="N196" s="58"/>
      <c r="O196" s="58"/>
      <c r="P196" s="58"/>
      <c r="Q196" s="58"/>
      <c r="R196" s="58"/>
      <c r="S196" s="58"/>
      <c r="T196" s="58"/>
      <c r="U196" s="58"/>
      <c r="V196" s="58"/>
      <c r="W196" s="58"/>
      <c r="X196" s="58"/>
    </row>
    <row r="197" spans="2:24" x14ac:dyDescent="0.2">
      <c r="B197" s="58" t="s">
        <v>96</v>
      </c>
      <c r="C197" s="57" t="s">
        <v>353</v>
      </c>
      <c r="D197" s="58" t="s">
        <v>95</v>
      </c>
      <c r="E197" s="58"/>
      <c r="F197" s="58"/>
      <c r="G197" s="58"/>
      <c r="H197" s="58"/>
      <c r="I197" s="61"/>
      <c r="J197" s="51"/>
      <c r="K197" s="34"/>
      <c r="L197" s="63"/>
      <c r="M197" s="61"/>
      <c r="N197" s="29"/>
      <c r="O197" s="89"/>
      <c r="P197" s="51"/>
      <c r="Q197" s="29"/>
      <c r="R197" s="89"/>
      <c r="S197" s="51"/>
      <c r="T197" s="89"/>
      <c r="U197" s="86"/>
      <c r="V197" s="29"/>
      <c r="W197" s="29"/>
      <c r="X197" s="29"/>
    </row>
    <row r="198" spans="2:24" x14ac:dyDescent="0.2">
      <c r="B198" s="58"/>
      <c r="C198" s="58"/>
      <c r="D198" s="58"/>
      <c r="E198" s="58"/>
      <c r="F198" s="58"/>
      <c r="G198" s="58"/>
      <c r="H198" s="58"/>
      <c r="I198" s="61"/>
      <c r="J198" s="51"/>
      <c r="K198" s="34"/>
      <c r="L198" s="63"/>
      <c r="M198" s="61"/>
      <c r="N198" s="29"/>
      <c r="O198" s="89"/>
      <c r="P198" s="51"/>
      <c r="Q198" s="29"/>
      <c r="R198" s="89"/>
      <c r="S198" s="51"/>
      <c r="T198" s="89"/>
      <c r="U198" s="86"/>
      <c r="V198" s="29"/>
      <c r="W198" s="29"/>
      <c r="X198" s="29"/>
    </row>
    <row r="199" spans="2:24" x14ac:dyDescent="0.2">
      <c r="B199" s="58"/>
      <c r="C199" s="58"/>
      <c r="D199" s="73" t="s">
        <v>45</v>
      </c>
      <c r="E199" s="59"/>
      <c r="F199" s="59" t="s">
        <v>352</v>
      </c>
      <c r="G199" s="78"/>
      <c r="H199" s="64" t="s">
        <v>84</v>
      </c>
      <c r="I199" s="61"/>
      <c r="J199" s="29" t="s">
        <v>93</v>
      </c>
      <c r="K199" s="34"/>
      <c r="L199" s="63"/>
      <c r="M199" s="61"/>
      <c r="N199" s="29"/>
      <c r="O199" s="89"/>
      <c r="P199" s="51"/>
      <c r="Q199" s="29"/>
      <c r="R199" s="89"/>
      <c r="S199" s="51"/>
      <c r="T199" s="89"/>
      <c r="U199" s="86"/>
      <c r="V199" s="29"/>
      <c r="W199" s="29"/>
      <c r="X199" s="29"/>
    </row>
    <row r="200" spans="2:24" x14ac:dyDescent="0.2">
      <c r="B200" s="29"/>
      <c r="C200" s="54" t="s">
        <v>444</v>
      </c>
      <c r="D200" s="32">
        <v>360.27</v>
      </c>
      <c r="E200" s="63" t="s">
        <v>51</v>
      </c>
      <c r="F200" s="98">
        <v>7.0000000000000007E-2</v>
      </c>
      <c r="G200" s="34" t="s">
        <v>50</v>
      </c>
      <c r="H200" s="74">
        <f>(D200*F200)</f>
        <v>25.218900000000001</v>
      </c>
      <c r="I200" s="61"/>
      <c r="J200" s="29" t="s">
        <v>350</v>
      </c>
      <c r="K200" s="34"/>
      <c r="L200" s="63"/>
      <c r="M200" s="61"/>
      <c r="N200" s="29"/>
      <c r="O200" s="89"/>
      <c r="P200" s="51"/>
      <c r="Q200" s="29"/>
      <c r="R200" s="89"/>
      <c r="S200" s="51"/>
      <c r="T200" s="89"/>
      <c r="U200" s="86"/>
      <c r="V200" s="29"/>
      <c r="W200" s="29"/>
      <c r="X200" s="29"/>
    </row>
    <row r="201" spans="2:24" x14ac:dyDescent="0.2">
      <c r="B201" s="29"/>
      <c r="C201" s="54" t="s">
        <v>473</v>
      </c>
      <c r="D201" s="61">
        <f>I33</f>
        <v>213.06019999999998</v>
      </c>
      <c r="E201" s="63" t="s">
        <v>51</v>
      </c>
      <c r="F201" s="202">
        <v>0.02</v>
      </c>
      <c r="G201" s="34" t="s">
        <v>50</v>
      </c>
      <c r="H201" s="74">
        <f>(D201*F201)</f>
        <v>4.2612039999999993</v>
      </c>
      <c r="I201" s="61"/>
      <c r="J201" s="56" t="s">
        <v>351</v>
      </c>
      <c r="K201" s="34"/>
      <c r="L201" s="63"/>
      <c r="M201" s="61"/>
      <c r="N201" s="29"/>
      <c r="O201" s="89"/>
      <c r="P201" s="51"/>
      <c r="Q201" s="29"/>
      <c r="R201" s="89"/>
      <c r="S201" s="51"/>
      <c r="T201" s="89"/>
      <c r="U201" s="86"/>
      <c r="V201" s="29"/>
      <c r="W201" s="29"/>
      <c r="X201" s="29"/>
    </row>
    <row r="202" spans="2:24" x14ac:dyDescent="0.2">
      <c r="B202" s="29"/>
      <c r="C202" s="54" t="s">
        <v>474</v>
      </c>
      <c r="D202" s="75">
        <v>7</v>
      </c>
      <c r="E202" s="63" t="s">
        <v>51</v>
      </c>
      <c r="F202" s="203">
        <f>0.36*0.81*0.66</f>
        <v>0.19245600000000002</v>
      </c>
      <c r="G202" s="34" t="s">
        <v>50</v>
      </c>
      <c r="H202" s="74">
        <f>(D202*F202)</f>
        <v>1.3471920000000002</v>
      </c>
      <c r="I202" s="61"/>
      <c r="J202" s="56"/>
      <c r="K202" s="34"/>
      <c r="L202" s="63"/>
      <c r="M202" s="61"/>
      <c r="N202" s="29"/>
      <c r="O202" s="89"/>
      <c r="P202" s="51"/>
      <c r="Q202" s="29"/>
      <c r="R202" s="89"/>
      <c r="S202" s="51"/>
      <c r="T202" s="89"/>
      <c r="U202" s="86"/>
      <c r="V202" s="29"/>
      <c r="W202" s="29"/>
      <c r="X202" s="29"/>
    </row>
    <row r="203" spans="2:24" x14ac:dyDescent="0.2">
      <c r="B203" s="29"/>
      <c r="C203" s="54" t="s">
        <v>475</v>
      </c>
      <c r="D203" s="75">
        <v>5</v>
      </c>
      <c r="E203" s="63" t="s">
        <v>51</v>
      </c>
      <c r="F203" s="203">
        <f>0.5*0.35*0.5</f>
        <v>8.7499999999999994E-2</v>
      </c>
      <c r="G203" s="34" t="s">
        <v>50</v>
      </c>
      <c r="H203" s="74">
        <f>(D203*F203)</f>
        <v>0.4375</v>
      </c>
      <c r="I203" s="61"/>
      <c r="J203" s="56"/>
      <c r="K203" s="34"/>
      <c r="L203" s="63"/>
      <c r="M203" s="61"/>
      <c r="N203" s="29"/>
      <c r="O203" s="89"/>
      <c r="P203" s="51"/>
      <c r="Q203" s="29"/>
      <c r="R203" s="89"/>
      <c r="S203" s="51"/>
      <c r="T203" s="89"/>
      <c r="U203" s="86"/>
      <c r="V203" s="29"/>
      <c r="W203" s="29"/>
      <c r="X203" s="29"/>
    </row>
    <row r="204" spans="2:24" x14ac:dyDescent="0.2">
      <c r="B204" s="29"/>
      <c r="C204" s="54" t="s">
        <v>477</v>
      </c>
      <c r="D204" s="75">
        <v>7</v>
      </c>
      <c r="E204" s="63" t="s">
        <v>51</v>
      </c>
      <c r="F204" s="203">
        <f>0.22*0.09*0.16</f>
        <v>3.1679999999999998E-3</v>
      </c>
      <c r="G204" s="34" t="s">
        <v>50</v>
      </c>
      <c r="H204" s="74">
        <f>(D204*F204)</f>
        <v>2.2175999999999998E-2</v>
      </c>
      <c r="I204" s="61"/>
      <c r="J204" s="56"/>
      <c r="K204" s="34"/>
      <c r="L204" s="63"/>
      <c r="M204" s="61"/>
      <c r="N204" s="29"/>
      <c r="O204" s="89"/>
      <c r="P204" s="51"/>
      <c r="Q204" s="29"/>
      <c r="R204" s="89"/>
      <c r="S204" s="51"/>
      <c r="T204" s="89"/>
      <c r="U204" s="86"/>
      <c r="V204" s="29"/>
      <c r="W204" s="29"/>
      <c r="X204" s="29"/>
    </row>
    <row r="205" spans="2:24" x14ac:dyDescent="0.2">
      <c r="B205" s="29"/>
      <c r="C205" s="54" t="s">
        <v>478</v>
      </c>
      <c r="D205" s="75">
        <v>11</v>
      </c>
      <c r="E205" s="63" t="s">
        <v>51</v>
      </c>
      <c r="F205" s="203">
        <f>0.96*0.56*0.35</f>
        <v>0.18816000000000002</v>
      </c>
      <c r="G205" s="34" t="s">
        <v>50</v>
      </c>
      <c r="H205" s="74">
        <f t="shared" ref="H205:H212" si="7">(D205*F205)</f>
        <v>2.06976</v>
      </c>
      <c r="I205" s="61"/>
      <c r="J205" s="56"/>
      <c r="K205" s="34"/>
      <c r="L205" s="63"/>
      <c r="M205" s="61"/>
      <c r="N205" s="29"/>
      <c r="O205" s="89"/>
      <c r="P205" s="51"/>
      <c r="Q205" s="29"/>
      <c r="R205" s="89"/>
      <c r="S205" s="51"/>
      <c r="T205" s="89"/>
      <c r="U205" s="86"/>
      <c r="V205" s="29"/>
      <c r="W205" s="29"/>
      <c r="X205" s="29"/>
    </row>
    <row r="206" spans="2:24" x14ac:dyDescent="0.2">
      <c r="B206" s="29"/>
      <c r="C206" s="54" t="s">
        <v>479</v>
      </c>
      <c r="D206" s="75">
        <v>6</v>
      </c>
      <c r="E206" s="63" t="s">
        <v>51</v>
      </c>
      <c r="F206" s="203">
        <f>0.2*0.27*0.05</f>
        <v>2.7000000000000006E-3</v>
      </c>
      <c r="G206" s="34" t="s">
        <v>50</v>
      </c>
      <c r="H206" s="74">
        <f t="shared" si="7"/>
        <v>1.6200000000000003E-2</v>
      </c>
      <c r="I206" s="61"/>
      <c r="J206" s="56"/>
      <c r="K206" s="34"/>
      <c r="L206" s="63"/>
      <c r="M206" s="61"/>
      <c r="N206" s="29"/>
      <c r="O206" s="89"/>
      <c r="P206" s="51"/>
      <c r="Q206" s="29"/>
      <c r="R206" s="89"/>
      <c r="S206" s="51"/>
      <c r="T206" s="89"/>
      <c r="U206" s="86"/>
      <c r="V206" s="29"/>
      <c r="W206" s="29"/>
      <c r="X206" s="29"/>
    </row>
    <row r="207" spans="2:24" x14ac:dyDescent="0.2">
      <c r="B207" s="29"/>
      <c r="C207" s="54" t="s">
        <v>480</v>
      </c>
      <c r="D207" s="75">
        <f>E65</f>
        <v>29</v>
      </c>
      <c r="E207" s="63" t="s">
        <v>51</v>
      </c>
      <c r="F207" s="203">
        <f>0.7*0.56*0.56</f>
        <v>0.21952000000000002</v>
      </c>
      <c r="G207" s="34" t="s">
        <v>50</v>
      </c>
      <c r="H207" s="74">
        <f t="shared" si="7"/>
        <v>6.3660800000000002</v>
      </c>
      <c r="I207" s="61"/>
      <c r="J207" s="56"/>
      <c r="K207" s="34"/>
      <c r="L207" s="63"/>
      <c r="M207" s="61"/>
      <c r="N207" s="29"/>
      <c r="O207" s="89"/>
      <c r="P207" s="51"/>
      <c r="Q207" s="29"/>
      <c r="R207" s="89"/>
      <c r="S207" s="51"/>
      <c r="T207" s="89"/>
      <c r="U207" s="86"/>
      <c r="V207" s="29"/>
      <c r="W207" s="29"/>
      <c r="X207" s="29"/>
    </row>
    <row r="208" spans="2:24" x14ac:dyDescent="0.2">
      <c r="B208" s="29"/>
      <c r="C208" s="54" t="s">
        <v>481</v>
      </c>
      <c r="D208" s="75">
        <v>4</v>
      </c>
      <c r="E208" s="63" t="s">
        <v>51</v>
      </c>
      <c r="F208" s="203">
        <f>2.1*0.8*0.15</f>
        <v>0.252</v>
      </c>
      <c r="G208" s="34" t="s">
        <v>50</v>
      </c>
      <c r="H208" s="74">
        <f t="shared" si="7"/>
        <v>1.008</v>
      </c>
      <c r="I208" s="61"/>
      <c r="J208" s="56"/>
      <c r="K208" s="34"/>
      <c r="L208" s="63"/>
      <c r="M208" s="61"/>
      <c r="N208" s="29"/>
      <c r="O208" s="89"/>
      <c r="P208" s="51"/>
      <c r="Q208" s="29"/>
      <c r="R208" s="89"/>
      <c r="S208" s="51"/>
      <c r="T208" s="89"/>
      <c r="U208" s="86"/>
      <c r="V208" s="29"/>
      <c r="W208" s="29"/>
      <c r="X208" s="29"/>
    </row>
    <row r="209" spans="2:24" x14ac:dyDescent="0.2">
      <c r="B209" s="29"/>
      <c r="C209" s="54" t="s">
        <v>482</v>
      </c>
      <c r="D209" s="74">
        <f>K83</f>
        <v>21.908249999999999</v>
      </c>
      <c r="E209" s="63" t="s">
        <v>51</v>
      </c>
      <c r="F209" s="204">
        <v>1</v>
      </c>
      <c r="G209" s="34" t="s">
        <v>50</v>
      </c>
      <c r="H209" s="74">
        <f t="shared" si="7"/>
        <v>21.908249999999999</v>
      </c>
      <c r="I209" s="61"/>
      <c r="J209" s="56"/>
      <c r="K209" s="34"/>
      <c r="L209" s="63"/>
      <c r="M209" s="61"/>
      <c r="N209" s="29"/>
      <c r="O209" s="89"/>
      <c r="P209" s="51"/>
      <c r="Q209" s="29"/>
      <c r="R209" s="89"/>
      <c r="S209" s="51"/>
      <c r="T209" s="89"/>
      <c r="U209" s="86"/>
      <c r="V209" s="29"/>
      <c r="W209" s="29"/>
      <c r="X209" s="29"/>
    </row>
    <row r="210" spans="2:24" x14ac:dyDescent="0.2">
      <c r="B210" s="29"/>
      <c r="C210" s="54" t="s">
        <v>483</v>
      </c>
      <c r="D210" s="74">
        <f>K90</f>
        <v>1.5628500000000001</v>
      </c>
      <c r="E210" s="63" t="s">
        <v>51</v>
      </c>
      <c r="F210" s="204">
        <v>1</v>
      </c>
      <c r="G210" s="34" t="s">
        <v>50</v>
      </c>
      <c r="H210" s="74">
        <f t="shared" si="7"/>
        <v>1.5628500000000001</v>
      </c>
      <c r="I210" s="61"/>
      <c r="J210" s="56"/>
      <c r="K210" s="34"/>
      <c r="L210" s="63"/>
      <c r="M210" s="61"/>
      <c r="N210" s="29"/>
      <c r="O210" s="89"/>
      <c r="P210" s="51"/>
      <c r="Q210" s="29"/>
      <c r="R210" s="89"/>
      <c r="S210" s="51"/>
      <c r="T210" s="89"/>
      <c r="U210" s="86"/>
      <c r="V210" s="29"/>
      <c r="W210" s="29"/>
      <c r="X210" s="29"/>
    </row>
    <row r="211" spans="2:24" x14ac:dyDescent="0.2">
      <c r="B211" s="29"/>
      <c r="C211" s="54" t="s">
        <v>484</v>
      </c>
      <c r="D211" s="61">
        <f>I98</f>
        <v>1.26</v>
      </c>
      <c r="E211" s="63" t="s">
        <v>51</v>
      </c>
      <c r="F211" s="202">
        <v>0.15</v>
      </c>
      <c r="G211" s="34" t="s">
        <v>50</v>
      </c>
      <c r="H211" s="74">
        <f t="shared" si="7"/>
        <v>0.189</v>
      </c>
      <c r="I211" s="61"/>
      <c r="J211" s="56"/>
      <c r="K211" s="34"/>
      <c r="L211" s="63"/>
      <c r="M211" s="61"/>
      <c r="N211" s="29"/>
      <c r="O211" s="89"/>
      <c r="P211" s="51"/>
      <c r="Q211" s="29"/>
      <c r="R211" s="89"/>
      <c r="S211" s="51"/>
      <c r="T211" s="89"/>
      <c r="U211" s="86"/>
      <c r="V211" s="29"/>
      <c r="W211" s="29"/>
      <c r="X211" s="29"/>
    </row>
    <row r="212" spans="2:24" x14ac:dyDescent="0.2">
      <c r="B212" s="29"/>
      <c r="C212" s="54" t="s">
        <v>485</v>
      </c>
      <c r="D212" s="61">
        <f>I133</f>
        <v>252.99149999999997</v>
      </c>
      <c r="E212" s="63" t="s">
        <v>51</v>
      </c>
      <c r="F212" s="202">
        <v>0.01</v>
      </c>
      <c r="G212" s="34" t="s">
        <v>50</v>
      </c>
      <c r="H212" s="74">
        <f t="shared" si="7"/>
        <v>2.5299149999999999</v>
      </c>
      <c r="I212" s="61"/>
      <c r="J212" s="56"/>
      <c r="K212" s="34"/>
      <c r="L212" s="63"/>
      <c r="M212" s="61"/>
      <c r="N212" s="29"/>
      <c r="O212" s="89"/>
      <c r="P212" s="51"/>
      <c r="Q212" s="29"/>
      <c r="R212" s="89"/>
      <c r="S212" s="51"/>
      <c r="T212" s="89"/>
      <c r="U212" s="86"/>
      <c r="V212" s="29"/>
      <c r="W212" s="29"/>
      <c r="X212" s="29"/>
    </row>
    <row r="213" spans="2:24" x14ac:dyDescent="0.2">
      <c r="B213" s="29"/>
      <c r="C213" s="54" t="s">
        <v>511</v>
      </c>
      <c r="D213" s="61">
        <f>I140</f>
        <v>3.4729999999999999</v>
      </c>
      <c r="E213" s="63" t="s">
        <v>51</v>
      </c>
      <c r="F213" s="202">
        <v>0.02</v>
      </c>
      <c r="G213" s="34" t="s">
        <v>50</v>
      </c>
      <c r="H213" s="74">
        <f t="shared" ref="H213:H214" si="8">(D213*F213)</f>
        <v>6.9459999999999994E-2</v>
      </c>
      <c r="I213" s="61"/>
      <c r="J213" s="56"/>
      <c r="K213" s="34"/>
      <c r="L213" s="63"/>
      <c r="M213" s="61"/>
      <c r="N213" s="29"/>
      <c r="O213" s="89"/>
      <c r="P213" s="51"/>
      <c r="Q213" s="29"/>
      <c r="R213" s="89"/>
      <c r="S213" s="51"/>
      <c r="T213" s="89"/>
      <c r="U213" s="86"/>
      <c r="V213" s="29"/>
      <c r="W213" s="29"/>
      <c r="X213" s="29"/>
    </row>
    <row r="214" spans="2:24" x14ac:dyDescent="0.2">
      <c r="B214" s="29"/>
      <c r="C214" s="54" t="s">
        <v>512</v>
      </c>
      <c r="D214" s="61">
        <f>I148</f>
        <v>208.68119999999999</v>
      </c>
      <c r="E214" s="63" t="s">
        <v>51</v>
      </c>
      <c r="F214" s="202">
        <v>0.01</v>
      </c>
      <c r="G214" s="34" t="s">
        <v>50</v>
      </c>
      <c r="H214" s="74">
        <f t="shared" si="8"/>
        <v>2.0868120000000001</v>
      </c>
      <c r="I214" s="61"/>
      <c r="J214" s="56"/>
      <c r="K214" s="34"/>
      <c r="L214" s="63"/>
      <c r="M214" s="61"/>
      <c r="N214" s="29"/>
      <c r="O214" s="89"/>
      <c r="P214" s="51"/>
      <c r="Q214" s="29"/>
      <c r="R214" s="89"/>
      <c r="S214" s="51"/>
      <c r="T214" s="89"/>
      <c r="U214" s="86"/>
      <c r="V214" s="29"/>
      <c r="W214" s="29"/>
      <c r="X214" s="29"/>
    </row>
    <row r="215" spans="2:24" x14ac:dyDescent="0.2">
      <c r="B215" s="29"/>
      <c r="C215" s="54" t="s">
        <v>525</v>
      </c>
      <c r="D215" s="61">
        <f>I156</f>
        <v>83.759999999999991</v>
      </c>
      <c r="E215" s="63" t="s">
        <v>51</v>
      </c>
      <c r="F215" s="202">
        <v>0.1</v>
      </c>
      <c r="G215" s="34" t="s">
        <v>50</v>
      </c>
      <c r="H215" s="74">
        <f t="shared" ref="H215" si="9">(D215*F215)</f>
        <v>8.3759999999999994</v>
      </c>
      <c r="I215" s="61"/>
      <c r="J215" s="56"/>
      <c r="K215" s="34"/>
      <c r="L215" s="63"/>
      <c r="M215" s="61"/>
      <c r="N215" s="29"/>
      <c r="O215" s="89"/>
      <c r="P215" s="51"/>
      <c r="Q215" s="29"/>
      <c r="R215" s="89"/>
      <c r="S215" s="51"/>
      <c r="T215" s="89"/>
      <c r="U215" s="86"/>
      <c r="V215" s="29"/>
      <c r="W215" s="29"/>
      <c r="X215" s="29"/>
    </row>
    <row r="216" spans="2:24" x14ac:dyDescent="0.2">
      <c r="B216" s="29"/>
      <c r="C216" s="54" t="s">
        <v>523</v>
      </c>
      <c r="D216" s="61">
        <f>I171</f>
        <v>284.75170000000003</v>
      </c>
      <c r="E216" s="63" t="s">
        <v>51</v>
      </c>
      <c r="F216" s="202">
        <v>0.05</v>
      </c>
      <c r="G216" s="34" t="s">
        <v>50</v>
      </c>
      <c r="H216" s="74">
        <f t="shared" ref="H216" si="10">(D216*F216)</f>
        <v>14.237585000000003</v>
      </c>
      <c r="I216" s="61"/>
      <c r="J216" s="56"/>
      <c r="K216" s="34"/>
      <c r="L216" s="63"/>
      <c r="M216" s="61"/>
      <c r="N216" s="29"/>
      <c r="O216" s="89"/>
      <c r="P216" s="51"/>
      <c r="Q216" s="29"/>
      <c r="R216" s="89"/>
      <c r="S216" s="51"/>
      <c r="T216" s="89"/>
      <c r="U216" s="86"/>
      <c r="V216" s="29"/>
      <c r="W216" s="29"/>
      <c r="X216" s="29"/>
    </row>
    <row r="217" spans="2:24" x14ac:dyDescent="0.2">
      <c r="B217" s="29"/>
      <c r="C217" s="54" t="s">
        <v>522</v>
      </c>
      <c r="D217" s="61">
        <f>E185</f>
        <v>215.60999999999999</v>
      </c>
      <c r="E217" s="63" t="s">
        <v>51</v>
      </c>
      <c r="F217" s="202">
        <v>0.02</v>
      </c>
      <c r="G217" s="34" t="s">
        <v>50</v>
      </c>
      <c r="H217" s="74">
        <f t="shared" ref="H217" si="11">(D217*F217)</f>
        <v>4.3121999999999998</v>
      </c>
      <c r="I217" s="61"/>
      <c r="J217" s="56"/>
      <c r="K217" s="34"/>
      <c r="L217" s="63"/>
      <c r="M217" s="61"/>
      <c r="N217" s="29"/>
      <c r="O217" s="89"/>
      <c r="P217" s="51"/>
      <c r="Q217" s="29"/>
      <c r="R217" s="89"/>
      <c r="S217" s="51"/>
      <c r="T217" s="89"/>
      <c r="U217" s="86"/>
      <c r="V217" s="29"/>
      <c r="W217" s="29"/>
      <c r="X217" s="29"/>
    </row>
    <row r="218" spans="2:24" x14ac:dyDescent="0.2">
      <c r="B218" s="29"/>
      <c r="C218" s="54" t="s">
        <v>635</v>
      </c>
      <c r="D218" s="74">
        <f>0.08*0.12*0.3</f>
        <v>2.8799999999999997E-3</v>
      </c>
      <c r="E218" s="63" t="s">
        <v>51</v>
      </c>
      <c r="F218" s="202">
        <v>20</v>
      </c>
      <c r="G218" s="34" t="s">
        <v>50</v>
      </c>
      <c r="H218" s="74">
        <f t="shared" ref="H218" si="12">(D218*F218)</f>
        <v>5.7599999999999998E-2</v>
      </c>
      <c r="I218" s="61"/>
      <c r="J218" s="56"/>
      <c r="K218" s="34"/>
      <c r="L218" s="63"/>
      <c r="M218" s="61"/>
      <c r="N218" s="29"/>
      <c r="O218" s="89"/>
      <c r="P218" s="51"/>
      <c r="Q218" s="29"/>
      <c r="R218" s="89"/>
      <c r="S218" s="51"/>
      <c r="T218" s="89"/>
      <c r="U218" s="86"/>
      <c r="V218" s="29"/>
      <c r="W218" s="29"/>
      <c r="X218" s="29"/>
    </row>
    <row r="219" spans="2:24" x14ac:dyDescent="0.2">
      <c r="B219" s="29"/>
      <c r="C219" s="29"/>
      <c r="D219" s="61"/>
      <c r="E219" s="63"/>
      <c r="F219" s="61"/>
      <c r="G219" s="34"/>
      <c r="H219" s="61"/>
      <c r="I219" s="61"/>
      <c r="J219" s="51"/>
      <c r="K219" s="34"/>
      <c r="L219" s="63"/>
      <c r="M219" s="61"/>
      <c r="N219" s="29"/>
      <c r="O219" s="89"/>
      <c r="P219" s="51"/>
      <c r="Q219" s="29"/>
      <c r="R219" s="89"/>
      <c r="S219" s="51"/>
      <c r="T219" s="89"/>
      <c r="U219" s="86"/>
      <c r="V219" s="29"/>
      <c r="W219" s="29"/>
      <c r="X219" s="29"/>
    </row>
    <row r="220" spans="2:24" x14ac:dyDescent="0.2">
      <c r="B220" s="29"/>
      <c r="C220" s="29"/>
      <c r="D220" s="60"/>
      <c r="E220" s="52"/>
      <c r="F220" s="63" t="s">
        <v>92</v>
      </c>
      <c r="G220" s="52"/>
      <c r="H220" s="94">
        <f>SUM(H200:H218)</f>
        <v>96.076684</v>
      </c>
      <c r="I220" s="61"/>
      <c r="J220" s="51"/>
      <c r="K220" s="34"/>
      <c r="L220" s="63"/>
      <c r="M220" s="61"/>
      <c r="N220" s="29"/>
      <c r="O220" s="89"/>
      <c r="P220" s="51"/>
      <c r="Q220" s="29"/>
      <c r="R220" s="89"/>
      <c r="S220" s="51"/>
      <c r="T220" s="89"/>
      <c r="U220" s="86"/>
      <c r="V220" s="29"/>
      <c r="W220" s="29"/>
      <c r="X220" s="29"/>
    </row>
    <row r="221" spans="2:24" x14ac:dyDescent="0.2">
      <c r="B221" s="29"/>
      <c r="C221" s="29"/>
      <c r="D221" s="60"/>
      <c r="E221" s="52"/>
      <c r="F221" s="63" t="s">
        <v>91</v>
      </c>
      <c r="G221" s="52"/>
      <c r="H221" s="97">
        <v>0.3</v>
      </c>
      <c r="I221" s="61"/>
      <c r="J221" s="51"/>
      <c r="K221" s="34"/>
      <c r="L221" s="63"/>
      <c r="M221" s="61"/>
      <c r="N221" s="29"/>
      <c r="O221" s="89"/>
      <c r="P221" s="51"/>
      <c r="Q221" s="29"/>
      <c r="R221" s="89"/>
      <c r="S221" s="51"/>
      <c r="T221" s="89"/>
      <c r="U221" s="86"/>
      <c r="V221" s="29"/>
      <c r="W221" s="29"/>
      <c r="X221" s="29"/>
    </row>
    <row r="222" spans="2:24" x14ac:dyDescent="0.2">
      <c r="B222" s="29"/>
      <c r="C222" s="29"/>
      <c r="D222" s="60"/>
      <c r="E222" s="52"/>
      <c r="F222" s="63" t="s">
        <v>90</v>
      </c>
      <c r="G222" s="52"/>
      <c r="H222" s="94">
        <f>H220*1.3</f>
        <v>124.89968920000001</v>
      </c>
      <c r="I222" s="61"/>
      <c r="J222" s="51"/>
      <c r="K222" s="34"/>
      <c r="L222" s="63"/>
      <c r="M222" s="61"/>
      <c r="N222" s="29"/>
      <c r="O222" s="89"/>
      <c r="P222" s="51"/>
      <c r="Q222" s="29"/>
      <c r="R222" s="89"/>
      <c r="S222" s="51"/>
      <c r="T222" s="89"/>
      <c r="U222" s="86"/>
      <c r="V222" s="29"/>
      <c r="W222" s="29"/>
      <c r="X222" s="29"/>
    </row>
    <row r="223" spans="2:24" x14ac:dyDescent="0.2">
      <c r="B223" s="29"/>
      <c r="C223" s="29"/>
      <c r="D223" s="60"/>
      <c r="E223" s="34"/>
      <c r="F223" s="51"/>
      <c r="G223" s="34"/>
      <c r="H223" s="51"/>
      <c r="I223" s="61"/>
      <c r="J223" s="51"/>
      <c r="K223" s="34"/>
      <c r="L223" s="63"/>
      <c r="M223" s="61"/>
      <c r="N223" s="29"/>
      <c r="O223" s="89"/>
      <c r="P223" s="51"/>
      <c r="Q223" s="29"/>
      <c r="R223" s="89"/>
      <c r="S223" s="51"/>
      <c r="T223" s="89"/>
      <c r="U223" s="86"/>
      <c r="V223" s="29"/>
      <c r="W223" s="29"/>
      <c r="X223" s="29"/>
    </row>
    <row r="224" spans="2:24" x14ac:dyDescent="0.2">
      <c r="B224" s="29"/>
      <c r="C224" s="29"/>
      <c r="D224" s="60"/>
      <c r="E224" s="34"/>
      <c r="F224" s="51"/>
      <c r="G224" s="34"/>
      <c r="H224" s="51"/>
      <c r="I224" s="61"/>
      <c r="J224" s="51"/>
      <c r="K224" s="34"/>
      <c r="L224" s="63"/>
      <c r="M224" s="61"/>
      <c r="N224" s="29"/>
      <c r="O224" s="89"/>
      <c r="P224" s="51"/>
      <c r="Q224" s="29"/>
      <c r="R224" s="89"/>
      <c r="S224" s="51"/>
      <c r="T224" s="89"/>
      <c r="U224" s="86"/>
      <c r="V224" s="29"/>
      <c r="W224" s="29"/>
      <c r="X224" s="29"/>
    </row>
    <row r="225" spans="2:24" x14ac:dyDescent="0.2">
      <c r="B225" s="58" t="s">
        <v>205</v>
      </c>
      <c r="C225" s="57">
        <v>97914</v>
      </c>
      <c r="D225" s="58" t="s">
        <v>354</v>
      </c>
      <c r="E225" s="34"/>
      <c r="F225" s="51"/>
      <c r="G225" s="34"/>
      <c r="H225" s="51"/>
      <c r="I225" s="61"/>
      <c r="J225" s="51"/>
      <c r="K225" s="34"/>
      <c r="L225" s="63"/>
      <c r="M225" s="61"/>
      <c r="N225" s="29"/>
      <c r="O225" s="89"/>
      <c r="P225" s="51"/>
      <c r="Q225" s="29"/>
      <c r="R225" s="89"/>
      <c r="S225" s="51"/>
      <c r="T225" s="89"/>
      <c r="U225" s="86"/>
      <c r="V225" s="29"/>
      <c r="W225" s="29"/>
      <c r="X225" s="29"/>
    </row>
    <row r="226" spans="2:24" x14ac:dyDescent="0.2">
      <c r="B226" s="29"/>
      <c r="C226" s="29"/>
      <c r="D226" s="60"/>
      <c r="E226" s="34"/>
      <c r="F226" s="51"/>
      <c r="G226" s="34"/>
      <c r="H226" s="51"/>
      <c r="I226" s="61"/>
      <c r="J226" s="51"/>
      <c r="K226" s="34"/>
      <c r="L226" s="63"/>
      <c r="M226" s="61"/>
      <c r="N226" s="29"/>
      <c r="O226" s="89"/>
      <c r="P226" s="51"/>
      <c r="Q226" s="29"/>
      <c r="R226" s="89"/>
      <c r="S226" s="51"/>
      <c r="T226" s="89"/>
      <c r="U226" s="86"/>
      <c r="V226" s="29"/>
      <c r="W226" s="29"/>
      <c r="X226" s="29"/>
    </row>
    <row r="227" spans="2:24" x14ac:dyDescent="0.2">
      <c r="B227" s="29"/>
      <c r="C227" s="58"/>
      <c r="D227" s="59" t="s">
        <v>207</v>
      </c>
      <c r="E227" s="59" t="s">
        <v>85</v>
      </c>
      <c r="F227" s="59"/>
      <c r="G227" s="59" t="s">
        <v>206</v>
      </c>
      <c r="H227" s="59"/>
      <c r="I227" s="59" t="s">
        <v>52</v>
      </c>
      <c r="J227" s="51"/>
      <c r="K227" s="34"/>
      <c r="L227" s="63"/>
      <c r="M227" s="61"/>
      <c r="N227" s="29"/>
      <c r="O227" s="89"/>
      <c r="P227" s="51"/>
      <c r="Q227" s="29"/>
      <c r="R227" s="89"/>
      <c r="S227" s="51"/>
      <c r="T227" s="89"/>
      <c r="U227" s="86"/>
      <c r="V227" s="29"/>
      <c r="W227" s="29"/>
      <c r="X227" s="29"/>
    </row>
    <row r="228" spans="2:24" x14ac:dyDescent="0.2">
      <c r="B228" s="29"/>
      <c r="C228" s="29"/>
      <c r="D228" s="99" t="s">
        <v>355</v>
      </c>
      <c r="E228" s="74">
        <v>3.3</v>
      </c>
      <c r="F228" s="51" t="s">
        <v>51</v>
      </c>
      <c r="G228" s="154">
        <v>5</v>
      </c>
      <c r="H228" s="99" t="s">
        <v>50</v>
      </c>
      <c r="I228" s="194">
        <f>E228*G228</f>
        <v>16.5</v>
      </c>
      <c r="J228" s="51"/>
      <c r="K228" s="34"/>
      <c r="L228" s="63"/>
      <c r="M228" s="61"/>
      <c r="N228" s="29"/>
      <c r="O228" s="89"/>
      <c r="P228" s="51"/>
      <c r="Q228" s="29"/>
      <c r="R228" s="89"/>
      <c r="S228" s="51"/>
      <c r="T228" s="89"/>
      <c r="U228" s="86"/>
      <c r="V228" s="29"/>
      <c r="W228" s="29"/>
      <c r="X228" s="29"/>
    </row>
    <row r="229" spans="2:24" x14ac:dyDescent="0.2">
      <c r="B229" s="29"/>
      <c r="C229" s="29"/>
      <c r="D229" s="99" t="s">
        <v>356</v>
      </c>
      <c r="E229" s="193">
        <f>H222</f>
        <v>124.89968920000001</v>
      </c>
      <c r="F229" s="51" t="s">
        <v>51</v>
      </c>
      <c r="G229" s="154">
        <v>5</v>
      </c>
      <c r="H229" s="99" t="s">
        <v>50</v>
      </c>
      <c r="I229" s="194">
        <f>E229*G229</f>
        <v>624.49844600000006</v>
      </c>
      <c r="J229" s="51"/>
      <c r="K229" s="34"/>
      <c r="L229" s="63"/>
      <c r="M229" s="61"/>
      <c r="N229" s="29"/>
      <c r="O229" s="89"/>
      <c r="P229" s="51"/>
      <c r="Q229" s="29"/>
      <c r="R229" s="89"/>
      <c r="S229" s="51"/>
      <c r="T229" s="89"/>
      <c r="U229" s="86"/>
      <c r="V229" s="29"/>
      <c r="W229" s="29"/>
      <c r="X229" s="29"/>
    </row>
    <row r="230" spans="2:24" x14ac:dyDescent="0.2">
      <c r="B230" s="29"/>
      <c r="C230" s="29"/>
      <c r="D230" s="99"/>
      <c r="E230" s="51"/>
      <c r="F230" s="51"/>
      <c r="G230" s="34"/>
      <c r="H230" s="99"/>
      <c r="I230" s="61"/>
      <c r="J230" s="51"/>
      <c r="K230" s="34"/>
      <c r="L230" s="63"/>
      <c r="M230" s="61"/>
      <c r="N230" s="29"/>
      <c r="O230" s="89"/>
      <c r="P230" s="51"/>
      <c r="Q230" s="29"/>
      <c r="R230" s="89"/>
      <c r="S230" s="51"/>
      <c r="T230" s="89"/>
      <c r="U230" s="86"/>
      <c r="V230" s="29"/>
      <c r="W230" s="29"/>
      <c r="X230" s="29"/>
    </row>
    <row r="231" spans="2:24" x14ac:dyDescent="0.2">
      <c r="B231" s="29"/>
      <c r="C231" s="29"/>
      <c r="D231" s="53"/>
      <c r="E231" s="62"/>
      <c r="F231" s="51"/>
      <c r="G231" s="34"/>
      <c r="H231" s="53" t="s">
        <v>208</v>
      </c>
      <c r="I231" s="155">
        <f>SUM(I228:I229)</f>
        <v>640.99844600000006</v>
      </c>
      <c r="J231" s="51"/>
      <c r="K231" s="34"/>
      <c r="L231" s="63"/>
      <c r="M231" s="61"/>
      <c r="N231" s="29"/>
      <c r="O231" s="89"/>
      <c r="P231" s="51"/>
      <c r="Q231" s="29"/>
      <c r="R231" s="89"/>
      <c r="S231" s="51"/>
      <c r="T231" s="89"/>
      <c r="U231" s="86"/>
      <c r="V231" s="29"/>
      <c r="W231" s="29"/>
      <c r="X231" s="29"/>
    </row>
    <row r="232" spans="2:24" x14ac:dyDescent="0.2">
      <c r="B232" s="29"/>
      <c r="C232" s="29"/>
      <c r="D232" s="53"/>
      <c r="E232" s="62"/>
      <c r="F232" s="51"/>
      <c r="G232" s="34"/>
      <c r="H232" s="53"/>
      <c r="I232" s="155"/>
      <c r="J232" s="51"/>
      <c r="K232" s="34"/>
      <c r="L232" s="63"/>
      <c r="M232" s="61"/>
      <c r="N232" s="29"/>
      <c r="O232" s="89"/>
      <c r="P232" s="51"/>
      <c r="Q232" s="29"/>
      <c r="R232" s="89"/>
      <c r="S232" s="51"/>
      <c r="T232" s="89"/>
      <c r="U232" s="86"/>
      <c r="V232" s="29"/>
      <c r="W232" s="29"/>
      <c r="X232" s="29"/>
    </row>
    <row r="233" spans="2:24" x14ac:dyDescent="0.2">
      <c r="B233" s="58" t="s">
        <v>541</v>
      </c>
      <c r="C233" s="57" t="s">
        <v>542</v>
      </c>
      <c r="D233" s="58" t="s">
        <v>543</v>
      </c>
      <c r="E233" s="62"/>
      <c r="F233" s="51"/>
      <c r="G233" s="34"/>
      <c r="H233" s="53"/>
      <c r="I233" s="155"/>
      <c r="J233" s="51"/>
      <c r="K233" s="34"/>
      <c r="L233" s="63"/>
      <c r="M233" s="61"/>
      <c r="N233" s="29"/>
      <c r="O233" s="89"/>
      <c r="P233" s="51"/>
      <c r="Q233" s="29"/>
      <c r="R233" s="89"/>
      <c r="S233" s="51"/>
      <c r="T233" s="89"/>
      <c r="U233" s="86"/>
      <c r="V233" s="29"/>
      <c r="W233" s="29"/>
      <c r="X233" s="29"/>
    </row>
    <row r="234" spans="2:24" x14ac:dyDescent="0.2">
      <c r="B234" s="29"/>
      <c r="C234" s="29"/>
      <c r="D234" s="53"/>
      <c r="E234" s="62"/>
      <c r="F234" s="51"/>
      <c r="G234" s="34"/>
      <c r="H234" s="53"/>
      <c r="I234" s="155"/>
      <c r="J234" s="51"/>
      <c r="K234" s="34"/>
      <c r="L234" s="63"/>
      <c r="M234" s="61"/>
      <c r="N234" s="29"/>
      <c r="O234" s="89"/>
      <c r="P234" s="51"/>
      <c r="Q234" s="29"/>
      <c r="R234" s="89"/>
      <c r="S234" s="51"/>
      <c r="T234" s="89"/>
      <c r="U234" s="86"/>
      <c r="V234" s="29"/>
      <c r="W234" s="29"/>
      <c r="X234" s="29"/>
    </row>
    <row r="235" spans="2:24" x14ac:dyDescent="0.2">
      <c r="B235" s="29"/>
      <c r="C235" s="29"/>
      <c r="D235" s="207">
        <v>2</v>
      </c>
      <c r="E235" s="87" t="s">
        <v>620</v>
      </c>
      <c r="F235" s="51"/>
      <c r="G235" s="34"/>
      <c r="H235" s="53"/>
      <c r="I235" s="155"/>
      <c r="J235" s="51"/>
      <c r="K235" s="34"/>
      <c r="L235" s="63"/>
      <c r="M235" s="61"/>
      <c r="N235" s="29"/>
      <c r="O235" s="89"/>
      <c r="P235" s="51"/>
      <c r="Q235" s="29"/>
      <c r="R235" s="89"/>
      <c r="S235" s="51"/>
      <c r="T235" s="89"/>
      <c r="U235" s="86"/>
      <c r="V235" s="29"/>
      <c r="W235" s="29"/>
      <c r="X235" s="29"/>
    </row>
    <row r="236" spans="2:24" x14ac:dyDescent="0.2">
      <c r="B236" s="29"/>
      <c r="C236" s="29"/>
      <c r="D236" s="53"/>
      <c r="E236" s="62"/>
      <c r="F236" s="51"/>
      <c r="G236" s="34"/>
      <c r="H236" s="53"/>
      <c r="I236" s="155"/>
      <c r="J236" s="51"/>
      <c r="K236" s="34"/>
      <c r="L236" s="63"/>
      <c r="M236" s="61"/>
      <c r="N236" s="29"/>
      <c r="O236" s="89"/>
      <c r="P236" s="51"/>
      <c r="Q236" s="29"/>
      <c r="R236" s="89"/>
      <c r="S236" s="51"/>
      <c r="T236" s="89"/>
      <c r="U236" s="86"/>
      <c r="V236" s="29"/>
      <c r="W236" s="29"/>
      <c r="X236" s="29"/>
    </row>
    <row r="237" spans="2:24" x14ac:dyDescent="0.2">
      <c r="B237" s="29"/>
      <c r="C237" s="29"/>
      <c r="D237" s="53"/>
      <c r="E237" s="62"/>
      <c r="F237" s="51"/>
      <c r="G237" s="34"/>
      <c r="H237" s="53"/>
      <c r="I237" s="155"/>
      <c r="J237" s="51"/>
      <c r="K237" s="34"/>
      <c r="L237" s="63"/>
      <c r="M237" s="61"/>
      <c r="N237" s="29"/>
      <c r="O237" s="89"/>
      <c r="P237" s="51"/>
      <c r="Q237" s="29"/>
      <c r="R237" s="89"/>
      <c r="S237" s="51"/>
      <c r="T237" s="89"/>
      <c r="U237" s="86"/>
      <c r="V237" s="29"/>
      <c r="W237" s="29"/>
      <c r="X237" s="29"/>
    </row>
    <row r="238" spans="2:24" x14ac:dyDescent="0.2">
      <c r="B238" s="70" t="s">
        <v>89</v>
      </c>
      <c r="C238" s="69"/>
      <c r="D238" s="69" t="s">
        <v>82</v>
      </c>
      <c r="E238" s="69"/>
      <c r="F238" s="69"/>
      <c r="G238" s="69"/>
      <c r="H238" s="69"/>
      <c r="I238" s="69"/>
      <c r="J238" s="69"/>
      <c r="K238" s="69"/>
      <c r="L238" s="69"/>
      <c r="M238" s="69"/>
      <c r="N238" s="69"/>
      <c r="O238" s="69"/>
      <c r="P238" s="69"/>
      <c r="Q238" s="69"/>
      <c r="R238" s="69"/>
      <c r="S238" s="69"/>
      <c r="T238" s="69"/>
      <c r="U238" s="69"/>
      <c r="V238" s="69"/>
      <c r="W238" s="69"/>
      <c r="X238" s="68"/>
    </row>
    <row r="239" spans="2:24" x14ac:dyDescent="0.2">
      <c r="B239" s="29"/>
      <c r="C239" s="29"/>
      <c r="D239" s="61"/>
      <c r="E239" s="63"/>
      <c r="F239" s="61"/>
      <c r="G239" s="34"/>
      <c r="H239" s="61"/>
      <c r="I239" s="61"/>
      <c r="J239" s="51"/>
      <c r="K239" s="34"/>
      <c r="L239" s="63"/>
      <c r="M239" s="61"/>
      <c r="N239" s="29"/>
      <c r="O239" s="89"/>
      <c r="P239" s="51"/>
      <c r="Q239" s="29"/>
      <c r="R239" s="89"/>
      <c r="S239" s="51"/>
      <c r="T239" s="89"/>
      <c r="U239" s="86"/>
      <c r="V239" s="29"/>
      <c r="W239" s="29"/>
      <c r="X239" s="29"/>
    </row>
    <row r="240" spans="2:24" x14ac:dyDescent="0.2">
      <c r="B240" s="58" t="s">
        <v>88</v>
      </c>
      <c r="C240" s="101">
        <v>103785</v>
      </c>
      <c r="D240" s="58" t="s">
        <v>357</v>
      </c>
      <c r="E240" s="37"/>
      <c r="F240" s="37"/>
      <c r="G240" s="34"/>
      <c r="H240" s="61"/>
      <c r="I240" s="61"/>
      <c r="J240" s="51"/>
      <c r="K240" s="34"/>
      <c r="L240" s="63"/>
      <c r="M240" s="61"/>
      <c r="N240" s="29"/>
      <c r="O240" s="89"/>
      <c r="P240" s="51"/>
      <c r="Q240" s="29"/>
      <c r="R240" s="89"/>
      <c r="S240" s="51"/>
      <c r="T240" s="89"/>
      <c r="U240" s="86"/>
      <c r="V240" s="29"/>
      <c r="W240" s="29"/>
      <c r="X240" s="29"/>
    </row>
    <row r="241" spans="2:24" x14ac:dyDescent="0.2">
      <c r="B241" s="37"/>
      <c r="C241" s="37"/>
      <c r="D241" s="29"/>
      <c r="E241" s="37"/>
      <c r="F241" s="37"/>
      <c r="G241" s="34"/>
      <c r="H241" s="61"/>
      <c r="I241" s="61"/>
      <c r="J241" s="51"/>
      <c r="K241" s="34"/>
      <c r="L241" s="63"/>
      <c r="M241" s="61"/>
      <c r="N241" s="29"/>
      <c r="O241" s="89"/>
      <c r="P241" s="51"/>
      <c r="Q241" s="29"/>
      <c r="R241" s="89"/>
      <c r="S241" s="51"/>
      <c r="T241" s="89"/>
      <c r="U241" s="86"/>
      <c r="V241" s="29"/>
      <c r="W241" s="29"/>
      <c r="X241" s="29"/>
    </row>
    <row r="242" spans="2:24" x14ac:dyDescent="0.2">
      <c r="B242" s="37"/>
      <c r="C242" s="37"/>
      <c r="D242" s="73" t="s">
        <v>43</v>
      </c>
      <c r="E242" s="59" t="s">
        <v>44</v>
      </c>
      <c r="F242" s="37"/>
      <c r="G242" s="34"/>
      <c r="H242" s="61"/>
      <c r="I242" s="61"/>
      <c r="J242" s="51"/>
      <c r="K242" s="34"/>
      <c r="L242" s="63"/>
      <c r="M242" s="61"/>
      <c r="N242" s="29"/>
      <c r="O242" s="89"/>
      <c r="P242" s="51"/>
      <c r="Q242" s="29"/>
      <c r="R242" s="89"/>
      <c r="S242" s="51"/>
      <c r="T242" s="89"/>
      <c r="U242" s="86"/>
      <c r="V242" s="29"/>
      <c r="W242" s="29"/>
      <c r="X242" s="29"/>
    </row>
    <row r="243" spans="2:24" x14ac:dyDescent="0.2">
      <c r="B243" s="37"/>
      <c r="C243" s="37"/>
      <c r="D243" s="71" t="s">
        <v>431</v>
      </c>
      <c r="E243" s="75">
        <v>2</v>
      </c>
      <c r="F243" s="37"/>
      <c r="G243" s="34"/>
      <c r="H243" s="61"/>
      <c r="I243" s="61"/>
      <c r="J243" s="51"/>
      <c r="K243" s="34"/>
      <c r="L243" s="63"/>
      <c r="M243" s="61"/>
      <c r="N243" s="29"/>
      <c r="O243" s="89"/>
      <c r="P243" s="51"/>
      <c r="Q243" s="29"/>
      <c r="R243" s="89"/>
      <c r="S243" s="51"/>
      <c r="T243" s="89"/>
      <c r="U243" s="86"/>
      <c r="V243" s="29"/>
      <c r="W243" s="29"/>
      <c r="X243" s="29"/>
    </row>
    <row r="244" spans="2:24" x14ac:dyDescent="0.2">
      <c r="B244" s="37"/>
      <c r="C244" s="37"/>
      <c r="D244" s="99" t="s">
        <v>429</v>
      </c>
      <c r="E244" s="75">
        <v>5</v>
      </c>
      <c r="F244" s="37"/>
      <c r="G244" s="34"/>
      <c r="H244" s="61"/>
      <c r="I244" s="61"/>
      <c r="J244" s="51"/>
      <c r="K244" s="34"/>
      <c r="L244" s="63"/>
      <c r="M244" s="61"/>
      <c r="N244" s="29"/>
      <c r="O244" s="89"/>
      <c r="P244" s="51"/>
      <c r="Q244" s="29"/>
      <c r="R244" s="89"/>
      <c r="S244" s="51"/>
      <c r="T244" s="89"/>
      <c r="U244" s="86"/>
      <c r="V244" s="29"/>
      <c r="W244" s="29"/>
      <c r="X244" s="29"/>
    </row>
    <row r="245" spans="2:24" x14ac:dyDescent="0.2">
      <c r="B245" s="37"/>
      <c r="C245" s="37"/>
      <c r="D245" s="71" t="s">
        <v>432</v>
      </c>
      <c r="E245" s="75">
        <v>2</v>
      </c>
      <c r="F245" s="37"/>
      <c r="G245" s="34"/>
      <c r="H245" s="61"/>
      <c r="I245" s="61"/>
      <c r="J245" s="51"/>
      <c r="K245" s="34"/>
      <c r="L245" s="63"/>
      <c r="M245" s="61"/>
      <c r="N245" s="29"/>
      <c r="O245" s="89"/>
      <c r="P245" s="51"/>
      <c r="Q245" s="29"/>
      <c r="R245" s="89"/>
      <c r="S245" s="51"/>
      <c r="T245" s="89"/>
      <c r="U245" s="86"/>
      <c r="V245" s="29"/>
      <c r="W245" s="29"/>
      <c r="X245" s="29"/>
    </row>
    <row r="246" spans="2:24" x14ac:dyDescent="0.2">
      <c r="B246" s="37"/>
      <c r="C246" s="37"/>
      <c r="D246" s="99" t="s">
        <v>433</v>
      </c>
      <c r="E246" s="75">
        <v>2</v>
      </c>
      <c r="F246" s="37"/>
      <c r="G246" s="34"/>
      <c r="H246" s="61"/>
      <c r="I246" s="61"/>
      <c r="J246" s="51"/>
      <c r="K246" s="34"/>
      <c r="L246" s="63"/>
      <c r="M246" s="61"/>
      <c r="N246" s="29"/>
      <c r="O246" s="89"/>
      <c r="P246" s="51"/>
      <c r="Q246" s="29"/>
      <c r="R246" s="89"/>
      <c r="S246" s="51"/>
      <c r="T246" s="89"/>
      <c r="U246" s="86"/>
      <c r="V246" s="29"/>
      <c r="W246" s="29"/>
      <c r="X246" s="29"/>
    </row>
    <row r="247" spans="2:24" x14ac:dyDescent="0.2">
      <c r="B247" s="37"/>
      <c r="C247" s="37"/>
      <c r="D247" s="99" t="s">
        <v>434</v>
      </c>
      <c r="E247" s="75">
        <v>2</v>
      </c>
      <c r="F247" s="37"/>
      <c r="G247" s="34"/>
      <c r="H247" s="61"/>
      <c r="I247" s="61"/>
      <c r="J247" s="51"/>
      <c r="K247" s="34"/>
      <c r="L247" s="63"/>
      <c r="M247" s="61"/>
      <c r="N247" s="29"/>
      <c r="O247" s="89"/>
      <c r="P247" s="51"/>
      <c r="Q247" s="29"/>
      <c r="R247" s="89"/>
      <c r="S247" s="51"/>
      <c r="T247" s="89"/>
      <c r="U247" s="86"/>
      <c r="V247" s="29"/>
      <c r="W247" s="29"/>
      <c r="X247" s="29"/>
    </row>
    <row r="248" spans="2:24" x14ac:dyDescent="0.2">
      <c r="B248" s="37"/>
      <c r="C248" s="37"/>
      <c r="D248" s="99" t="s">
        <v>435</v>
      </c>
      <c r="E248" s="75">
        <v>2</v>
      </c>
      <c r="F248" s="37"/>
      <c r="G248" s="34"/>
      <c r="H248" s="61"/>
      <c r="I248" s="61"/>
      <c r="J248" s="51"/>
      <c r="K248" s="34"/>
      <c r="L248" s="63"/>
      <c r="M248" s="61"/>
      <c r="N248" s="29"/>
      <c r="O248" s="89"/>
      <c r="P248" s="51"/>
      <c r="Q248" s="29"/>
      <c r="R248" s="89"/>
      <c r="S248" s="51"/>
      <c r="T248" s="89"/>
      <c r="U248" s="86"/>
      <c r="V248" s="29"/>
      <c r="W248" s="29"/>
      <c r="X248" s="29"/>
    </row>
    <row r="249" spans="2:24" x14ac:dyDescent="0.2">
      <c r="B249" s="37"/>
      <c r="C249" s="37"/>
      <c r="D249" s="99" t="s">
        <v>436</v>
      </c>
      <c r="E249" s="75">
        <v>5</v>
      </c>
      <c r="F249" s="37"/>
      <c r="G249" s="34"/>
      <c r="H249" s="61"/>
      <c r="I249" s="61"/>
      <c r="J249" s="51"/>
      <c r="K249" s="34"/>
      <c r="L249" s="63"/>
      <c r="M249" s="61"/>
      <c r="N249" s="29"/>
      <c r="O249" s="89"/>
      <c r="P249" s="51"/>
      <c r="Q249" s="29"/>
      <c r="R249" s="89"/>
      <c r="S249" s="51"/>
      <c r="T249" s="89"/>
      <c r="U249" s="86"/>
      <c r="V249" s="29"/>
      <c r="W249" s="29"/>
      <c r="X249" s="29"/>
    </row>
    <row r="250" spans="2:24" x14ac:dyDescent="0.2">
      <c r="B250" s="37"/>
      <c r="C250" s="37"/>
      <c r="D250" s="99" t="s">
        <v>486</v>
      </c>
      <c r="E250" s="75">
        <v>4</v>
      </c>
      <c r="F250" s="37"/>
      <c r="G250" s="34"/>
      <c r="H250" s="61"/>
      <c r="I250" s="61"/>
      <c r="J250" s="51"/>
      <c r="K250" s="34"/>
      <c r="L250" s="63"/>
      <c r="M250" s="61"/>
      <c r="N250" s="29"/>
      <c r="O250" s="89"/>
      <c r="P250" s="51"/>
      <c r="Q250" s="29"/>
      <c r="R250" s="89"/>
      <c r="S250" s="51"/>
      <c r="T250" s="89"/>
      <c r="U250" s="86"/>
      <c r="V250" s="29"/>
      <c r="W250" s="29"/>
      <c r="X250" s="29"/>
    </row>
    <row r="251" spans="2:24" x14ac:dyDescent="0.2">
      <c r="B251" s="37"/>
      <c r="C251" s="37"/>
      <c r="D251" s="99" t="s">
        <v>468</v>
      </c>
      <c r="E251" s="75">
        <v>5</v>
      </c>
      <c r="F251" s="37"/>
      <c r="G251" s="34"/>
      <c r="H251" s="61"/>
      <c r="I251" s="61"/>
      <c r="J251" s="51"/>
      <c r="K251" s="34"/>
      <c r="L251" s="63"/>
      <c r="M251" s="61"/>
      <c r="N251" s="29"/>
      <c r="O251" s="89"/>
      <c r="P251" s="51"/>
      <c r="Q251" s="29"/>
      <c r="R251" s="89"/>
      <c r="S251" s="51"/>
      <c r="T251" s="89"/>
      <c r="U251" s="86"/>
      <c r="V251" s="29"/>
      <c r="W251" s="29"/>
      <c r="X251" s="29"/>
    </row>
    <row r="252" spans="2:24" x14ac:dyDescent="0.2">
      <c r="B252" s="37"/>
      <c r="C252" s="37"/>
      <c r="D252" s="54"/>
      <c r="E252" s="75"/>
      <c r="F252" s="37"/>
      <c r="G252" s="34"/>
      <c r="H252" s="61"/>
      <c r="I252" s="61"/>
      <c r="J252" s="51"/>
      <c r="K252" s="34"/>
      <c r="L252" s="63"/>
      <c r="M252" s="61"/>
      <c r="N252" s="29"/>
      <c r="O252" s="89"/>
      <c r="P252" s="51"/>
      <c r="Q252" s="29"/>
      <c r="R252" s="89"/>
      <c r="S252" s="51"/>
      <c r="T252" s="89"/>
      <c r="U252" s="86"/>
      <c r="V252" s="29"/>
      <c r="W252" s="29"/>
      <c r="X252" s="29"/>
    </row>
    <row r="253" spans="2:24" x14ac:dyDescent="0.2">
      <c r="B253" s="37"/>
      <c r="C253" s="37"/>
      <c r="D253" s="63" t="s">
        <v>41</v>
      </c>
      <c r="E253" s="90">
        <f>SUM(E243:E251)</f>
        <v>29</v>
      </c>
      <c r="F253" s="37"/>
      <c r="G253" s="34"/>
      <c r="H253" s="61"/>
      <c r="I253" s="61"/>
      <c r="J253" s="51"/>
      <c r="K253" s="34"/>
      <c r="L253" s="63"/>
      <c r="M253" s="61"/>
      <c r="N253" s="29"/>
      <c r="O253" s="89"/>
      <c r="P253" s="51"/>
      <c r="Q253" s="29"/>
      <c r="R253" s="89"/>
      <c r="S253" s="51"/>
      <c r="T253" s="89"/>
      <c r="U253" s="86"/>
      <c r="V253" s="29"/>
      <c r="W253" s="29"/>
      <c r="X253" s="29"/>
    </row>
    <row r="254" spans="2:24" x14ac:dyDescent="0.2">
      <c r="B254" s="37"/>
      <c r="C254" s="37"/>
      <c r="D254" s="63"/>
      <c r="E254" s="90"/>
      <c r="F254" s="37"/>
      <c r="G254" s="34"/>
      <c r="H254" s="61"/>
      <c r="I254" s="61"/>
      <c r="J254" s="51"/>
      <c r="K254" s="34"/>
      <c r="L254" s="63"/>
      <c r="M254" s="61"/>
      <c r="N254" s="29"/>
      <c r="O254" s="89"/>
      <c r="P254" s="51"/>
      <c r="Q254" s="29"/>
      <c r="R254" s="89"/>
      <c r="S254" s="51"/>
      <c r="T254" s="89"/>
      <c r="U254" s="86"/>
      <c r="V254" s="29"/>
      <c r="W254" s="29"/>
      <c r="X254" s="29"/>
    </row>
    <row r="255" spans="2:24" x14ac:dyDescent="0.2">
      <c r="B255" s="58" t="s">
        <v>493</v>
      </c>
      <c r="C255" s="101">
        <v>91992</v>
      </c>
      <c r="D255" s="58" t="s">
        <v>494</v>
      </c>
      <c r="E255" s="90"/>
      <c r="F255" s="37"/>
      <c r="G255" s="34"/>
      <c r="H255" s="61"/>
      <c r="I255" s="61"/>
      <c r="J255" s="51"/>
      <c r="K255" s="34"/>
      <c r="L255" s="63"/>
      <c r="M255" s="61"/>
      <c r="N255" s="29"/>
      <c r="O255" s="89"/>
      <c r="P255" s="51"/>
      <c r="Q255" s="29"/>
      <c r="R255" s="89"/>
      <c r="S255" s="51"/>
      <c r="T255" s="89"/>
      <c r="U255" s="86"/>
      <c r="V255" s="29"/>
      <c r="W255" s="29"/>
      <c r="X255" s="29"/>
    </row>
    <row r="256" spans="2:24" x14ac:dyDescent="0.2">
      <c r="B256" s="37"/>
      <c r="C256" s="37"/>
      <c r="D256" s="63"/>
      <c r="E256" s="90"/>
      <c r="F256" s="37"/>
      <c r="G256" s="34"/>
      <c r="H256" s="61"/>
      <c r="I256" s="61"/>
      <c r="J256" s="51"/>
      <c r="K256" s="34"/>
      <c r="L256" s="63"/>
      <c r="M256" s="61"/>
      <c r="N256" s="29"/>
      <c r="O256" s="89"/>
      <c r="P256" s="51"/>
      <c r="Q256" s="29"/>
      <c r="R256" s="89"/>
      <c r="S256" s="51"/>
      <c r="T256" s="89"/>
      <c r="U256" s="86"/>
      <c r="V256" s="29"/>
      <c r="W256" s="29"/>
      <c r="X256" s="29"/>
    </row>
    <row r="257" spans="2:24" x14ac:dyDescent="0.2">
      <c r="B257" s="37"/>
      <c r="C257" s="37"/>
      <c r="D257" s="73" t="s">
        <v>43</v>
      </c>
      <c r="E257" s="59" t="s">
        <v>44</v>
      </c>
      <c r="F257" s="37"/>
      <c r="G257" s="34"/>
      <c r="H257" s="61"/>
      <c r="I257" s="61"/>
      <c r="J257" s="63"/>
      <c r="K257" s="63"/>
      <c r="L257" s="63"/>
      <c r="M257" s="61"/>
      <c r="N257" s="29"/>
      <c r="O257" s="89"/>
      <c r="P257" s="51"/>
      <c r="Q257" s="29"/>
      <c r="R257" s="89"/>
      <c r="S257" s="51"/>
      <c r="T257" s="89"/>
      <c r="U257" s="86"/>
      <c r="V257" s="29"/>
      <c r="W257" s="29"/>
      <c r="X257" s="29"/>
    </row>
    <row r="258" spans="2:24" x14ac:dyDescent="0.2">
      <c r="B258" s="37"/>
      <c r="C258" s="37"/>
      <c r="D258" s="71" t="s">
        <v>598</v>
      </c>
      <c r="E258" s="75">
        <v>6</v>
      </c>
      <c r="F258" s="37"/>
      <c r="G258" s="195" t="s">
        <v>600</v>
      </c>
      <c r="H258" s="61"/>
      <c r="I258" s="61"/>
      <c r="J258" s="51"/>
      <c r="K258" s="34"/>
      <c r="L258" s="63"/>
      <c r="M258" s="61"/>
      <c r="N258" s="29"/>
      <c r="O258" s="89"/>
      <c r="P258" s="51"/>
      <c r="Q258" s="29"/>
      <c r="R258" s="89"/>
      <c r="S258" s="51"/>
      <c r="T258" s="89"/>
      <c r="U258" s="86"/>
      <c r="V258" s="29"/>
      <c r="W258" s="29"/>
      <c r="X258" s="29"/>
    </row>
    <row r="259" spans="2:24" x14ac:dyDescent="0.2">
      <c r="B259" s="37"/>
      <c r="C259" s="37"/>
      <c r="D259" s="99" t="s">
        <v>597</v>
      </c>
      <c r="E259" s="75">
        <v>9</v>
      </c>
      <c r="F259" s="37"/>
      <c r="G259" s="195"/>
      <c r="H259" s="61"/>
      <c r="I259" s="61"/>
      <c r="J259" s="51"/>
      <c r="K259" s="34"/>
      <c r="L259" s="63"/>
      <c r="M259" s="61"/>
      <c r="N259" s="29"/>
      <c r="O259" s="89"/>
      <c r="P259" s="51"/>
      <c r="Q259" s="29"/>
      <c r="R259" s="89"/>
      <c r="S259" s="51"/>
      <c r="T259" s="89"/>
      <c r="U259" s="86"/>
      <c r="V259" s="29"/>
      <c r="W259" s="29"/>
      <c r="X259" s="29"/>
    </row>
    <row r="260" spans="2:24" x14ac:dyDescent="0.2">
      <c r="B260" s="37"/>
      <c r="C260" s="37"/>
      <c r="D260" s="51"/>
      <c r="E260" s="90"/>
      <c r="F260" s="37"/>
      <c r="G260" s="34"/>
      <c r="H260" s="61"/>
      <c r="I260" s="61"/>
      <c r="J260" s="51"/>
      <c r="K260" s="34"/>
      <c r="L260" s="63"/>
      <c r="M260" s="61"/>
      <c r="N260" s="29"/>
      <c r="O260" s="89"/>
      <c r="P260" s="51"/>
      <c r="Q260" s="29"/>
      <c r="R260" s="89"/>
      <c r="S260" s="51"/>
      <c r="T260" s="89"/>
      <c r="U260" s="86"/>
      <c r="V260" s="29"/>
      <c r="W260" s="29"/>
      <c r="X260" s="29"/>
    </row>
    <row r="261" spans="2:24" x14ac:dyDescent="0.2">
      <c r="B261" s="37"/>
      <c r="C261" s="37"/>
      <c r="D261" s="63" t="s">
        <v>41</v>
      </c>
      <c r="E261" s="90">
        <f>SUM(E258:E259)</f>
        <v>15</v>
      </c>
      <c r="F261" s="37"/>
      <c r="G261" s="34"/>
      <c r="H261" s="61"/>
      <c r="I261" s="61"/>
      <c r="J261" s="51"/>
      <c r="K261" s="34"/>
      <c r="L261" s="63"/>
      <c r="M261" s="61"/>
      <c r="N261" s="29"/>
      <c r="O261" s="89"/>
      <c r="P261" s="51"/>
      <c r="Q261" s="29"/>
      <c r="R261" s="89"/>
      <c r="S261" s="51"/>
      <c r="T261" s="89"/>
      <c r="U261" s="86"/>
      <c r="V261" s="29"/>
      <c r="W261" s="29"/>
      <c r="X261" s="29"/>
    </row>
    <row r="262" spans="2:24" x14ac:dyDescent="0.2">
      <c r="B262" s="37"/>
      <c r="C262" s="37"/>
      <c r="D262" s="63"/>
      <c r="E262" s="90"/>
      <c r="F262" s="37"/>
      <c r="G262" s="34"/>
      <c r="H262" s="61"/>
      <c r="I262" s="61"/>
      <c r="J262" s="51"/>
      <c r="K262" s="34"/>
      <c r="L262" s="63"/>
      <c r="M262" s="61"/>
      <c r="N262" s="29"/>
      <c r="O262" s="89"/>
      <c r="P262" s="51"/>
      <c r="Q262" s="29"/>
      <c r="R262" s="89"/>
      <c r="S262" s="51"/>
      <c r="T262" s="89"/>
      <c r="U262" s="86"/>
      <c r="V262" s="29"/>
      <c r="W262" s="29"/>
      <c r="X262" s="29"/>
    </row>
    <row r="263" spans="2:24" x14ac:dyDescent="0.2">
      <c r="B263" s="58" t="s">
        <v>550</v>
      </c>
      <c r="C263" s="101">
        <v>91981</v>
      </c>
      <c r="D263" s="58" t="s">
        <v>551</v>
      </c>
      <c r="E263" s="90"/>
      <c r="F263" s="37"/>
      <c r="G263" s="34"/>
      <c r="H263" s="61"/>
      <c r="I263" s="61"/>
      <c r="J263" s="51"/>
      <c r="K263" s="34"/>
      <c r="L263" s="63"/>
      <c r="M263" s="61"/>
      <c r="N263" s="29"/>
      <c r="O263" s="89"/>
      <c r="P263" s="51"/>
      <c r="Q263" s="29"/>
      <c r="R263" s="89"/>
      <c r="S263" s="51"/>
      <c r="T263" s="89"/>
      <c r="U263" s="86"/>
      <c r="V263" s="29"/>
      <c r="W263" s="29"/>
      <c r="X263" s="29"/>
    </row>
    <row r="264" spans="2:24" x14ac:dyDescent="0.2">
      <c r="B264" s="37"/>
      <c r="C264" s="37"/>
      <c r="D264" s="63"/>
      <c r="E264" s="90"/>
      <c r="F264" s="37"/>
      <c r="G264" s="34"/>
      <c r="H264" s="61"/>
      <c r="I264" s="61"/>
      <c r="J264" s="51"/>
      <c r="K264" s="34"/>
      <c r="L264" s="63"/>
      <c r="M264" s="61"/>
      <c r="N264" s="29"/>
      <c r="O264" s="89"/>
      <c r="P264" s="51"/>
      <c r="Q264" s="29"/>
      <c r="R264" s="89"/>
      <c r="S264" s="51"/>
      <c r="T264" s="89"/>
      <c r="U264" s="86"/>
      <c r="V264" s="29"/>
      <c r="W264" s="29"/>
      <c r="X264" s="29"/>
    </row>
    <row r="265" spans="2:24" x14ac:dyDescent="0.2">
      <c r="B265" s="37"/>
      <c r="C265" s="37"/>
      <c r="D265" s="73" t="s">
        <v>43</v>
      </c>
      <c r="E265" s="59" t="s">
        <v>44</v>
      </c>
      <c r="F265" s="37"/>
      <c r="G265" s="34"/>
      <c r="H265" s="61"/>
      <c r="I265" s="61"/>
      <c r="J265" s="51"/>
      <c r="K265" s="34"/>
      <c r="L265" s="63"/>
      <c r="M265" s="61"/>
      <c r="N265" s="29"/>
      <c r="O265" s="89"/>
      <c r="P265" s="51"/>
      <c r="Q265" s="29"/>
      <c r="R265" s="89"/>
      <c r="S265" s="51"/>
      <c r="T265" s="89"/>
      <c r="U265" s="86"/>
      <c r="V265" s="29"/>
      <c r="W265" s="29"/>
      <c r="X265" s="29"/>
    </row>
    <row r="266" spans="2:24" x14ac:dyDescent="0.2">
      <c r="B266" s="37"/>
      <c r="C266" s="37"/>
      <c r="D266" s="71" t="s">
        <v>599</v>
      </c>
      <c r="E266" s="75">
        <v>2</v>
      </c>
      <c r="F266" s="37"/>
      <c r="G266" s="195" t="s">
        <v>601</v>
      </c>
      <c r="H266" s="61"/>
      <c r="I266" s="61"/>
      <c r="J266" s="51"/>
      <c r="K266" s="34"/>
      <c r="L266" s="63"/>
      <c r="M266" s="61"/>
      <c r="N266" s="29"/>
      <c r="O266" s="89"/>
      <c r="P266" s="51"/>
      <c r="Q266" s="29"/>
      <c r="R266" s="89"/>
      <c r="S266" s="51"/>
      <c r="T266" s="89"/>
      <c r="U266" s="86"/>
      <c r="V266" s="29"/>
      <c r="W266" s="29"/>
      <c r="X266" s="29"/>
    </row>
    <row r="267" spans="2:24" x14ac:dyDescent="0.2">
      <c r="B267" s="37"/>
      <c r="C267" s="37"/>
      <c r="D267" s="99" t="s">
        <v>597</v>
      </c>
      <c r="E267" s="75">
        <v>3</v>
      </c>
      <c r="F267" s="37"/>
      <c r="G267" s="34"/>
      <c r="H267" s="61"/>
      <c r="I267" s="61"/>
      <c r="J267" s="51"/>
      <c r="K267" s="34"/>
      <c r="L267" s="63"/>
      <c r="M267" s="61"/>
      <c r="N267" s="29"/>
      <c r="O267" s="89"/>
      <c r="P267" s="51"/>
      <c r="Q267" s="29"/>
      <c r="R267" s="89"/>
      <c r="S267" s="51"/>
      <c r="T267" s="89"/>
      <c r="U267" s="86"/>
      <c r="V267" s="29"/>
      <c r="W267" s="29"/>
      <c r="X267" s="29"/>
    </row>
    <row r="268" spans="2:24" x14ac:dyDescent="0.2">
      <c r="B268" s="37"/>
      <c r="C268" s="37"/>
      <c r="D268" s="63"/>
      <c r="E268" s="90"/>
      <c r="F268" s="37"/>
      <c r="G268" s="34"/>
      <c r="H268" s="61"/>
      <c r="I268" s="61"/>
      <c r="J268" s="51"/>
      <c r="K268" s="34"/>
      <c r="L268" s="63"/>
      <c r="M268" s="61"/>
      <c r="N268" s="29"/>
      <c r="O268" s="89"/>
      <c r="P268" s="51"/>
      <c r="Q268" s="29"/>
      <c r="R268" s="89"/>
      <c r="S268" s="51"/>
      <c r="T268" s="89"/>
      <c r="U268" s="86"/>
      <c r="V268" s="29"/>
      <c r="W268" s="29"/>
      <c r="X268" s="29"/>
    </row>
    <row r="269" spans="2:24" x14ac:dyDescent="0.2">
      <c r="B269" s="37"/>
      <c r="C269" s="37"/>
      <c r="D269" s="63" t="s">
        <v>41</v>
      </c>
      <c r="E269" s="90">
        <f>SUM(E266:E267)</f>
        <v>5</v>
      </c>
      <c r="F269" s="37"/>
      <c r="G269" s="34"/>
      <c r="H269" s="61"/>
      <c r="I269" s="61"/>
      <c r="J269" s="51"/>
      <c r="K269" s="34"/>
      <c r="L269" s="63"/>
      <c r="M269" s="61"/>
      <c r="N269" s="29"/>
      <c r="O269" s="89"/>
      <c r="P269" s="51"/>
      <c r="Q269" s="29"/>
      <c r="R269" s="89"/>
      <c r="S269" s="51"/>
      <c r="T269" s="89"/>
      <c r="U269" s="86"/>
      <c r="V269" s="29"/>
      <c r="W269" s="29"/>
      <c r="X269" s="29"/>
    </row>
    <row r="270" spans="2:24" x14ac:dyDescent="0.2">
      <c r="B270" s="37"/>
      <c r="C270" s="37"/>
      <c r="D270" s="63"/>
      <c r="E270" s="90"/>
      <c r="F270" s="37"/>
      <c r="G270" s="34"/>
      <c r="H270" s="61"/>
      <c r="I270" s="61"/>
      <c r="J270" s="51"/>
      <c r="K270" s="34"/>
      <c r="L270" s="63"/>
      <c r="M270" s="61"/>
      <c r="N270" s="29"/>
      <c r="O270" s="89"/>
      <c r="P270" s="51"/>
      <c r="Q270" s="29"/>
      <c r="R270" s="89"/>
      <c r="S270" s="51"/>
      <c r="T270" s="89"/>
      <c r="U270" s="86"/>
      <c r="V270" s="29"/>
      <c r="W270" s="29"/>
      <c r="X270" s="29"/>
    </row>
    <row r="271" spans="2:24" x14ac:dyDescent="0.2">
      <c r="B271" s="37"/>
      <c r="C271" s="37"/>
      <c r="D271" s="63"/>
      <c r="E271" s="90"/>
      <c r="F271" s="37"/>
      <c r="G271" s="34"/>
      <c r="H271" s="61"/>
      <c r="I271" s="61"/>
      <c r="J271" s="51"/>
      <c r="K271" s="34"/>
      <c r="L271" s="63"/>
      <c r="M271" s="61"/>
      <c r="N271" s="29"/>
      <c r="O271" s="89"/>
      <c r="P271" s="51"/>
      <c r="Q271" s="29"/>
      <c r="R271" s="89"/>
      <c r="S271" s="51"/>
      <c r="T271" s="89"/>
      <c r="U271" s="86"/>
      <c r="V271" s="29"/>
      <c r="W271" s="29"/>
      <c r="X271" s="29"/>
    </row>
    <row r="272" spans="2:24" x14ac:dyDescent="0.2">
      <c r="B272" s="58" t="s">
        <v>602</v>
      </c>
      <c r="C272" s="101">
        <v>101883</v>
      </c>
      <c r="D272" s="58" t="s">
        <v>621</v>
      </c>
      <c r="E272" s="90"/>
      <c r="F272" s="37"/>
      <c r="G272" s="34"/>
      <c r="H272" s="61"/>
      <c r="I272" s="61"/>
      <c r="J272" s="51"/>
      <c r="K272" s="34"/>
      <c r="L272" s="63"/>
      <c r="M272" s="61"/>
      <c r="N272" s="29"/>
      <c r="O272" s="89"/>
      <c r="P272" s="51"/>
      <c r="Q272" s="29"/>
      <c r="R272" s="89"/>
      <c r="S272" s="51"/>
      <c r="T272" s="89"/>
      <c r="U272" s="86"/>
      <c r="V272" s="29"/>
      <c r="W272" s="29"/>
      <c r="X272" s="29"/>
    </row>
    <row r="273" spans="2:24" x14ac:dyDescent="0.2">
      <c r="B273" s="37"/>
      <c r="C273" s="37"/>
      <c r="D273" s="63"/>
      <c r="E273" s="90"/>
      <c r="F273" s="37"/>
      <c r="G273" s="34"/>
      <c r="H273" s="61"/>
      <c r="I273" s="61"/>
      <c r="J273" s="51"/>
      <c r="K273" s="34"/>
      <c r="L273" s="63"/>
      <c r="M273" s="61"/>
      <c r="N273" s="29"/>
      <c r="O273" s="89"/>
      <c r="P273" s="51"/>
      <c r="Q273" s="29"/>
      <c r="R273" s="89"/>
      <c r="S273" s="51"/>
      <c r="T273" s="89"/>
      <c r="U273" s="86"/>
      <c r="V273" s="29"/>
      <c r="W273" s="29"/>
      <c r="X273" s="29"/>
    </row>
    <row r="274" spans="2:24" x14ac:dyDescent="0.2">
      <c r="B274" s="37"/>
      <c r="C274" s="37"/>
      <c r="D274" s="73" t="s">
        <v>43</v>
      </c>
      <c r="E274" s="59" t="s">
        <v>44</v>
      </c>
      <c r="F274" s="37"/>
      <c r="G274" s="34"/>
      <c r="H274" s="61"/>
      <c r="I274" s="61"/>
      <c r="J274" s="63"/>
      <c r="K274" s="34"/>
      <c r="L274" s="63"/>
      <c r="M274" s="61"/>
      <c r="N274" s="29"/>
      <c r="O274" s="89"/>
      <c r="P274" s="51"/>
      <c r="Q274" s="29"/>
      <c r="R274" s="89"/>
      <c r="S274" s="51"/>
      <c r="T274" s="89"/>
      <c r="U274" s="86"/>
      <c r="V274" s="29"/>
      <c r="W274" s="29"/>
      <c r="X274" s="29"/>
    </row>
    <row r="275" spans="2:24" x14ac:dyDescent="0.2">
      <c r="B275" s="37"/>
      <c r="C275" s="37"/>
      <c r="D275" s="71" t="s">
        <v>431</v>
      </c>
      <c r="E275" s="75">
        <v>1</v>
      </c>
      <c r="F275" s="37"/>
      <c r="G275" s="195" t="s">
        <v>603</v>
      </c>
      <c r="H275" s="61"/>
      <c r="I275" s="61"/>
      <c r="J275" s="51"/>
      <c r="K275" s="34"/>
      <c r="L275" s="63"/>
      <c r="M275" s="61"/>
      <c r="N275" s="29"/>
      <c r="O275" s="89"/>
      <c r="P275" s="51"/>
      <c r="Q275" s="29"/>
      <c r="R275" s="89"/>
      <c r="S275" s="51"/>
      <c r="T275" s="89"/>
      <c r="U275" s="86"/>
      <c r="V275" s="29"/>
      <c r="W275" s="29"/>
      <c r="X275" s="29"/>
    </row>
    <row r="276" spans="2:24" x14ac:dyDescent="0.2">
      <c r="B276" s="37"/>
      <c r="C276" s="37"/>
      <c r="D276" s="51"/>
      <c r="E276" s="90"/>
      <c r="F276" s="37"/>
      <c r="G276" s="34"/>
      <c r="H276" s="61"/>
      <c r="I276" s="61"/>
      <c r="J276" s="51"/>
      <c r="K276" s="34"/>
      <c r="L276" s="63"/>
      <c r="M276" s="61"/>
      <c r="N276" s="29"/>
      <c r="O276" s="89"/>
      <c r="P276" s="51"/>
      <c r="Q276" s="29"/>
      <c r="R276" s="89"/>
      <c r="S276" s="51"/>
      <c r="T276" s="89"/>
      <c r="U276" s="86"/>
      <c r="V276" s="29"/>
      <c r="W276" s="29"/>
      <c r="X276" s="29"/>
    </row>
    <row r="277" spans="2:24" x14ac:dyDescent="0.2">
      <c r="B277" s="37"/>
      <c r="C277" s="37"/>
      <c r="D277" s="63" t="s">
        <v>41</v>
      </c>
      <c r="E277" s="90">
        <f>SUM(E275:E275)</f>
        <v>1</v>
      </c>
      <c r="F277" s="37"/>
      <c r="G277" s="34"/>
      <c r="H277" s="61"/>
      <c r="I277" s="61"/>
      <c r="J277" s="51"/>
      <c r="K277" s="34"/>
      <c r="L277" s="63"/>
      <c r="M277" s="61"/>
      <c r="N277" s="29"/>
      <c r="O277" s="89"/>
      <c r="P277" s="51"/>
      <c r="Q277" s="29"/>
      <c r="R277" s="89"/>
      <c r="S277" s="51"/>
      <c r="T277" s="89"/>
      <c r="U277" s="86"/>
      <c r="V277" s="29"/>
      <c r="W277" s="29"/>
      <c r="X277" s="29"/>
    </row>
    <row r="278" spans="2:24" x14ac:dyDescent="0.2">
      <c r="B278" s="37"/>
      <c r="C278" s="37"/>
      <c r="D278" s="63"/>
      <c r="E278" s="90"/>
      <c r="F278" s="37"/>
      <c r="G278" s="34"/>
      <c r="H278" s="61"/>
      <c r="I278" s="61"/>
      <c r="J278" s="51"/>
      <c r="K278" s="34"/>
      <c r="L278" s="63"/>
      <c r="M278" s="61"/>
      <c r="N278" s="29"/>
      <c r="O278" s="89"/>
      <c r="P278" s="51"/>
      <c r="Q278" s="29"/>
      <c r="R278" s="89"/>
      <c r="S278" s="51"/>
      <c r="T278" s="89"/>
      <c r="U278" s="86"/>
      <c r="V278" s="29"/>
      <c r="W278" s="29"/>
      <c r="X278" s="29"/>
    </row>
    <row r="279" spans="2:24" x14ac:dyDescent="0.2">
      <c r="B279" s="58" t="s">
        <v>604</v>
      </c>
      <c r="C279" s="101">
        <v>101879</v>
      </c>
      <c r="D279" s="58" t="s">
        <v>605</v>
      </c>
      <c r="E279" s="90"/>
      <c r="F279" s="37"/>
      <c r="G279" s="34"/>
      <c r="H279" s="61"/>
      <c r="I279" s="61"/>
      <c r="J279" s="51"/>
      <c r="K279" s="34"/>
      <c r="L279" s="63"/>
      <c r="M279" s="61"/>
      <c r="N279" s="29"/>
      <c r="O279" s="89"/>
      <c r="P279" s="51"/>
      <c r="Q279" s="29"/>
      <c r="R279" s="89"/>
      <c r="S279" s="51"/>
      <c r="T279" s="89"/>
      <c r="U279" s="86"/>
      <c r="V279" s="29"/>
      <c r="W279" s="29"/>
      <c r="X279" s="29"/>
    </row>
    <row r="280" spans="2:24" x14ac:dyDescent="0.2">
      <c r="B280" s="37"/>
      <c r="C280" s="37"/>
      <c r="D280" s="63"/>
      <c r="E280" s="90"/>
      <c r="F280" s="37"/>
      <c r="G280" s="34"/>
      <c r="H280" s="61"/>
      <c r="I280" s="61"/>
      <c r="J280" s="51"/>
      <c r="K280" s="34"/>
      <c r="L280" s="63"/>
      <c r="M280" s="61"/>
      <c r="N280" s="29"/>
      <c r="O280" s="89"/>
      <c r="P280" s="51"/>
      <c r="Q280" s="29"/>
      <c r="R280" s="89"/>
      <c r="S280" s="51"/>
      <c r="T280" s="89"/>
      <c r="U280" s="86"/>
      <c r="V280" s="29"/>
      <c r="W280" s="29"/>
      <c r="X280" s="29"/>
    </row>
    <row r="281" spans="2:24" x14ac:dyDescent="0.2">
      <c r="B281" s="37"/>
      <c r="C281" s="37"/>
      <c r="D281" s="73" t="s">
        <v>43</v>
      </c>
      <c r="E281" s="59" t="s">
        <v>44</v>
      </c>
      <c r="F281" s="37"/>
      <c r="G281" s="34"/>
      <c r="H281" s="61"/>
      <c r="I281" s="61"/>
      <c r="J281" s="51"/>
      <c r="K281" s="34"/>
      <c r="L281" s="63"/>
      <c r="M281" s="61"/>
      <c r="N281" s="29"/>
      <c r="O281" s="89"/>
      <c r="P281" s="51"/>
      <c r="Q281" s="29"/>
      <c r="R281" s="89"/>
      <c r="S281" s="51"/>
      <c r="T281" s="89"/>
      <c r="U281" s="86"/>
      <c r="V281" s="29"/>
      <c r="W281" s="29"/>
      <c r="X281" s="29"/>
    </row>
    <row r="282" spans="2:24" x14ac:dyDescent="0.2">
      <c r="B282" s="37"/>
      <c r="C282" s="37"/>
      <c r="D282" s="71" t="s">
        <v>612</v>
      </c>
      <c r="E282" s="75">
        <v>1</v>
      </c>
      <c r="F282" s="37"/>
      <c r="G282" s="195" t="s">
        <v>603</v>
      </c>
      <c r="H282" s="61"/>
      <c r="I282" s="61"/>
      <c r="J282" s="51"/>
      <c r="K282" s="34"/>
      <c r="L282" s="63"/>
      <c r="M282" s="61"/>
      <c r="N282" s="29"/>
      <c r="O282" s="89"/>
      <c r="P282" s="51"/>
      <c r="Q282" s="29"/>
      <c r="R282" s="89"/>
      <c r="S282" s="51"/>
      <c r="T282" s="89"/>
      <c r="U282" s="86"/>
      <c r="V282" s="29"/>
      <c r="W282" s="29"/>
      <c r="X282" s="29"/>
    </row>
    <row r="283" spans="2:24" x14ac:dyDescent="0.2">
      <c r="B283" s="37"/>
      <c r="C283" s="37"/>
      <c r="D283" s="51"/>
      <c r="E283" s="90"/>
      <c r="F283" s="37"/>
      <c r="G283" s="34"/>
      <c r="H283" s="61"/>
      <c r="I283" s="61"/>
      <c r="J283" s="51"/>
      <c r="K283" s="34"/>
      <c r="L283" s="63"/>
      <c r="M283" s="61"/>
      <c r="N283" s="29"/>
      <c r="O283" s="89"/>
      <c r="P283" s="51"/>
      <c r="Q283" s="29"/>
      <c r="R283" s="89"/>
      <c r="S283" s="51"/>
      <c r="T283" s="89"/>
      <c r="U283" s="86"/>
      <c r="V283" s="29"/>
      <c r="W283" s="29"/>
      <c r="X283" s="29"/>
    </row>
    <row r="284" spans="2:24" x14ac:dyDescent="0.2">
      <c r="B284" s="37"/>
      <c r="C284" s="37"/>
      <c r="D284" s="63" t="s">
        <v>41</v>
      </c>
      <c r="E284" s="90">
        <f>SUM(E282:E282)</f>
        <v>1</v>
      </c>
      <c r="F284" s="37"/>
      <c r="G284" s="34"/>
      <c r="H284" s="61"/>
      <c r="I284" s="61"/>
      <c r="J284" s="51"/>
      <c r="K284" s="34"/>
      <c r="L284" s="63"/>
      <c r="M284" s="61"/>
      <c r="N284" s="29"/>
      <c r="O284" s="89"/>
      <c r="P284" s="51"/>
      <c r="Q284" s="29"/>
      <c r="R284" s="89"/>
      <c r="S284" s="51"/>
      <c r="T284" s="89"/>
      <c r="U284" s="86"/>
      <c r="V284" s="29"/>
      <c r="W284" s="29"/>
      <c r="X284" s="29"/>
    </row>
    <row r="285" spans="2:24" x14ac:dyDescent="0.2">
      <c r="B285" s="37"/>
      <c r="C285" s="37"/>
      <c r="D285" s="63"/>
      <c r="E285" s="90"/>
      <c r="F285" s="37"/>
      <c r="G285" s="34"/>
      <c r="H285" s="61"/>
      <c r="I285" s="61"/>
      <c r="J285" s="51"/>
      <c r="K285" s="34"/>
      <c r="L285" s="63"/>
      <c r="M285" s="61"/>
      <c r="N285" s="29"/>
      <c r="O285" s="89"/>
      <c r="P285" s="51"/>
      <c r="Q285" s="29"/>
      <c r="R285" s="89"/>
      <c r="S285" s="51"/>
      <c r="T285" s="89"/>
      <c r="U285" s="86"/>
      <c r="V285" s="29"/>
      <c r="W285" s="29"/>
      <c r="X285" s="29"/>
    </row>
    <row r="286" spans="2:24" x14ac:dyDescent="0.2">
      <c r="B286" s="96" t="s">
        <v>606</v>
      </c>
      <c r="C286" s="95" t="s">
        <v>611</v>
      </c>
      <c r="D286" s="96" t="s">
        <v>607</v>
      </c>
      <c r="E286" s="63"/>
      <c r="F286" s="37"/>
      <c r="G286" s="34"/>
      <c r="H286" s="61"/>
      <c r="I286" s="61"/>
      <c r="J286" s="51"/>
      <c r="K286" s="34"/>
      <c r="L286" s="63"/>
      <c r="M286" s="61"/>
      <c r="N286" s="29"/>
      <c r="O286" s="89"/>
      <c r="P286" s="51"/>
      <c r="Q286" s="29"/>
      <c r="R286" s="89"/>
      <c r="S286" s="51"/>
      <c r="T286" s="89"/>
      <c r="U286" s="86"/>
      <c r="V286" s="29"/>
      <c r="W286" s="29"/>
      <c r="X286" s="29"/>
    </row>
    <row r="287" spans="2:24" x14ac:dyDescent="0.2">
      <c r="B287" s="29"/>
      <c r="C287" s="29"/>
      <c r="D287" s="53"/>
      <c r="E287" s="79"/>
      <c r="F287" s="37"/>
      <c r="G287" s="34"/>
      <c r="H287" s="61"/>
      <c r="I287" s="61"/>
      <c r="J287" s="51"/>
      <c r="K287" s="34"/>
      <c r="L287" s="63"/>
      <c r="M287" s="61"/>
      <c r="N287" s="29"/>
      <c r="O287" s="89"/>
      <c r="P287" s="51"/>
      <c r="Q287" s="29"/>
      <c r="R287" s="89"/>
      <c r="S287" s="51"/>
      <c r="T287" s="89"/>
      <c r="U287" s="86"/>
      <c r="V287" s="29"/>
      <c r="W287" s="29"/>
      <c r="X287" s="29"/>
    </row>
    <row r="288" spans="2:24" x14ac:dyDescent="0.2">
      <c r="B288" s="29"/>
      <c r="C288" s="29"/>
      <c r="D288" s="59" t="s">
        <v>43</v>
      </c>
      <c r="E288" s="59" t="s">
        <v>42</v>
      </c>
      <c r="F288" s="37"/>
      <c r="G288" s="34"/>
      <c r="H288" s="61"/>
      <c r="I288" s="61"/>
      <c r="J288" s="51"/>
      <c r="K288" s="34"/>
      <c r="L288" s="63"/>
      <c r="M288" s="61"/>
      <c r="N288" s="29"/>
      <c r="O288" s="89"/>
      <c r="P288" s="51"/>
      <c r="Q288" s="29"/>
      <c r="R288" s="89"/>
      <c r="S288" s="51"/>
      <c r="T288" s="89"/>
      <c r="U288" s="86"/>
      <c r="V288" s="29"/>
      <c r="W288" s="29"/>
      <c r="X288" s="29"/>
    </row>
    <row r="289" spans="2:24" x14ac:dyDescent="0.2">
      <c r="B289" s="29"/>
      <c r="C289" s="29"/>
      <c r="D289" s="99" t="s">
        <v>207</v>
      </c>
      <c r="E289" s="34">
        <v>50</v>
      </c>
      <c r="F289" s="37"/>
      <c r="G289" s="195" t="s">
        <v>608</v>
      </c>
      <c r="H289" s="61"/>
      <c r="I289" s="61"/>
      <c r="J289" s="51"/>
      <c r="K289" s="34"/>
      <c r="L289" s="63"/>
      <c r="M289" s="61"/>
      <c r="N289" s="29"/>
      <c r="O289" s="89"/>
      <c r="P289" s="51"/>
      <c r="Q289" s="29"/>
      <c r="R289" s="89"/>
      <c r="S289" s="51"/>
      <c r="T289" s="89"/>
      <c r="U289" s="86"/>
      <c r="V289" s="29"/>
      <c r="W289" s="29"/>
      <c r="X289" s="29"/>
    </row>
    <row r="290" spans="2:24" x14ac:dyDescent="0.2">
      <c r="B290" s="29"/>
      <c r="C290" s="29"/>
      <c r="D290" s="99"/>
      <c r="E290" s="34"/>
      <c r="F290" s="37"/>
      <c r="G290" s="34"/>
      <c r="H290" s="61"/>
      <c r="I290" s="61"/>
      <c r="J290" s="51"/>
      <c r="K290" s="34"/>
      <c r="L290" s="63"/>
      <c r="M290" s="61"/>
      <c r="N290" s="29"/>
      <c r="O290" s="89"/>
      <c r="P290" s="51"/>
      <c r="Q290" s="29"/>
      <c r="R290" s="89"/>
      <c r="S290" s="51"/>
      <c r="T290" s="89"/>
      <c r="U290" s="86"/>
      <c r="V290" s="29"/>
      <c r="W290" s="29"/>
      <c r="X290" s="29"/>
    </row>
    <row r="291" spans="2:24" x14ac:dyDescent="0.2">
      <c r="B291" s="37"/>
      <c r="C291" s="37"/>
      <c r="D291" s="63" t="s">
        <v>41</v>
      </c>
      <c r="E291" s="211">
        <f>E289</f>
        <v>50</v>
      </c>
      <c r="F291" s="37"/>
      <c r="G291" s="34"/>
      <c r="H291" s="61"/>
      <c r="I291" s="61"/>
      <c r="J291" s="51"/>
      <c r="K291" s="34"/>
      <c r="L291" s="63"/>
      <c r="M291" s="61"/>
      <c r="N291" s="29"/>
      <c r="O291" s="89"/>
      <c r="P291" s="51"/>
      <c r="Q291" s="29"/>
      <c r="R291" s="89"/>
      <c r="S291" s="51"/>
      <c r="T291" s="89"/>
      <c r="U291" s="86"/>
      <c r="V291" s="29"/>
      <c r="W291" s="29"/>
      <c r="X291" s="29"/>
    </row>
    <row r="292" spans="2:24" x14ac:dyDescent="0.2">
      <c r="B292" s="37"/>
      <c r="C292" s="37"/>
      <c r="D292" s="63"/>
      <c r="E292" s="90"/>
      <c r="F292" s="37"/>
      <c r="G292" s="34"/>
      <c r="H292" s="61"/>
      <c r="I292" s="61"/>
      <c r="J292" s="51"/>
      <c r="K292" s="34"/>
      <c r="L292" s="63"/>
      <c r="M292" s="61"/>
      <c r="N292" s="29"/>
      <c r="O292" s="89"/>
      <c r="P292" s="51"/>
      <c r="Q292" s="29"/>
      <c r="R292" s="89"/>
      <c r="S292" s="51"/>
      <c r="T292" s="89"/>
      <c r="U292" s="86"/>
      <c r="V292" s="29"/>
      <c r="W292" s="29"/>
      <c r="X292" s="29"/>
    </row>
    <row r="293" spans="2:24" x14ac:dyDescent="0.2">
      <c r="B293" s="58" t="s">
        <v>609</v>
      </c>
      <c r="C293" s="101">
        <v>90457</v>
      </c>
      <c r="D293" s="58" t="s">
        <v>610</v>
      </c>
      <c r="E293" s="90"/>
      <c r="F293" s="37"/>
      <c r="G293" s="34"/>
      <c r="H293" s="61"/>
      <c r="I293" s="61"/>
      <c r="J293" s="51"/>
      <c r="K293" s="34"/>
      <c r="L293" s="63"/>
      <c r="M293" s="61"/>
      <c r="N293" s="29"/>
      <c r="O293" s="89"/>
      <c r="P293" s="51"/>
      <c r="Q293" s="29"/>
      <c r="R293" s="89"/>
      <c r="S293" s="51"/>
      <c r="T293" s="89"/>
      <c r="U293" s="86"/>
      <c r="V293" s="29"/>
      <c r="W293" s="29"/>
      <c r="X293" s="29"/>
    </row>
    <row r="294" spans="2:24" x14ac:dyDescent="0.2">
      <c r="B294" s="37"/>
      <c r="C294" s="37"/>
      <c r="D294" s="63"/>
      <c r="E294" s="90"/>
      <c r="F294" s="37"/>
      <c r="G294" s="34"/>
      <c r="H294" s="61"/>
      <c r="I294" s="61"/>
      <c r="J294" s="51"/>
      <c r="K294" s="34"/>
      <c r="L294" s="63"/>
      <c r="M294" s="61"/>
      <c r="N294" s="29"/>
      <c r="O294" s="89"/>
      <c r="P294" s="51"/>
      <c r="Q294" s="29"/>
      <c r="R294" s="89"/>
      <c r="S294" s="51"/>
      <c r="T294" s="89"/>
      <c r="U294" s="86"/>
      <c r="V294" s="29"/>
      <c r="W294" s="29"/>
      <c r="X294" s="29"/>
    </row>
    <row r="295" spans="2:24" x14ac:dyDescent="0.2">
      <c r="B295" s="37"/>
      <c r="C295" s="37"/>
      <c r="D295" s="73" t="s">
        <v>43</v>
      </c>
      <c r="E295" s="59" t="s">
        <v>44</v>
      </c>
      <c r="F295" s="37"/>
      <c r="G295" s="34"/>
      <c r="H295" s="61"/>
      <c r="I295" s="61"/>
      <c r="J295" s="51"/>
      <c r="K295" s="34"/>
      <c r="L295" s="63"/>
      <c r="M295" s="61"/>
      <c r="N295" s="29"/>
      <c r="O295" s="89"/>
      <c r="P295" s="51"/>
      <c r="Q295" s="29"/>
      <c r="R295" s="89"/>
      <c r="S295" s="51"/>
      <c r="T295" s="89"/>
      <c r="U295" s="86"/>
      <c r="V295" s="29"/>
      <c r="W295" s="29"/>
      <c r="X295" s="29"/>
    </row>
    <row r="296" spans="2:24" x14ac:dyDescent="0.2">
      <c r="B296" s="37"/>
      <c r="C296" s="37"/>
      <c r="D296" s="71" t="s">
        <v>431</v>
      </c>
      <c r="E296" s="75">
        <v>1</v>
      </c>
      <c r="F296" s="37"/>
      <c r="G296" s="195" t="s">
        <v>613</v>
      </c>
      <c r="H296" s="61"/>
      <c r="I296" s="61"/>
      <c r="J296" s="51"/>
      <c r="K296" s="34"/>
      <c r="L296" s="63"/>
      <c r="M296" s="61"/>
      <c r="N296" s="29"/>
      <c r="O296" s="89"/>
      <c r="P296" s="51"/>
      <c r="Q296" s="29"/>
      <c r="R296" s="89"/>
      <c r="S296" s="51"/>
      <c r="T296" s="89"/>
      <c r="U296" s="86"/>
      <c r="V296" s="29"/>
      <c r="W296" s="29"/>
      <c r="X296" s="29"/>
    </row>
    <row r="297" spans="2:24" x14ac:dyDescent="0.2">
      <c r="B297" s="37"/>
      <c r="C297" s="37"/>
      <c r="D297" s="71" t="s">
        <v>612</v>
      </c>
      <c r="E297" s="75">
        <v>1</v>
      </c>
      <c r="F297" s="37"/>
      <c r="G297" s="195"/>
      <c r="H297" s="61"/>
      <c r="I297" s="61"/>
      <c r="J297" s="51"/>
      <c r="K297" s="34"/>
      <c r="L297" s="63"/>
      <c r="M297" s="61"/>
      <c r="N297" s="29"/>
      <c r="O297" s="89"/>
      <c r="P297" s="51"/>
      <c r="Q297" s="29"/>
      <c r="R297" s="89"/>
      <c r="S297" s="51"/>
      <c r="T297" s="89"/>
      <c r="U297" s="86"/>
      <c r="V297" s="29"/>
      <c r="W297" s="29"/>
      <c r="X297" s="29"/>
    </row>
    <row r="298" spans="2:24" x14ac:dyDescent="0.2">
      <c r="B298" s="37"/>
      <c r="C298" s="37"/>
      <c r="D298" s="51"/>
      <c r="E298" s="90"/>
      <c r="F298" s="37"/>
      <c r="G298" s="34"/>
      <c r="H298" s="61"/>
      <c r="I298" s="61"/>
      <c r="J298" s="51"/>
      <c r="K298" s="34"/>
      <c r="L298" s="63"/>
      <c r="M298" s="61"/>
      <c r="N298" s="29"/>
      <c r="O298" s="89"/>
      <c r="P298" s="51"/>
      <c r="Q298" s="29"/>
      <c r="R298" s="89"/>
      <c r="S298" s="51"/>
      <c r="T298" s="89"/>
      <c r="U298" s="86"/>
      <c r="V298" s="29"/>
      <c r="W298" s="29"/>
      <c r="X298" s="29"/>
    </row>
    <row r="299" spans="2:24" x14ac:dyDescent="0.2">
      <c r="B299" s="37"/>
      <c r="C299" s="37"/>
      <c r="D299" s="63" t="s">
        <v>41</v>
      </c>
      <c r="E299" s="90">
        <f>SUM(E296:E297)</f>
        <v>2</v>
      </c>
      <c r="F299" s="37"/>
      <c r="G299" s="34"/>
      <c r="H299" s="61"/>
      <c r="I299" s="61"/>
      <c r="J299" s="51"/>
      <c r="K299" s="34"/>
      <c r="L299" s="63"/>
      <c r="M299" s="61"/>
      <c r="N299" s="29"/>
      <c r="O299" s="89"/>
      <c r="P299" s="51"/>
      <c r="Q299" s="29"/>
      <c r="R299" s="89"/>
      <c r="S299" s="51"/>
      <c r="T299" s="89"/>
      <c r="U299" s="86"/>
      <c r="V299" s="29"/>
      <c r="W299" s="29"/>
      <c r="X299" s="29"/>
    </row>
    <row r="300" spans="2:24" x14ac:dyDescent="0.2">
      <c r="B300" s="37"/>
      <c r="C300" s="37"/>
      <c r="D300" s="63"/>
      <c r="E300" s="90"/>
      <c r="F300" s="37"/>
      <c r="G300" s="34"/>
      <c r="H300" s="61"/>
      <c r="I300" s="61"/>
      <c r="J300" s="51"/>
      <c r="K300" s="34"/>
      <c r="L300" s="63"/>
      <c r="M300" s="61"/>
      <c r="N300" s="29"/>
      <c r="O300" s="89"/>
      <c r="P300" s="51"/>
      <c r="Q300" s="29"/>
      <c r="R300" s="89"/>
      <c r="S300" s="51"/>
      <c r="T300" s="89"/>
      <c r="U300" s="86"/>
      <c r="V300" s="29"/>
      <c r="W300" s="29"/>
      <c r="X300" s="29"/>
    </row>
    <row r="301" spans="2:24" x14ac:dyDescent="0.2">
      <c r="B301" s="58" t="s">
        <v>614</v>
      </c>
      <c r="C301" s="101" t="s">
        <v>615</v>
      </c>
      <c r="D301" s="58" t="s">
        <v>616</v>
      </c>
      <c r="E301" s="90"/>
      <c r="F301" s="37"/>
      <c r="G301" s="34"/>
      <c r="H301" s="61"/>
      <c r="I301" s="61"/>
      <c r="J301" s="51"/>
      <c r="K301" s="34"/>
      <c r="L301" s="63"/>
      <c r="M301" s="61"/>
      <c r="N301" s="29"/>
      <c r="O301" s="89"/>
      <c r="P301" s="51"/>
      <c r="Q301" s="29"/>
      <c r="R301" s="89"/>
      <c r="S301" s="51"/>
      <c r="T301" s="89"/>
      <c r="U301" s="86"/>
      <c r="V301" s="29"/>
      <c r="W301" s="29"/>
      <c r="X301" s="29"/>
    </row>
    <row r="302" spans="2:24" x14ac:dyDescent="0.2">
      <c r="B302" s="37"/>
      <c r="C302" s="37"/>
      <c r="D302" s="63"/>
      <c r="E302" s="90"/>
      <c r="F302" s="37"/>
      <c r="G302" s="34"/>
      <c r="H302" s="61"/>
      <c r="I302" s="61"/>
      <c r="J302" s="51"/>
      <c r="K302" s="34"/>
      <c r="L302" s="63"/>
      <c r="M302" s="61"/>
      <c r="N302" s="29"/>
      <c r="O302" s="89"/>
      <c r="P302" s="51"/>
      <c r="Q302" s="29"/>
      <c r="R302" s="89"/>
      <c r="S302" s="51"/>
      <c r="T302" s="89"/>
      <c r="U302" s="86"/>
      <c r="V302" s="29"/>
      <c r="W302" s="29"/>
      <c r="X302" s="29"/>
    </row>
    <row r="303" spans="2:24" x14ac:dyDescent="0.2">
      <c r="B303" s="37"/>
      <c r="C303" s="37"/>
      <c r="D303" s="73" t="s">
        <v>43</v>
      </c>
      <c r="E303" s="59" t="s">
        <v>44</v>
      </c>
      <c r="F303" s="37"/>
      <c r="G303" s="34"/>
      <c r="H303" s="61"/>
      <c r="I303" s="61"/>
      <c r="J303" s="51"/>
      <c r="K303" s="34"/>
      <c r="L303" s="63"/>
      <c r="M303" s="61"/>
      <c r="N303" s="29"/>
      <c r="O303" s="89"/>
      <c r="P303" s="51"/>
      <c r="Q303" s="29"/>
      <c r="R303" s="89"/>
      <c r="S303" s="51"/>
      <c r="T303" s="89"/>
      <c r="U303" s="86"/>
      <c r="V303" s="29"/>
      <c r="W303" s="29"/>
      <c r="X303" s="29"/>
    </row>
    <row r="304" spans="2:24" x14ac:dyDescent="0.2">
      <c r="B304" s="37"/>
      <c r="C304" s="37"/>
      <c r="D304" s="71" t="s">
        <v>431</v>
      </c>
      <c r="E304" s="75">
        <v>1</v>
      </c>
      <c r="F304" s="37"/>
      <c r="G304" s="195" t="s">
        <v>617</v>
      </c>
      <c r="H304" s="61"/>
      <c r="I304" s="61"/>
      <c r="J304" s="51"/>
      <c r="K304" s="34"/>
      <c r="L304" s="63"/>
      <c r="M304" s="61"/>
      <c r="N304" s="29"/>
      <c r="O304" s="89"/>
      <c r="P304" s="51"/>
      <c r="Q304" s="29"/>
      <c r="R304" s="89"/>
      <c r="S304" s="51"/>
      <c r="T304" s="89"/>
      <c r="U304" s="86"/>
      <c r="V304" s="29"/>
      <c r="W304" s="29"/>
      <c r="X304" s="29"/>
    </row>
    <row r="305" spans="2:24" x14ac:dyDescent="0.2">
      <c r="B305" s="37"/>
      <c r="C305" s="37"/>
      <c r="D305" s="71" t="s">
        <v>612</v>
      </c>
      <c r="E305" s="75">
        <v>1</v>
      </c>
      <c r="F305" s="37"/>
      <c r="G305" s="195"/>
      <c r="H305" s="61"/>
      <c r="I305" s="61"/>
      <c r="J305" s="51"/>
      <c r="K305" s="34"/>
      <c r="L305" s="63"/>
      <c r="M305" s="61"/>
      <c r="N305" s="29"/>
      <c r="O305" s="89"/>
      <c r="P305" s="51"/>
      <c r="Q305" s="29"/>
      <c r="R305" s="89"/>
      <c r="S305" s="51"/>
      <c r="T305" s="89"/>
      <c r="U305" s="86"/>
      <c r="V305" s="29"/>
      <c r="W305" s="29"/>
      <c r="X305" s="29"/>
    </row>
    <row r="306" spans="2:24" x14ac:dyDescent="0.2">
      <c r="B306" s="37"/>
      <c r="C306" s="37"/>
      <c r="D306" s="51"/>
      <c r="E306" s="90"/>
      <c r="F306" s="37"/>
      <c r="G306" s="34"/>
      <c r="H306" s="61"/>
      <c r="I306" s="61"/>
      <c r="J306" s="51"/>
      <c r="K306" s="34"/>
      <c r="L306" s="63"/>
      <c r="M306" s="61"/>
      <c r="N306" s="29"/>
      <c r="O306" s="89"/>
      <c r="P306" s="51"/>
      <c r="Q306" s="29"/>
      <c r="R306" s="89"/>
      <c r="S306" s="51"/>
      <c r="T306" s="89"/>
      <c r="U306" s="86"/>
      <c r="V306" s="29"/>
      <c r="W306" s="29"/>
      <c r="X306" s="29"/>
    </row>
    <row r="307" spans="2:24" x14ac:dyDescent="0.2">
      <c r="B307" s="37"/>
      <c r="C307" s="37"/>
      <c r="D307" s="63" t="s">
        <v>41</v>
      </c>
      <c r="E307" s="90">
        <f>SUM(E304:E305)</f>
        <v>2</v>
      </c>
      <c r="F307" s="37"/>
      <c r="G307" s="34"/>
      <c r="H307" s="61"/>
      <c r="I307" s="61"/>
      <c r="J307" s="51"/>
      <c r="K307" s="34"/>
      <c r="L307" s="63"/>
      <c r="M307" s="61"/>
      <c r="N307" s="29"/>
      <c r="O307" s="89"/>
      <c r="P307" s="51"/>
      <c r="Q307" s="29"/>
      <c r="R307" s="89"/>
      <c r="S307" s="51"/>
      <c r="T307" s="89"/>
      <c r="U307" s="86"/>
      <c r="V307" s="29"/>
      <c r="W307" s="29"/>
      <c r="X307" s="29"/>
    </row>
    <row r="308" spans="2:24" x14ac:dyDescent="0.2">
      <c r="B308" s="37"/>
      <c r="C308" s="37"/>
      <c r="D308" s="63"/>
      <c r="E308" s="90"/>
      <c r="F308" s="37"/>
      <c r="G308" s="34"/>
      <c r="H308" s="61"/>
      <c r="I308" s="61"/>
      <c r="J308" s="51"/>
      <c r="K308" s="34"/>
      <c r="L308" s="63"/>
      <c r="M308" s="61"/>
      <c r="N308" s="29"/>
      <c r="O308" s="89"/>
      <c r="P308" s="51"/>
      <c r="Q308" s="29"/>
      <c r="R308" s="89"/>
      <c r="S308" s="51"/>
      <c r="T308" s="89"/>
      <c r="U308" s="86"/>
      <c r="V308" s="29"/>
      <c r="W308" s="29"/>
      <c r="X308" s="29"/>
    </row>
    <row r="309" spans="2:24" x14ac:dyDescent="0.2">
      <c r="B309" s="70" t="s">
        <v>87</v>
      </c>
      <c r="C309" s="69"/>
      <c r="D309" s="69" t="s">
        <v>165</v>
      </c>
      <c r="E309" s="69"/>
      <c r="F309" s="69"/>
      <c r="G309" s="69"/>
      <c r="H309" s="69"/>
      <c r="I309" s="69"/>
      <c r="J309" s="69"/>
      <c r="K309" s="69"/>
      <c r="L309" s="69"/>
      <c r="M309" s="69"/>
      <c r="N309" s="69"/>
      <c r="O309" s="69"/>
      <c r="P309" s="69"/>
      <c r="Q309" s="69"/>
      <c r="R309" s="69"/>
      <c r="S309" s="69"/>
      <c r="T309" s="69"/>
      <c r="U309" s="69"/>
      <c r="V309" s="69"/>
      <c r="W309" s="69"/>
      <c r="X309" s="68"/>
    </row>
    <row r="310" spans="2:24" x14ac:dyDescent="0.2">
      <c r="B310" s="29"/>
      <c r="C310" s="29"/>
      <c r="D310" s="61"/>
      <c r="E310" s="63"/>
      <c r="F310" s="61"/>
      <c r="G310" s="34"/>
      <c r="H310" s="61"/>
      <c r="I310" s="61"/>
      <c r="J310" s="51"/>
      <c r="K310" s="34"/>
      <c r="L310" s="63"/>
      <c r="M310" s="61"/>
      <c r="N310" s="29"/>
      <c r="O310" s="89"/>
      <c r="P310" s="51"/>
      <c r="Q310" s="29"/>
      <c r="R310" s="89"/>
      <c r="S310" s="51"/>
      <c r="T310" s="89"/>
      <c r="U310" s="86"/>
      <c r="V310" s="29"/>
      <c r="W310" s="29"/>
      <c r="X310" s="29"/>
    </row>
    <row r="311" spans="2:24" x14ac:dyDescent="0.2">
      <c r="B311" s="96" t="s">
        <v>315</v>
      </c>
      <c r="C311" s="95" t="s">
        <v>359</v>
      </c>
      <c r="D311" s="96" t="s">
        <v>358</v>
      </c>
      <c r="E311" s="63"/>
      <c r="F311" s="61"/>
      <c r="G311" s="34"/>
      <c r="H311" s="61"/>
      <c r="I311" s="61"/>
      <c r="J311" s="51"/>
      <c r="K311" s="34"/>
      <c r="L311" s="63"/>
      <c r="M311" s="61"/>
      <c r="N311" s="29"/>
      <c r="O311" s="89"/>
      <c r="P311" s="51"/>
      <c r="Q311" s="29"/>
      <c r="R311" s="89"/>
      <c r="S311" s="51"/>
      <c r="T311" s="89"/>
      <c r="U311" s="86"/>
      <c r="V311" s="29"/>
      <c r="W311" s="29"/>
      <c r="X311" s="29"/>
    </row>
    <row r="312" spans="2:24" x14ac:dyDescent="0.2">
      <c r="B312" s="29"/>
      <c r="C312" s="29"/>
      <c r="D312" s="61"/>
      <c r="E312" s="63"/>
      <c r="F312" s="61"/>
      <c r="G312" s="34"/>
      <c r="H312" s="61"/>
      <c r="I312" s="61"/>
      <c r="J312" s="51"/>
      <c r="K312" s="34"/>
      <c r="L312" s="63"/>
      <c r="M312" s="61"/>
      <c r="N312" s="29"/>
      <c r="O312" s="89"/>
      <c r="P312" s="51"/>
      <c r="Q312" s="29"/>
      <c r="R312" s="89"/>
      <c r="S312" s="51"/>
      <c r="T312" s="89"/>
      <c r="U312" s="86"/>
      <c r="V312" s="29"/>
      <c r="W312" s="29"/>
      <c r="X312" s="29"/>
    </row>
    <row r="313" spans="2:24" x14ac:dyDescent="0.2">
      <c r="B313" s="29"/>
      <c r="C313" s="29"/>
      <c r="D313" s="73" t="s">
        <v>43</v>
      </c>
      <c r="E313" s="59" t="s">
        <v>44</v>
      </c>
      <c r="F313" s="61"/>
      <c r="G313" s="34"/>
      <c r="H313" s="61"/>
      <c r="I313" s="61"/>
      <c r="J313" s="51"/>
      <c r="K313" s="34"/>
      <c r="L313" s="63"/>
      <c r="M313" s="61"/>
      <c r="N313" s="29"/>
      <c r="O313" s="89"/>
      <c r="P313" s="51"/>
      <c r="Q313" s="29"/>
      <c r="R313" s="89"/>
      <c r="S313" s="51"/>
      <c r="T313" s="89"/>
      <c r="U313" s="86"/>
      <c r="V313" s="29"/>
      <c r="W313" s="29"/>
      <c r="X313" s="29"/>
    </row>
    <row r="314" spans="2:24" x14ac:dyDescent="0.2">
      <c r="B314" s="29"/>
      <c r="C314" s="29"/>
      <c r="D314" s="99" t="s">
        <v>429</v>
      </c>
      <c r="E314" s="75">
        <v>4</v>
      </c>
      <c r="F314" s="61"/>
      <c r="G314" s="34"/>
      <c r="H314" s="61"/>
      <c r="I314" s="61"/>
      <c r="J314" s="51"/>
      <c r="K314" s="34"/>
      <c r="L314" s="63"/>
      <c r="M314" s="61"/>
      <c r="N314" s="29"/>
      <c r="O314" s="89"/>
      <c r="P314" s="51"/>
      <c r="Q314" s="29"/>
      <c r="R314" s="89"/>
      <c r="S314" s="51"/>
      <c r="T314" s="89"/>
      <c r="U314" s="86"/>
      <c r="V314" s="29"/>
      <c r="W314" s="29"/>
      <c r="X314" s="29"/>
    </row>
    <row r="315" spans="2:24" x14ac:dyDescent="0.2">
      <c r="B315" s="29"/>
      <c r="C315" s="29"/>
      <c r="D315" s="29" t="s">
        <v>436</v>
      </c>
      <c r="E315" s="75">
        <v>3</v>
      </c>
      <c r="F315" s="61"/>
      <c r="G315" s="34"/>
      <c r="H315" s="61"/>
      <c r="I315" s="61"/>
      <c r="J315" s="51"/>
      <c r="K315" s="34"/>
      <c r="L315" s="63"/>
      <c r="M315" s="61"/>
      <c r="N315" s="29"/>
      <c r="O315" s="89"/>
      <c r="P315" s="51"/>
      <c r="Q315" s="29"/>
      <c r="R315" s="89"/>
      <c r="S315" s="51"/>
      <c r="T315" s="89"/>
      <c r="U315" s="86"/>
      <c r="V315" s="29"/>
      <c r="W315" s="29"/>
      <c r="X315" s="29"/>
    </row>
    <row r="316" spans="2:24" x14ac:dyDescent="0.2">
      <c r="B316" s="29"/>
      <c r="C316" s="29"/>
      <c r="D316" s="51"/>
      <c r="E316" s="75"/>
      <c r="F316" s="61"/>
      <c r="G316" s="34"/>
      <c r="H316" s="61"/>
      <c r="I316" s="61"/>
      <c r="J316" s="51"/>
      <c r="K316" s="34"/>
      <c r="L316" s="63"/>
      <c r="M316" s="61"/>
      <c r="N316" s="29"/>
      <c r="O316" s="89"/>
      <c r="P316" s="51"/>
      <c r="Q316" s="29"/>
      <c r="R316" s="89"/>
      <c r="S316" s="51"/>
      <c r="T316" s="89"/>
      <c r="U316" s="86"/>
      <c r="V316" s="29"/>
      <c r="W316" s="29"/>
      <c r="X316" s="29"/>
    </row>
    <row r="317" spans="2:24" x14ac:dyDescent="0.2">
      <c r="B317" s="29"/>
      <c r="C317" s="29"/>
      <c r="D317" s="53" t="s">
        <v>41</v>
      </c>
      <c r="E317" s="79">
        <f>SUM(E314:E315)</f>
        <v>7</v>
      </c>
      <c r="F317" s="61"/>
      <c r="G317" s="34"/>
      <c r="H317" s="61"/>
      <c r="I317" s="61"/>
      <c r="J317" s="51"/>
      <c r="K317" s="34"/>
      <c r="L317" s="63"/>
      <c r="M317" s="61"/>
      <c r="N317" s="29"/>
      <c r="O317" s="89"/>
      <c r="P317" s="51"/>
      <c r="Q317" s="29"/>
      <c r="R317" s="89"/>
      <c r="S317" s="51"/>
      <c r="T317" s="89"/>
      <c r="U317" s="86"/>
      <c r="V317" s="29"/>
      <c r="W317" s="29"/>
      <c r="X317" s="29"/>
    </row>
    <row r="318" spans="2:24" x14ac:dyDescent="0.2">
      <c r="B318" s="29"/>
      <c r="C318" s="29"/>
      <c r="D318" s="61"/>
      <c r="E318" s="63"/>
      <c r="F318" s="61"/>
      <c r="G318" s="34"/>
      <c r="H318" s="61"/>
      <c r="I318" s="61"/>
      <c r="J318" s="51"/>
      <c r="K318" s="34"/>
      <c r="L318" s="63"/>
      <c r="M318" s="61"/>
      <c r="N318" s="29"/>
      <c r="O318" s="89"/>
      <c r="P318" s="51"/>
      <c r="Q318" s="29"/>
      <c r="R318" s="89"/>
      <c r="S318" s="51"/>
      <c r="T318" s="89"/>
      <c r="U318" s="86"/>
      <c r="V318" s="29"/>
      <c r="W318" s="29"/>
      <c r="X318" s="29"/>
    </row>
    <row r="319" spans="2:24" x14ac:dyDescent="0.2">
      <c r="B319" s="96" t="s">
        <v>316</v>
      </c>
      <c r="C319" s="95" t="s">
        <v>361</v>
      </c>
      <c r="D319" s="96" t="s">
        <v>360</v>
      </c>
      <c r="E319" s="63"/>
      <c r="F319" s="61"/>
      <c r="G319" s="34"/>
      <c r="H319" s="61"/>
      <c r="I319" s="61"/>
      <c r="J319" s="51"/>
      <c r="K319" s="34"/>
      <c r="L319" s="63"/>
      <c r="M319" s="61"/>
      <c r="N319" s="29"/>
      <c r="O319" s="89"/>
      <c r="P319" s="51"/>
      <c r="Q319" s="29"/>
      <c r="R319" s="89"/>
      <c r="S319" s="51"/>
      <c r="T319" s="89"/>
      <c r="U319" s="86"/>
      <c r="V319" s="29"/>
      <c r="W319" s="29"/>
      <c r="X319" s="29"/>
    </row>
    <row r="320" spans="2:24" x14ac:dyDescent="0.2">
      <c r="B320" s="29"/>
      <c r="C320" s="29"/>
      <c r="D320" s="61"/>
      <c r="E320" s="63"/>
      <c r="F320" s="61"/>
      <c r="G320" s="34"/>
      <c r="H320" s="61"/>
      <c r="I320" s="61"/>
      <c r="J320" s="51"/>
      <c r="K320" s="34"/>
      <c r="L320" s="63"/>
      <c r="M320" s="61"/>
      <c r="N320" s="29"/>
      <c r="O320" s="89"/>
      <c r="P320" s="51"/>
      <c r="Q320" s="29"/>
      <c r="R320" s="89"/>
      <c r="S320" s="51"/>
      <c r="T320" s="89"/>
      <c r="U320" s="86"/>
      <c r="V320" s="29"/>
      <c r="W320" s="29"/>
      <c r="X320" s="29"/>
    </row>
    <row r="321" spans="2:24" x14ac:dyDescent="0.2">
      <c r="B321" s="29"/>
      <c r="C321" s="29"/>
      <c r="D321" s="73" t="s">
        <v>43</v>
      </c>
      <c r="E321" s="59" t="s">
        <v>44</v>
      </c>
      <c r="F321" s="61"/>
      <c r="G321" s="34"/>
      <c r="H321" s="61"/>
      <c r="I321" s="61"/>
      <c r="J321" s="51"/>
      <c r="K321" s="34"/>
      <c r="L321" s="63"/>
      <c r="M321" s="61"/>
      <c r="N321" s="29"/>
      <c r="O321" s="89"/>
      <c r="P321" s="51"/>
      <c r="Q321" s="29"/>
      <c r="R321" s="89"/>
      <c r="S321" s="51"/>
      <c r="T321" s="89"/>
      <c r="U321" s="86"/>
      <c r="V321" s="29"/>
      <c r="W321" s="29"/>
      <c r="X321" s="29"/>
    </row>
    <row r="322" spans="2:24" x14ac:dyDescent="0.2">
      <c r="B322" s="29"/>
      <c r="C322" s="29"/>
      <c r="D322" s="99" t="s">
        <v>429</v>
      </c>
      <c r="E322" s="75">
        <v>3</v>
      </c>
      <c r="F322" s="61"/>
      <c r="G322" s="34"/>
      <c r="H322" s="61"/>
      <c r="I322" s="61"/>
      <c r="J322" s="51"/>
      <c r="K322" s="34"/>
      <c r="L322" s="63"/>
      <c r="M322" s="61"/>
      <c r="N322" s="29"/>
      <c r="O322" s="89"/>
      <c r="P322" s="51"/>
      <c r="Q322" s="29"/>
      <c r="R322" s="89"/>
      <c r="S322" s="51"/>
      <c r="T322" s="89"/>
      <c r="U322" s="86"/>
      <c r="V322" s="29"/>
      <c r="W322" s="29"/>
      <c r="X322" s="29"/>
    </row>
    <row r="323" spans="2:24" x14ac:dyDescent="0.2">
      <c r="B323" s="29"/>
      <c r="C323" s="29"/>
      <c r="D323" s="29" t="s">
        <v>436</v>
      </c>
      <c r="E323" s="75">
        <v>4</v>
      </c>
      <c r="F323" s="61"/>
      <c r="G323" s="34"/>
      <c r="H323" s="61"/>
      <c r="I323" s="61"/>
      <c r="J323" s="51"/>
      <c r="K323" s="34"/>
      <c r="L323" s="63"/>
      <c r="M323" s="61"/>
      <c r="N323" s="29"/>
      <c r="O323" s="89"/>
      <c r="P323" s="51"/>
      <c r="Q323" s="29"/>
      <c r="R323" s="89"/>
      <c r="S323" s="51"/>
      <c r="T323" s="89"/>
      <c r="U323" s="86"/>
      <c r="V323" s="29"/>
      <c r="W323" s="29"/>
      <c r="X323" s="29"/>
    </row>
    <row r="324" spans="2:24" x14ac:dyDescent="0.2">
      <c r="B324" s="29"/>
      <c r="C324" s="29"/>
      <c r="D324" s="51"/>
      <c r="E324" s="75"/>
      <c r="F324" s="61"/>
      <c r="G324" s="34"/>
      <c r="H324" s="61"/>
      <c r="I324" s="61"/>
      <c r="J324" s="51"/>
      <c r="K324" s="37"/>
      <c r="L324" s="63"/>
      <c r="M324" s="63"/>
      <c r="N324" s="63"/>
      <c r="O324" s="63"/>
      <c r="P324" s="51"/>
      <c r="Q324" s="29"/>
      <c r="R324" s="89"/>
      <c r="S324" s="51"/>
      <c r="T324" s="89"/>
      <c r="U324" s="86"/>
      <c r="V324" s="29"/>
      <c r="W324" s="29"/>
      <c r="X324" s="29"/>
    </row>
    <row r="325" spans="2:24" x14ac:dyDescent="0.2">
      <c r="B325" s="29"/>
      <c r="C325" s="29"/>
      <c r="D325" s="53" t="s">
        <v>41</v>
      </c>
      <c r="E325" s="79">
        <f>SUM(E322:E324)</f>
        <v>7</v>
      </c>
      <c r="F325" s="61"/>
      <c r="G325" s="34"/>
      <c r="H325" s="61"/>
      <c r="I325" s="61"/>
      <c r="J325" s="51"/>
      <c r="K325" s="34"/>
      <c r="L325" s="63"/>
      <c r="M325" s="61"/>
      <c r="N325" s="29"/>
      <c r="O325" s="89"/>
      <c r="P325" s="51"/>
      <c r="Q325" s="29"/>
      <c r="R325" s="89"/>
      <c r="S325" s="51"/>
      <c r="T325" s="89"/>
      <c r="U325" s="86"/>
      <c r="V325" s="29"/>
      <c r="W325" s="29"/>
      <c r="X325" s="29"/>
    </row>
    <row r="326" spans="2:24" x14ac:dyDescent="0.2">
      <c r="B326" s="29"/>
      <c r="C326" s="29"/>
      <c r="D326" s="61"/>
      <c r="E326" s="63"/>
      <c r="F326" s="61"/>
      <c r="G326" s="34"/>
      <c r="H326" s="61"/>
      <c r="I326" s="61"/>
      <c r="J326" s="51"/>
      <c r="K326" s="34"/>
      <c r="L326" s="63"/>
      <c r="M326" s="61"/>
      <c r="N326" s="29"/>
      <c r="O326" s="89"/>
      <c r="P326" s="51"/>
      <c r="Q326" s="29"/>
      <c r="R326" s="89"/>
      <c r="S326" s="51"/>
      <c r="T326" s="89"/>
      <c r="U326" s="86"/>
      <c r="V326" s="29"/>
      <c r="W326" s="29"/>
      <c r="X326" s="29"/>
    </row>
    <row r="327" spans="2:24" x14ac:dyDescent="0.2">
      <c r="B327" s="96" t="s">
        <v>364</v>
      </c>
      <c r="C327" s="95" t="s">
        <v>363</v>
      </c>
      <c r="D327" s="96" t="s">
        <v>362</v>
      </c>
      <c r="E327" s="63"/>
      <c r="F327" s="61"/>
      <c r="G327" s="34"/>
      <c r="H327" s="61"/>
      <c r="I327" s="61"/>
      <c r="J327" s="51"/>
      <c r="K327" s="34"/>
      <c r="L327" s="63"/>
      <c r="M327" s="61"/>
      <c r="N327" s="29"/>
      <c r="O327" s="89"/>
      <c r="P327" s="51"/>
      <c r="Q327" s="29"/>
      <c r="R327" s="89"/>
      <c r="S327" s="51"/>
      <c r="T327" s="89"/>
      <c r="U327" s="86"/>
      <c r="V327" s="29"/>
      <c r="W327" s="29"/>
      <c r="X327" s="29"/>
    </row>
    <row r="328" spans="2:24" x14ac:dyDescent="0.2">
      <c r="B328" s="29"/>
      <c r="C328" s="29"/>
      <c r="D328" s="61"/>
      <c r="E328" s="63"/>
      <c r="F328" s="61"/>
      <c r="G328" s="34"/>
      <c r="H328" s="61"/>
      <c r="I328" s="61"/>
      <c r="J328" s="51"/>
      <c r="K328" s="34"/>
      <c r="L328" s="63"/>
      <c r="M328" s="61"/>
      <c r="N328" s="29"/>
      <c r="O328" s="89"/>
      <c r="P328" s="51"/>
      <c r="Q328" s="29"/>
      <c r="R328" s="89"/>
      <c r="S328" s="51"/>
      <c r="T328" s="89"/>
      <c r="U328" s="86"/>
      <c r="V328" s="29"/>
      <c r="W328" s="29"/>
      <c r="X328" s="29"/>
    </row>
    <row r="329" spans="2:24" x14ac:dyDescent="0.2">
      <c r="B329" s="29"/>
      <c r="C329" s="29"/>
      <c r="D329" s="73" t="s">
        <v>43</v>
      </c>
      <c r="E329" s="59" t="s">
        <v>44</v>
      </c>
      <c r="F329" s="61"/>
      <c r="G329" s="34"/>
      <c r="H329" s="61"/>
      <c r="I329" s="61"/>
      <c r="J329" s="51"/>
      <c r="K329" s="34"/>
      <c r="L329" s="63"/>
      <c r="M329" s="61"/>
      <c r="N329" s="29"/>
      <c r="O329" s="89"/>
      <c r="P329" s="51"/>
      <c r="Q329" s="29"/>
      <c r="R329" s="89"/>
      <c r="S329" s="51"/>
      <c r="T329" s="89"/>
      <c r="U329" s="86"/>
      <c r="V329" s="29"/>
      <c r="W329" s="29"/>
      <c r="X329" s="29"/>
    </row>
    <row r="330" spans="2:24" x14ac:dyDescent="0.2">
      <c r="B330" s="29"/>
      <c r="C330" s="29"/>
      <c r="D330" s="99" t="s">
        <v>429</v>
      </c>
      <c r="E330" s="75">
        <v>3</v>
      </c>
      <c r="F330" s="61"/>
      <c r="G330" s="34"/>
      <c r="H330" s="61"/>
      <c r="I330" s="61"/>
      <c r="J330" s="51"/>
      <c r="K330" s="34"/>
      <c r="L330" s="63"/>
      <c r="M330" s="61"/>
      <c r="N330" s="29"/>
      <c r="O330" s="89"/>
      <c r="P330" s="51"/>
      <c r="Q330" s="29"/>
      <c r="R330" s="89"/>
      <c r="S330" s="51"/>
      <c r="T330" s="89"/>
      <c r="U330" s="86"/>
      <c r="V330" s="29"/>
      <c r="W330" s="29"/>
      <c r="X330" s="29"/>
    </row>
    <row r="331" spans="2:24" x14ac:dyDescent="0.2">
      <c r="B331" s="29"/>
      <c r="C331" s="29"/>
      <c r="D331" s="99" t="s">
        <v>436</v>
      </c>
      <c r="E331" s="75">
        <v>4</v>
      </c>
      <c r="F331" s="61"/>
      <c r="G331" s="34"/>
      <c r="H331" s="61"/>
      <c r="I331" s="61"/>
      <c r="J331" s="51"/>
      <c r="K331" s="34"/>
      <c r="L331" s="63"/>
      <c r="M331" s="61"/>
      <c r="N331" s="29"/>
      <c r="O331" s="89"/>
      <c r="P331" s="51"/>
      <c r="Q331" s="29"/>
      <c r="R331" s="89"/>
      <c r="S331" s="51"/>
      <c r="T331" s="89"/>
      <c r="U331" s="86"/>
      <c r="V331" s="29"/>
      <c r="W331" s="29"/>
      <c r="X331" s="29"/>
    </row>
    <row r="332" spans="2:24" x14ac:dyDescent="0.2">
      <c r="B332" s="29"/>
      <c r="C332" s="29"/>
      <c r="D332" s="51"/>
      <c r="E332" s="75"/>
      <c r="F332" s="61"/>
      <c r="G332" s="34"/>
      <c r="H332" s="61"/>
      <c r="I332" s="61"/>
      <c r="J332" s="51"/>
      <c r="K332" s="34"/>
      <c r="L332" s="63"/>
      <c r="M332" s="61"/>
      <c r="N332" s="29"/>
      <c r="O332" s="89"/>
      <c r="P332" s="51"/>
      <c r="Q332" s="29"/>
      <c r="R332" s="89"/>
      <c r="S332" s="51"/>
      <c r="T332" s="89"/>
      <c r="U332" s="86"/>
      <c r="V332" s="29"/>
      <c r="W332" s="29"/>
      <c r="X332" s="29"/>
    </row>
    <row r="333" spans="2:24" x14ac:dyDescent="0.2">
      <c r="B333" s="29"/>
      <c r="C333" s="29"/>
      <c r="D333" s="53" t="s">
        <v>41</v>
      </c>
      <c r="E333" s="79">
        <f>SUM(E330:E332)</f>
        <v>7</v>
      </c>
      <c r="F333" s="61"/>
      <c r="G333" s="34"/>
      <c r="H333" s="61"/>
      <c r="I333" s="61"/>
      <c r="J333" s="51"/>
      <c r="K333" s="34"/>
      <c r="L333" s="63"/>
      <c r="M333" s="61"/>
      <c r="N333" s="29"/>
      <c r="O333" s="89"/>
      <c r="P333" s="51"/>
      <c r="Q333" s="29"/>
      <c r="R333" s="89"/>
      <c r="S333" s="51"/>
      <c r="T333" s="89"/>
      <c r="U333" s="86"/>
      <c r="V333" s="29"/>
      <c r="W333" s="29"/>
      <c r="X333" s="29"/>
    </row>
    <row r="334" spans="2:24" x14ac:dyDescent="0.2">
      <c r="B334" s="29"/>
      <c r="C334" s="29"/>
      <c r="D334" s="61"/>
      <c r="E334" s="63"/>
      <c r="F334" s="61"/>
      <c r="G334" s="34"/>
      <c r="H334" s="61"/>
      <c r="I334" s="61"/>
      <c r="J334" s="51"/>
      <c r="K334" s="34"/>
      <c r="L334" s="63"/>
      <c r="M334" s="61"/>
      <c r="N334" s="29"/>
      <c r="O334" s="89"/>
      <c r="P334" s="51"/>
      <c r="Q334" s="29"/>
      <c r="R334" s="89"/>
      <c r="S334" s="51"/>
      <c r="T334" s="89"/>
      <c r="U334" s="86"/>
      <c r="V334" s="29"/>
      <c r="W334" s="29"/>
      <c r="X334" s="29"/>
    </row>
    <row r="335" spans="2:24" x14ac:dyDescent="0.2">
      <c r="B335" s="96" t="s">
        <v>365</v>
      </c>
      <c r="C335" s="95" t="s">
        <v>489</v>
      </c>
      <c r="D335" s="96" t="s">
        <v>490</v>
      </c>
      <c r="E335" s="63"/>
      <c r="F335" s="61"/>
      <c r="G335" s="34"/>
      <c r="H335" s="61"/>
      <c r="I335" s="61"/>
      <c r="J335" s="51"/>
      <c r="K335" s="34"/>
      <c r="L335" s="63"/>
      <c r="M335" s="61"/>
      <c r="N335" s="29"/>
      <c r="O335" s="89"/>
      <c r="P335" s="51"/>
      <c r="Q335" s="29"/>
      <c r="R335" s="89"/>
      <c r="S335" s="51"/>
      <c r="T335" s="89"/>
      <c r="U335" s="86"/>
      <c r="V335" s="29"/>
      <c r="W335" s="29"/>
      <c r="X335" s="29"/>
    </row>
    <row r="336" spans="2:24" x14ac:dyDescent="0.2">
      <c r="B336" s="29"/>
      <c r="C336" s="29"/>
      <c r="D336" s="61"/>
      <c r="E336" s="63"/>
      <c r="F336" s="61"/>
      <c r="G336" s="34"/>
      <c r="H336" s="61"/>
      <c r="I336" s="61"/>
      <c r="J336" s="51"/>
      <c r="K336" s="34"/>
      <c r="L336" s="63"/>
      <c r="M336" s="61"/>
      <c r="N336" s="29"/>
      <c r="O336" s="89"/>
      <c r="P336" s="51"/>
      <c r="Q336" s="29"/>
      <c r="R336" s="89"/>
      <c r="S336" s="51"/>
      <c r="T336" s="89"/>
      <c r="U336" s="86"/>
      <c r="V336" s="29"/>
      <c r="W336" s="29"/>
      <c r="X336" s="29"/>
    </row>
    <row r="337" spans="2:24" x14ac:dyDescent="0.2">
      <c r="B337" s="29"/>
      <c r="C337" s="29"/>
      <c r="D337" s="73" t="s">
        <v>43</v>
      </c>
      <c r="E337" s="59" t="s">
        <v>44</v>
      </c>
      <c r="F337" s="63"/>
      <c r="G337" s="63"/>
      <c r="H337" s="63"/>
      <c r="I337" s="63"/>
      <c r="J337" s="51"/>
      <c r="K337" s="34"/>
      <c r="L337" s="63"/>
      <c r="M337" s="61"/>
      <c r="N337" s="29"/>
      <c r="O337" s="89"/>
      <c r="P337" s="51"/>
      <c r="Q337" s="29"/>
      <c r="R337" s="89"/>
      <c r="S337" s="51"/>
      <c r="T337" s="89"/>
      <c r="U337" s="86"/>
      <c r="V337" s="29"/>
      <c r="W337" s="29"/>
      <c r="X337" s="29"/>
    </row>
    <row r="338" spans="2:24" x14ac:dyDescent="0.2">
      <c r="B338" s="29"/>
      <c r="C338" s="29"/>
      <c r="D338" s="99" t="s">
        <v>429</v>
      </c>
      <c r="E338" s="75">
        <v>3</v>
      </c>
      <c r="F338" s="51"/>
      <c r="G338" s="34"/>
      <c r="H338" s="99"/>
      <c r="I338" s="61"/>
      <c r="J338" s="51"/>
      <c r="K338" s="34"/>
      <c r="L338" s="63"/>
      <c r="M338" s="61"/>
      <c r="N338" s="29"/>
      <c r="O338" s="89"/>
      <c r="P338" s="51"/>
      <c r="Q338" s="29"/>
      <c r="R338" s="89"/>
      <c r="S338" s="51"/>
      <c r="T338" s="89"/>
      <c r="U338" s="86"/>
      <c r="V338" s="29"/>
      <c r="W338" s="29"/>
      <c r="X338" s="29"/>
    </row>
    <row r="339" spans="2:24" x14ac:dyDescent="0.2">
      <c r="B339" s="29"/>
      <c r="C339" s="29"/>
      <c r="D339" s="99" t="s">
        <v>436</v>
      </c>
      <c r="E339" s="75">
        <v>3</v>
      </c>
      <c r="F339" s="51"/>
      <c r="G339" s="34"/>
      <c r="H339" s="99"/>
      <c r="I339" s="61"/>
      <c r="J339" s="51"/>
      <c r="K339" s="34"/>
      <c r="L339" s="63"/>
      <c r="M339" s="61"/>
      <c r="N339" s="29"/>
      <c r="O339" s="89"/>
      <c r="P339" s="51"/>
      <c r="Q339" s="29"/>
      <c r="R339" s="89"/>
      <c r="S339" s="51"/>
      <c r="T339" s="89"/>
      <c r="U339" s="86"/>
      <c r="V339" s="29"/>
      <c r="W339" s="29"/>
      <c r="X339" s="29"/>
    </row>
    <row r="340" spans="2:24" x14ac:dyDescent="0.2">
      <c r="B340" s="29"/>
      <c r="C340" s="29"/>
      <c r="D340" s="51"/>
      <c r="E340" s="75"/>
      <c r="F340" s="61"/>
      <c r="G340" s="34"/>
      <c r="H340" s="61"/>
      <c r="I340" s="61"/>
      <c r="J340" s="51"/>
      <c r="K340" s="34"/>
      <c r="L340" s="63"/>
      <c r="M340" s="61"/>
      <c r="N340" s="29"/>
      <c r="O340" s="89"/>
      <c r="P340" s="51"/>
      <c r="Q340" s="29"/>
      <c r="R340" s="89"/>
      <c r="S340" s="51"/>
      <c r="T340" s="89"/>
      <c r="U340" s="86"/>
      <c r="V340" s="29"/>
      <c r="W340" s="29"/>
      <c r="X340" s="29"/>
    </row>
    <row r="341" spans="2:24" x14ac:dyDescent="0.2">
      <c r="B341" s="29"/>
      <c r="C341" s="29"/>
      <c r="D341" s="53" t="s">
        <v>41</v>
      </c>
      <c r="E341" s="79">
        <f>SUM(E338:E340)</f>
        <v>6</v>
      </c>
      <c r="F341" s="61"/>
      <c r="G341" s="34"/>
      <c r="H341" s="53"/>
      <c r="I341" s="62"/>
      <c r="J341" s="51"/>
      <c r="K341" s="34"/>
      <c r="L341" s="63"/>
      <c r="M341" s="61"/>
      <c r="N341" s="29"/>
      <c r="O341" s="89"/>
      <c r="P341" s="51"/>
      <c r="Q341" s="29"/>
      <c r="R341" s="89"/>
      <c r="S341" s="51"/>
      <c r="T341" s="89"/>
      <c r="U341" s="86"/>
      <c r="V341" s="29"/>
      <c r="W341" s="29"/>
      <c r="X341" s="29"/>
    </row>
    <row r="342" spans="2:24" x14ac:dyDescent="0.2">
      <c r="B342" s="29"/>
      <c r="C342" s="29"/>
      <c r="D342" s="53"/>
      <c r="E342" s="79"/>
      <c r="F342" s="61"/>
      <c r="G342" s="34"/>
      <c r="H342" s="53"/>
      <c r="I342" s="62"/>
      <c r="J342" s="51"/>
      <c r="K342" s="34"/>
      <c r="L342" s="63"/>
      <c r="M342" s="61"/>
      <c r="N342" s="29"/>
      <c r="O342" s="89"/>
      <c r="P342" s="51"/>
      <c r="Q342" s="29"/>
      <c r="R342" s="89"/>
      <c r="S342" s="51"/>
      <c r="T342" s="89"/>
      <c r="U342" s="86"/>
      <c r="V342" s="29"/>
      <c r="W342" s="29"/>
      <c r="X342" s="29"/>
    </row>
    <row r="343" spans="2:24" x14ac:dyDescent="0.2">
      <c r="B343" s="29"/>
      <c r="C343" s="29"/>
      <c r="D343" s="53"/>
      <c r="E343" s="79"/>
      <c r="F343" s="61"/>
      <c r="G343" s="34"/>
      <c r="H343" s="53"/>
      <c r="I343" s="62"/>
      <c r="J343" s="51"/>
      <c r="K343" s="34"/>
      <c r="L343" s="63"/>
      <c r="M343" s="61"/>
      <c r="N343" s="29"/>
      <c r="O343" s="89"/>
      <c r="P343" s="51"/>
      <c r="Q343" s="29"/>
      <c r="R343" s="89"/>
      <c r="S343" s="51"/>
      <c r="T343" s="89"/>
      <c r="U343" s="86"/>
      <c r="V343" s="29"/>
      <c r="W343" s="29"/>
      <c r="X343" s="29"/>
    </row>
    <row r="344" spans="2:24" x14ac:dyDescent="0.2">
      <c r="B344" s="96" t="s">
        <v>488</v>
      </c>
      <c r="C344" s="95" t="s">
        <v>320</v>
      </c>
      <c r="D344" s="96" t="s">
        <v>321</v>
      </c>
      <c r="E344" s="63"/>
      <c r="F344" s="61"/>
      <c r="G344" s="34"/>
      <c r="H344" s="53"/>
      <c r="I344" s="62"/>
      <c r="J344" s="51"/>
      <c r="K344" s="34"/>
      <c r="L344" s="63"/>
      <c r="M344" s="61"/>
      <c r="N344" s="29"/>
      <c r="O344" s="89"/>
      <c r="P344" s="51"/>
      <c r="Q344" s="29"/>
      <c r="R344" s="89"/>
      <c r="S344" s="51"/>
      <c r="T344" s="89"/>
      <c r="U344" s="86"/>
      <c r="V344" s="29"/>
      <c r="W344" s="29"/>
      <c r="X344" s="29"/>
    </row>
    <row r="345" spans="2:24" x14ac:dyDescent="0.2">
      <c r="B345" s="29"/>
      <c r="C345" s="29"/>
      <c r="D345" s="53"/>
      <c r="E345" s="79"/>
      <c r="F345" s="61"/>
      <c r="G345" s="34"/>
      <c r="H345" s="53"/>
      <c r="I345" s="62"/>
      <c r="J345" s="51"/>
      <c r="K345" s="34"/>
      <c r="L345" s="63"/>
      <c r="M345" s="61"/>
      <c r="N345" s="29"/>
      <c r="O345" s="89"/>
      <c r="P345" s="51"/>
      <c r="Q345" s="29"/>
      <c r="R345" s="89"/>
      <c r="S345" s="51"/>
      <c r="T345" s="89"/>
      <c r="U345" s="86"/>
      <c r="V345" s="29"/>
      <c r="W345" s="29"/>
      <c r="X345" s="29"/>
    </row>
    <row r="346" spans="2:24" x14ac:dyDescent="0.2">
      <c r="B346" s="29"/>
      <c r="C346" s="29"/>
      <c r="D346" s="59" t="s">
        <v>43</v>
      </c>
      <c r="E346" s="59" t="s">
        <v>318</v>
      </c>
      <c r="F346" s="59"/>
      <c r="G346" s="59" t="s">
        <v>42</v>
      </c>
      <c r="H346" s="59"/>
      <c r="I346" s="59" t="s">
        <v>52</v>
      </c>
      <c r="J346" s="51"/>
      <c r="K346" s="34"/>
      <c r="L346" s="63"/>
      <c r="M346" s="61"/>
      <c r="N346" s="29"/>
      <c r="O346" s="89"/>
      <c r="P346" s="51"/>
      <c r="Q346" s="29"/>
      <c r="R346" s="89"/>
      <c r="S346" s="51"/>
      <c r="T346" s="89"/>
      <c r="U346" s="86"/>
      <c r="V346" s="29"/>
      <c r="W346" s="29"/>
      <c r="X346" s="29"/>
    </row>
    <row r="347" spans="2:24" x14ac:dyDescent="0.2">
      <c r="B347" s="29"/>
      <c r="C347" s="29"/>
      <c r="D347" s="99" t="s">
        <v>429</v>
      </c>
      <c r="E347" s="34">
        <v>0.8</v>
      </c>
      <c r="F347" s="51" t="s">
        <v>51</v>
      </c>
      <c r="G347" s="34">
        <v>2.63</v>
      </c>
      <c r="H347" s="99" t="s">
        <v>50</v>
      </c>
      <c r="I347" s="61">
        <f>E347*G347</f>
        <v>2.1040000000000001</v>
      </c>
      <c r="J347" s="51"/>
      <c r="K347" s="34"/>
      <c r="L347" s="63"/>
      <c r="M347" s="61"/>
      <c r="N347" s="29"/>
      <c r="O347" s="89"/>
      <c r="P347" s="51"/>
      <c r="Q347" s="29"/>
      <c r="R347" s="89"/>
      <c r="S347" s="51"/>
      <c r="T347" s="89"/>
      <c r="U347" s="86"/>
      <c r="V347" s="29"/>
      <c r="W347" s="29"/>
      <c r="X347" s="29"/>
    </row>
    <row r="348" spans="2:24" x14ac:dyDescent="0.2">
      <c r="B348" s="29"/>
      <c r="C348" s="29"/>
      <c r="D348" s="99" t="s">
        <v>436</v>
      </c>
      <c r="E348" s="34">
        <v>0.8</v>
      </c>
      <c r="F348" s="51" t="s">
        <v>51</v>
      </c>
      <c r="G348" s="34">
        <v>2.84</v>
      </c>
      <c r="H348" s="99" t="s">
        <v>50</v>
      </c>
      <c r="I348" s="61">
        <f>E348*G348</f>
        <v>2.2719999999999998</v>
      </c>
      <c r="J348" s="51"/>
      <c r="K348" s="34"/>
      <c r="L348" s="63"/>
      <c r="M348" s="61"/>
      <c r="N348" s="29"/>
      <c r="O348" s="89"/>
      <c r="P348" s="51"/>
      <c r="Q348" s="29"/>
      <c r="R348" s="89"/>
      <c r="S348" s="51"/>
      <c r="T348" s="89"/>
      <c r="U348" s="86"/>
      <c r="V348" s="29"/>
      <c r="W348" s="29"/>
      <c r="X348" s="29"/>
    </row>
    <row r="349" spans="2:24" x14ac:dyDescent="0.2">
      <c r="B349" s="29"/>
      <c r="C349" s="29"/>
      <c r="D349" s="51"/>
      <c r="E349" s="75"/>
      <c r="F349" s="61"/>
      <c r="G349" s="34"/>
      <c r="H349" s="61"/>
      <c r="I349" s="61"/>
      <c r="J349" s="51"/>
      <c r="K349" s="34"/>
      <c r="L349" s="63"/>
      <c r="M349" s="61"/>
      <c r="N349" s="29"/>
      <c r="O349" s="89"/>
      <c r="P349" s="51"/>
      <c r="Q349" s="29"/>
      <c r="R349" s="89"/>
      <c r="S349" s="51"/>
      <c r="T349" s="89"/>
      <c r="U349" s="86"/>
      <c r="V349" s="29"/>
      <c r="W349" s="29"/>
      <c r="X349" s="29"/>
    </row>
    <row r="350" spans="2:24" x14ac:dyDescent="0.2">
      <c r="B350" s="29"/>
      <c r="C350" s="29"/>
      <c r="D350" s="53"/>
      <c r="E350" s="79"/>
      <c r="F350" s="61"/>
      <c r="G350" s="34"/>
      <c r="H350" s="53" t="s">
        <v>41</v>
      </c>
      <c r="I350" s="62">
        <f>SUM(I347:I348)</f>
        <v>4.3759999999999994</v>
      </c>
      <c r="J350" s="51"/>
      <c r="K350" s="34"/>
      <c r="L350" s="63"/>
      <c r="M350" s="61"/>
      <c r="N350" s="29"/>
      <c r="O350" s="89"/>
      <c r="P350" s="51"/>
      <c r="Q350" s="29"/>
      <c r="R350" s="89"/>
      <c r="S350" s="51"/>
      <c r="T350" s="89"/>
      <c r="U350" s="86"/>
      <c r="V350" s="29"/>
      <c r="W350" s="29"/>
      <c r="X350" s="29"/>
    </row>
    <row r="351" spans="2:24" x14ac:dyDescent="0.2">
      <c r="B351" s="29"/>
      <c r="C351" s="29"/>
      <c r="D351" s="53"/>
      <c r="E351" s="79"/>
      <c r="F351" s="61"/>
      <c r="G351" s="34"/>
      <c r="H351" s="53"/>
      <c r="I351" s="62"/>
      <c r="J351" s="51"/>
      <c r="K351" s="34"/>
      <c r="L351" s="63"/>
      <c r="M351" s="61"/>
      <c r="N351" s="29"/>
      <c r="O351" s="89"/>
      <c r="P351" s="51"/>
      <c r="Q351" s="29"/>
      <c r="R351" s="89"/>
      <c r="S351" s="51"/>
      <c r="T351" s="89"/>
      <c r="U351" s="86"/>
      <c r="V351" s="29"/>
      <c r="W351" s="29"/>
      <c r="X351" s="29"/>
    </row>
    <row r="352" spans="2:24" x14ac:dyDescent="0.2">
      <c r="B352" s="58" t="s">
        <v>526</v>
      </c>
      <c r="C352" s="101">
        <v>100860</v>
      </c>
      <c r="D352" s="58" t="s">
        <v>496</v>
      </c>
      <c r="E352" s="90"/>
      <c r="F352" s="37"/>
      <c r="G352" s="34"/>
      <c r="H352" s="61"/>
      <c r="I352" s="61"/>
      <c r="J352" s="51"/>
      <c r="K352" s="34"/>
      <c r="L352" s="63"/>
      <c r="M352" s="61"/>
      <c r="N352" s="29"/>
      <c r="O352" s="89"/>
      <c r="P352" s="51"/>
      <c r="Q352" s="29"/>
      <c r="R352" s="89"/>
      <c r="S352" s="51"/>
      <c r="T352" s="89"/>
      <c r="U352" s="86"/>
      <c r="V352" s="29"/>
      <c r="W352" s="29"/>
      <c r="X352" s="29"/>
    </row>
    <row r="353" spans="2:24" x14ac:dyDescent="0.2">
      <c r="B353" s="37"/>
      <c r="C353" s="37"/>
      <c r="D353" s="63"/>
      <c r="E353" s="90"/>
      <c r="F353" s="37"/>
      <c r="G353" s="34"/>
      <c r="H353" s="61"/>
      <c r="I353" s="61"/>
      <c r="J353" s="51"/>
      <c r="K353" s="34"/>
      <c r="L353" s="63"/>
      <c r="M353" s="61"/>
      <c r="N353" s="29"/>
      <c r="O353" s="89"/>
      <c r="P353" s="51"/>
      <c r="Q353" s="29"/>
      <c r="R353" s="89"/>
      <c r="S353" s="51"/>
      <c r="T353" s="89"/>
      <c r="U353" s="86"/>
      <c r="V353" s="29"/>
      <c r="W353" s="29"/>
      <c r="X353" s="29"/>
    </row>
    <row r="354" spans="2:24" x14ac:dyDescent="0.2">
      <c r="B354" s="37"/>
      <c r="C354" s="37"/>
      <c r="D354" s="73" t="s">
        <v>43</v>
      </c>
      <c r="E354" s="59" t="s">
        <v>44</v>
      </c>
      <c r="F354" s="37"/>
      <c r="G354" s="34"/>
      <c r="H354" s="61"/>
      <c r="I354" s="61"/>
      <c r="J354" s="51"/>
      <c r="K354" s="34"/>
      <c r="L354" s="63"/>
      <c r="M354" s="61"/>
      <c r="N354" s="29"/>
      <c r="O354" s="89"/>
      <c r="P354" s="51"/>
      <c r="Q354" s="29"/>
      <c r="R354" s="89"/>
      <c r="S354" s="51"/>
      <c r="T354" s="89"/>
      <c r="U354" s="86"/>
      <c r="V354" s="29"/>
      <c r="W354" s="29"/>
      <c r="X354" s="29"/>
    </row>
    <row r="355" spans="2:24" x14ac:dyDescent="0.2">
      <c r="B355" s="37"/>
      <c r="C355" s="37"/>
      <c r="D355" s="99" t="s">
        <v>495</v>
      </c>
      <c r="E355" s="75">
        <v>1</v>
      </c>
      <c r="F355" s="37"/>
      <c r="G355" s="34"/>
      <c r="H355" s="61"/>
      <c r="I355" s="61"/>
      <c r="J355" s="51"/>
      <c r="K355" s="34"/>
      <c r="L355" s="63"/>
      <c r="M355" s="61"/>
      <c r="N355" s="29"/>
      <c r="O355" s="89"/>
      <c r="P355" s="51"/>
      <c r="Q355" s="29"/>
      <c r="R355" s="89"/>
      <c r="S355" s="51"/>
      <c r="T355" s="89"/>
      <c r="U355" s="86"/>
      <c r="V355" s="29"/>
      <c r="W355" s="29"/>
      <c r="X355" s="29"/>
    </row>
    <row r="356" spans="2:24" x14ac:dyDescent="0.2">
      <c r="B356" s="37"/>
      <c r="C356" s="37"/>
      <c r="D356" s="63"/>
      <c r="E356" s="90"/>
      <c r="F356" s="37"/>
      <c r="G356" s="34"/>
      <c r="H356" s="61"/>
      <c r="I356" s="61"/>
      <c r="J356" s="51"/>
      <c r="K356" s="34"/>
      <c r="L356" s="63"/>
      <c r="M356" s="61"/>
      <c r="N356" s="29"/>
      <c r="O356" s="89"/>
      <c r="P356" s="51"/>
      <c r="Q356" s="29"/>
      <c r="R356" s="89"/>
      <c r="S356" s="51"/>
      <c r="T356" s="89"/>
      <c r="U356" s="86"/>
      <c r="V356" s="29"/>
      <c r="W356" s="29"/>
      <c r="X356" s="29"/>
    </row>
    <row r="357" spans="2:24" x14ac:dyDescent="0.2">
      <c r="B357" s="37"/>
      <c r="C357" s="37"/>
      <c r="D357" s="63" t="s">
        <v>41</v>
      </c>
      <c r="E357" s="90">
        <f>SUM(E355:E355)</f>
        <v>1</v>
      </c>
      <c r="F357" s="37"/>
      <c r="G357" s="34"/>
      <c r="H357" s="61"/>
      <c r="I357" s="61"/>
      <c r="J357" s="51"/>
      <c r="K357" s="34"/>
      <c r="L357" s="63"/>
      <c r="M357" s="61"/>
      <c r="N357" s="29"/>
      <c r="O357" s="89"/>
      <c r="P357" s="51"/>
      <c r="Q357" s="29"/>
      <c r="R357" s="89"/>
      <c r="S357" s="51"/>
      <c r="T357" s="89"/>
      <c r="U357" s="86"/>
      <c r="V357" s="29"/>
      <c r="W357" s="29"/>
      <c r="X357" s="29"/>
    </row>
    <row r="358" spans="2:24" x14ac:dyDescent="0.2">
      <c r="B358" s="37"/>
      <c r="C358" s="37"/>
      <c r="D358" s="63"/>
      <c r="E358" s="90"/>
      <c r="F358" s="37"/>
      <c r="G358" s="34"/>
      <c r="H358" s="61"/>
      <c r="I358" s="61"/>
      <c r="J358" s="51"/>
      <c r="K358" s="34"/>
      <c r="L358" s="63"/>
      <c r="M358" s="61"/>
      <c r="N358" s="29"/>
      <c r="O358" s="89"/>
      <c r="P358" s="51"/>
      <c r="Q358" s="29"/>
      <c r="R358" s="89"/>
      <c r="S358" s="51"/>
      <c r="T358" s="89"/>
      <c r="U358" s="86"/>
      <c r="V358" s="29"/>
      <c r="W358" s="29"/>
      <c r="X358" s="29"/>
    </row>
    <row r="359" spans="2:24" x14ac:dyDescent="0.2">
      <c r="B359" s="58" t="s">
        <v>578</v>
      </c>
      <c r="C359" s="101">
        <v>95547</v>
      </c>
      <c r="D359" s="58" t="s">
        <v>579</v>
      </c>
      <c r="E359" s="90"/>
      <c r="F359" s="37"/>
      <c r="G359" s="34"/>
      <c r="H359" s="61"/>
      <c r="I359" s="61"/>
      <c r="J359" s="51"/>
      <c r="K359" s="34"/>
      <c r="L359" s="63"/>
      <c r="M359" s="61"/>
      <c r="N359" s="29"/>
      <c r="O359" s="89"/>
      <c r="P359" s="51"/>
      <c r="Q359" s="29"/>
      <c r="R359" s="89"/>
      <c r="S359" s="51"/>
      <c r="T359" s="89"/>
      <c r="U359" s="86"/>
      <c r="V359" s="29"/>
      <c r="W359" s="29"/>
      <c r="X359" s="29"/>
    </row>
    <row r="360" spans="2:24" x14ac:dyDescent="0.2">
      <c r="B360" s="37"/>
      <c r="C360" s="37"/>
      <c r="D360" s="63"/>
      <c r="E360" s="90"/>
      <c r="F360" s="37"/>
      <c r="G360" s="34"/>
      <c r="H360" s="61"/>
      <c r="I360" s="61"/>
      <c r="J360" s="51"/>
      <c r="K360" s="34"/>
      <c r="L360" s="63"/>
      <c r="M360" s="61"/>
      <c r="N360" s="29"/>
      <c r="O360" s="89"/>
      <c r="P360" s="51"/>
      <c r="Q360" s="29"/>
      <c r="R360" s="89"/>
      <c r="S360" s="51"/>
      <c r="T360" s="89"/>
      <c r="U360" s="86"/>
      <c r="V360" s="29"/>
      <c r="W360" s="29"/>
      <c r="X360" s="29"/>
    </row>
    <row r="361" spans="2:24" x14ac:dyDescent="0.2">
      <c r="B361" s="37"/>
      <c r="C361" s="37"/>
      <c r="D361" s="73" t="s">
        <v>43</v>
      </c>
      <c r="E361" s="59" t="s">
        <v>44</v>
      </c>
      <c r="F361" s="37"/>
      <c r="G361" s="34"/>
      <c r="H361" s="61"/>
      <c r="I361" s="61"/>
      <c r="J361" s="51"/>
      <c r="K361" s="34"/>
      <c r="L361" s="63"/>
      <c r="M361" s="61"/>
      <c r="N361" s="29"/>
      <c r="O361" s="89"/>
      <c r="P361" s="51"/>
      <c r="Q361" s="29"/>
      <c r="R361" s="89"/>
      <c r="S361" s="51"/>
      <c r="T361" s="89"/>
      <c r="U361" s="86"/>
      <c r="V361" s="29"/>
      <c r="W361" s="29"/>
      <c r="X361" s="29"/>
    </row>
    <row r="362" spans="2:24" x14ac:dyDescent="0.2">
      <c r="B362" s="37"/>
      <c r="C362" s="37"/>
      <c r="D362" s="99" t="s">
        <v>582</v>
      </c>
      <c r="E362" s="75">
        <v>2</v>
      </c>
      <c r="F362" s="37"/>
      <c r="G362" s="34"/>
      <c r="H362" s="61"/>
      <c r="I362" s="61"/>
      <c r="J362" s="51"/>
      <c r="K362" s="34"/>
      <c r="L362" s="63"/>
      <c r="M362" s="61"/>
      <c r="N362" s="29"/>
      <c r="O362" s="89"/>
      <c r="P362" s="51"/>
      <c r="Q362" s="29"/>
      <c r="R362" s="89"/>
      <c r="S362" s="51"/>
      <c r="T362" s="89"/>
      <c r="U362" s="86"/>
      <c r="V362" s="29"/>
      <c r="W362" s="29"/>
      <c r="X362" s="29"/>
    </row>
    <row r="363" spans="2:24" x14ac:dyDescent="0.2">
      <c r="B363" s="37"/>
      <c r="C363" s="37"/>
      <c r="D363" s="63"/>
      <c r="E363" s="90"/>
      <c r="F363" s="37"/>
      <c r="G363" s="34"/>
      <c r="H363" s="61"/>
      <c r="I363" s="61"/>
      <c r="J363" s="51"/>
      <c r="K363" s="34"/>
      <c r="L363" s="63"/>
      <c r="M363" s="61"/>
      <c r="N363" s="29"/>
      <c r="O363" s="89"/>
      <c r="P363" s="51"/>
      <c r="Q363" s="29"/>
      <c r="R363" s="89"/>
      <c r="S363" s="51"/>
      <c r="T363" s="89"/>
      <c r="U363" s="86"/>
      <c r="V363" s="29"/>
      <c r="W363" s="29"/>
      <c r="X363" s="29"/>
    </row>
    <row r="364" spans="2:24" x14ac:dyDescent="0.2">
      <c r="B364" s="37"/>
      <c r="C364" s="37"/>
      <c r="D364" s="63" t="s">
        <v>41</v>
      </c>
      <c r="E364" s="90">
        <f>SUM(E362:E362)</f>
        <v>2</v>
      </c>
      <c r="F364" s="37"/>
      <c r="G364" s="34"/>
      <c r="H364" s="61"/>
      <c r="I364" s="61"/>
      <c r="J364" s="51"/>
      <c r="K364" s="34"/>
      <c r="L364" s="63"/>
      <c r="M364" s="61"/>
      <c r="N364" s="29"/>
      <c r="O364" s="89"/>
      <c r="P364" s="51"/>
      <c r="Q364" s="29"/>
      <c r="R364" s="89"/>
      <c r="S364" s="51"/>
      <c r="T364" s="89"/>
      <c r="U364" s="86"/>
      <c r="V364" s="29"/>
      <c r="W364" s="29"/>
      <c r="X364" s="29"/>
    </row>
    <row r="365" spans="2:24" x14ac:dyDescent="0.2">
      <c r="B365" s="37"/>
      <c r="C365" s="37"/>
      <c r="D365" s="63"/>
      <c r="E365" s="90"/>
      <c r="F365" s="37"/>
      <c r="G365" s="34"/>
      <c r="H365" s="61"/>
      <c r="I365" s="61"/>
      <c r="J365" s="51"/>
      <c r="K365" s="34"/>
      <c r="L365" s="63"/>
      <c r="M365" s="61"/>
      <c r="N365" s="29"/>
      <c r="O365" s="89"/>
      <c r="P365" s="51"/>
      <c r="Q365" s="29"/>
      <c r="R365" s="89"/>
      <c r="S365" s="51"/>
      <c r="T365" s="89"/>
      <c r="U365" s="86"/>
      <c r="V365" s="29"/>
      <c r="W365" s="29"/>
      <c r="X365" s="29"/>
    </row>
    <row r="366" spans="2:24" x14ac:dyDescent="0.2">
      <c r="B366" s="37"/>
      <c r="C366" s="37"/>
      <c r="D366" s="63"/>
      <c r="E366" s="90"/>
      <c r="F366" s="37"/>
      <c r="G366" s="34"/>
      <c r="H366" s="61"/>
      <c r="I366" s="61"/>
      <c r="J366" s="51"/>
      <c r="K366" s="34"/>
      <c r="L366" s="63"/>
      <c r="M366" s="61"/>
      <c r="N366" s="29"/>
      <c r="O366" s="89"/>
      <c r="P366" s="51"/>
      <c r="Q366" s="29"/>
      <c r="R366" s="89"/>
      <c r="S366" s="51"/>
      <c r="T366" s="89"/>
      <c r="U366" s="86"/>
      <c r="V366" s="29"/>
      <c r="W366" s="29"/>
      <c r="X366" s="29"/>
    </row>
    <row r="367" spans="2:24" x14ac:dyDescent="0.2">
      <c r="B367" s="58" t="s">
        <v>580</v>
      </c>
      <c r="C367" s="101">
        <v>95544</v>
      </c>
      <c r="D367" s="58" t="s">
        <v>581</v>
      </c>
      <c r="E367" s="90"/>
      <c r="F367" s="37"/>
      <c r="G367" s="34"/>
      <c r="H367" s="61"/>
      <c r="I367" s="61"/>
      <c r="J367" s="51"/>
      <c r="K367" s="34"/>
      <c r="L367" s="63"/>
      <c r="M367" s="61"/>
      <c r="N367" s="29"/>
      <c r="O367" s="89"/>
      <c r="P367" s="51"/>
      <c r="Q367" s="29"/>
      <c r="R367" s="89"/>
      <c r="S367" s="51"/>
      <c r="T367" s="89"/>
      <c r="U367" s="86"/>
      <c r="V367" s="29"/>
      <c r="W367" s="29"/>
      <c r="X367" s="29"/>
    </row>
    <row r="368" spans="2:24" x14ac:dyDescent="0.2">
      <c r="B368" s="37"/>
      <c r="C368" s="37"/>
      <c r="D368" s="63"/>
      <c r="E368" s="90"/>
      <c r="F368" s="37"/>
      <c r="G368" s="34"/>
      <c r="H368" s="61"/>
      <c r="I368" s="61"/>
      <c r="J368" s="51"/>
      <c r="K368" s="34"/>
      <c r="L368" s="63"/>
      <c r="M368" s="61"/>
      <c r="N368" s="29"/>
      <c r="O368" s="89"/>
      <c r="P368" s="51"/>
      <c r="Q368" s="29"/>
      <c r="R368" s="89"/>
      <c r="S368" s="51"/>
      <c r="T368" s="89"/>
      <c r="U368" s="86"/>
      <c r="V368" s="29"/>
      <c r="W368" s="29"/>
      <c r="X368" s="29"/>
    </row>
    <row r="369" spans="2:24" x14ac:dyDescent="0.2">
      <c r="B369" s="37"/>
      <c r="C369" s="37"/>
      <c r="D369" s="73" t="s">
        <v>43</v>
      </c>
      <c r="E369" s="59" t="s">
        <v>44</v>
      </c>
      <c r="F369" s="37"/>
      <c r="G369" s="34"/>
      <c r="H369" s="61"/>
      <c r="I369" s="61"/>
      <c r="J369" s="51"/>
      <c r="K369" s="34"/>
      <c r="L369" s="63"/>
      <c r="M369" s="61"/>
      <c r="N369" s="29"/>
      <c r="O369" s="89"/>
      <c r="P369" s="51"/>
      <c r="Q369" s="29"/>
      <c r="R369" s="89"/>
      <c r="S369" s="51"/>
      <c r="T369" s="89"/>
      <c r="U369" s="86"/>
      <c r="V369" s="29"/>
      <c r="W369" s="29"/>
      <c r="X369" s="29"/>
    </row>
    <row r="370" spans="2:24" x14ac:dyDescent="0.2">
      <c r="B370" s="37"/>
      <c r="C370" s="37"/>
      <c r="D370" s="99" t="s">
        <v>582</v>
      </c>
      <c r="E370" s="75">
        <v>7</v>
      </c>
      <c r="F370" s="37"/>
      <c r="G370" s="34"/>
      <c r="H370" s="61"/>
      <c r="I370" s="61"/>
      <c r="J370" s="51"/>
      <c r="K370" s="34"/>
      <c r="L370" s="63"/>
      <c r="M370" s="61"/>
      <c r="N370" s="29"/>
      <c r="O370" s="89"/>
      <c r="P370" s="51"/>
      <c r="Q370" s="29"/>
      <c r="R370" s="89"/>
      <c r="S370" s="51"/>
      <c r="T370" s="89"/>
      <c r="U370" s="86"/>
      <c r="V370" s="29"/>
      <c r="W370" s="29"/>
      <c r="X370" s="29"/>
    </row>
    <row r="371" spans="2:24" x14ac:dyDescent="0.2">
      <c r="B371" s="37"/>
      <c r="C371" s="37"/>
      <c r="D371" s="63"/>
      <c r="E371" s="90"/>
      <c r="F371" s="37"/>
      <c r="G371" s="34"/>
      <c r="H371" s="61"/>
      <c r="I371" s="61"/>
      <c r="J371" s="51"/>
      <c r="K371" s="34"/>
      <c r="L371" s="63"/>
      <c r="M371" s="61"/>
      <c r="N371" s="29"/>
      <c r="O371" s="89"/>
      <c r="P371" s="51"/>
      <c r="Q371" s="29"/>
      <c r="R371" s="89"/>
      <c r="S371" s="51"/>
      <c r="T371" s="89"/>
      <c r="U371" s="86"/>
      <c r="V371" s="29"/>
      <c r="W371" s="29"/>
      <c r="X371" s="29"/>
    </row>
    <row r="372" spans="2:24" x14ac:dyDescent="0.2">
      <c r="B372" s="37"/>
      <c r="C372" s="37"/>
      <c r="D372" s="63" t="s">
        <v>41</v>
      </c>
      <c r="E372" s="90">
        <f>SUM(E370:E370)</f>
        <v>7</v>
      </c>
      <c r="F372" s="37"/>
      <c r="G372" s="34"/>
      <c r="H372" s="61"/>
      <c r="I372" s="61"/>
      <c r="J372" s="51"/>
      <c r="K372" s="34"/>
      <c r="L372" s="63"/>
      <c r="M372" s="61"/>
      <c r="N372" s="29"/>
      <c r="O372" s="89"/>
      <c r="P372" s="51"/>
      <c r="Q372" s="29"/>
      <c r="R372" s="89"/>
      <c r="S372" s="51"/>
      <c r="T372" s="89"/>
      <c r="U372" s="86"/>
      <c r="V372" s="29"/>
      <c r="W372" s="29"/>
      <c r="X372" s="29"/>
    </row>
    <row r="373" spans="2:24" x14ac:dyDescent="0.2">
      <c r="B373" s="37"/>
      <c r="C373" s="37"/>
      <c r="D373" s="63"/>
      <c r="E373" s="90"/>
      <c r="F373" s="37"/>
      <c r="G373" s="34"/>
      <c r="H373" s="61"/>
      <c r="I373" s="61"/>
      <c r="J373" s="51"/>
      <c r="K373" s="34"/>
      <c r="L373" s="63"/>
      <c r="M373" s="61"/>
      <c r="N373" s="29"/>
      <c r="O373" s="89"/>
      <c r="P373" s="51"/>
      <c r="Q373" s="29"/>
      <c r="R373" s="89"/>
      <c r="S373" s="51"/>
      <c r="T373" s="89"/>
      <c r="U373" s="86"/>
      <c r="V373" s="29"/>
      <c r="W373" s="29"/>
      <c r="X373" s="29"/>
    </row>
    <row r="374" spans="2:24" x14ac:dyDescent="0.2">
      <c r="B374" s="58" t="s">
        <v>583</v>
      </c>
      <c r="C374" s="101">
        <v>95542</v>
      </c>
      <c r="D374" s="58" t="s">
        <v>584</v>
      </c>
      <c r="E374" s="90"/>
      <c r="F374" s="37"/>
      <c r="G374" s="34"/>
      <c r="H374" s="61"/>
      <c r="I374" s="61"/>
      <c r="J374" s="51"/>
      <c r="K374" s="34"/>
      <c r="L374" s="63"/>
      <c r="M374" s="61"/>
      <c r="N374" s="29"/>
      <c r="O374" s="89"/>
      <c r="P374" s="51"/>
      <c r="Q374" s="29"/>
      <c r="R374" s="89"/>
      <c r="S374" s="51"/>
      <c r="T374" s="89"/>
      <c r="U374" s="86"/>
      <c r="V374" s="29"/>
      <c r="W374" s="29"/>
      <c r="X374" s="29"/>
    </row>
    <row r="375" spans="2:24" x14ac:dyDescent="0.2">
      <c r="B375" s="37"/>
      <c r="C375" s="37"/>
      <c r="D375" s="63"/>
      <c r="E375" s="90"/>
      <c r="F375" s="37"/>
      <c r="G375" s="34"/>
      <c r="H375" s="61"/>
      <c r="I375" s="61"/>
      <c r="J375" s="51"/>
      <c r="K375" s="34"/>
      <c r="L375" s="63"/>
      <c r="M375" s="61"/>
      <c r="N375" s="29"/>
      <c r="O375" s="89"/>
      <c r="P375" s="51"/>
      <c r="Q375" s="29"/>
      <c r="R375" s="89"/>
      <c r="S375" s="51"/>
      <c r="T375" s="89"/>
      <c r="U375" s="86"/>
      <c r="V375" s="29"/>
      <c r="W375" s="29"/>
      <c r="X375" s="29"/>
    </row>
    <row r="376" spans="2:24" x14ac:dyDescent="0.2">
      <c r="B376" s="37"/>
      <c r="C376" s="37"/>
      <c r="D376" s="73" t="s">
        <v>43</v>
      </c>
      <c r="E376" s="59" t="s">
        <v>44</v>
      </c>
      <c r="F376" s="37"/>
      <c r="G376" s="34"/>
      <c r="H376" s="61"/>
      <c r="I376" s="61"/>
      <c r="J376" s="51"/>
      <c r="K376" s="34"/>
      <c r="L376" s="63"/>
      <c r="M376" s="61"/>
      <c r="N376" s="29"/>
      <c r="O376" s="89"/>
      <c r="P376" s="51"/>
      <c r="Q376" s="29"/>
      <c r="R376" s="89"/>
      <c r="S376" s="51"/>
      <c r="T376" s="89"/>
      <c r="U376" s="86"/>
      <c r="V376" s="29"/>
      <c r="W376" s="29"/>
      <c r="X376" s="29"/>
    </row>
    <row r="377" spans="2:24" x14ac:dyDescent="0.2">
      <c r="B377" s="37"/>
      <c r="C377" s="37"/>
      <c r="D377" s="99" t="s">
        <v>582</v>
      </c>
      <c r="E377" s="75">
        <v>4</v>
      </c>
      <c r="F377" s="37"/>
      <c r="G377" s="34"/>
      <c r="H377" s="61"/>
      <c r="I377" s="61"/>
      <c r="J377" s="51"/>
      <c r="K377" s="34"/>
      <c r="L377" s="63"/>
      <c r="M377" s="61"/>
      <c r="N377" s="29"/>
      <c r="O377" s="89"/>
      <c r="P377" s="51"/>
      <c r="Q377" s="29"/>
      <c r="R377" s="89"/>
      <c r="S377" s="51"/>
      <c r="T377" s="89"/>
      <c r="U377" s="86"/>
      <c r="V377" s="29"/>
      <c r="W377" s="29"/>
      <c r="X377" s="29"/>
    </row>
    <row r="378" spans="2:24" x14ac:dyDescent="0.2">
      <c r="B378" s="37"/>
      <c r="C378" s="37"/>
      <c r="D378" s="63"/>
      <c r="E378" s="90"/>
      <c r="F378" s="37"/>
      <c r="G378" s="34"/>
      <c r="H378" s="61"/>
      <c r="I378" s="61"/>
      <c r="J378" s="51"/>
      <c r="K378" s="34"/>
      <c r="L378" s="63"/>
      <c r="M378" s="61"/>
      <c r="N378" s="29"/>
      <c r="O378" s="89"/>
      <c r="P378" s="51"/>
      <c r="Q378" s="29"/>
      <c r="R378" s="89"/>
      <c r="S378" s="51"/>
      <c r="T378" s="89"/>
      <c r="U378" s="86"/>
      <c r="V378" s="29"/>
      <c r="W378" s="29"/>
      <c r="X378" s="29"/>
    </row>
    <row r="379" spans="2:24" x14ac:dyDescent="0.2">
      <c r="B379" s="37"/>
      <c r="C379" s="37"/>
      <c r="D379" s="63" t="s">
        <v>41</v>
      </c>
      <c r="E379" s="90">
        <f>SUM(E377:E377)</f>
        <v>4</v>
      </c>
      <c r="F379" s="37"/>
      <c r="G379" s="34"/>
      <c r="H379" s="61"/>
      <c r="I379" s="61"/>
      <c r="J379" s="51"/>
      <c r="K379" s="34"/>
      <c r="L379" s="63"/>
      <c r="M379" s="61"/>
      <c r="N379" s="29"/>
      <c r="O379" s="89"/>
      <c r="P379" s="51"/>
      <c r="Q379" s="29"/>
      <c r="R379" s="89"/>
      <c r="S379" s="51"/>
      <c r="T379" s="89"/>
      <c r="U379" s="86"/>
      <c r="V379" s="29"/>
      <c r="W379" s="29"/>
      <c r="X379" s="29"/>
    </row>
    <row r="380" spans="2:24" x14ac:dyDescent="0.2">
      <c r="B380" s="37"/>
      <c r="C380" s="37"/>
      <c r="D380" s="63"/>
      <c r="E380" s="90"/>
      <c r="F380" s="37"/>
      <c r="G380" s="34"/>
      <c r="H380" s="61"/>
      <c r="I380" s="61"/>
      <c r="J380" s="51"/>
      <c r="K380" s="34"/>
      <c r="L380" s="63"/>
      <c r="M380" s="61"/>
      <c r="N380" s="29"/>
      <c r="O380" s="89"/>
      <c r="P380" s="51"/>
      <c r="Q380" s="29"/>
      <c r="R380" s="89"/>
      <c r="S380" s="51"/>
      <c r="T380" s="89"/>
      <c r="U380" s="86"/>
      <c r="V380" s="29"/>
      <c r="W380" s="29"/>
      <c r="X380" s="29"/>
    </row>
    <row r="381" spans="2:24" x14ac:dyDescent="0.2">
      <c r="B381" s="58" t="s">
        <v>585</v>
      </c>
      <c r="C381" s="101" t="s">
        <v>586</v>
      </c>
      <c r="D381" s="58" t="s">
        <v>587</v>
      </c>
      <c r="E381" s="90"/>
      <c r="F381" s="37"/>
      <c r="G381" s="34"/>
      <c r="H381" s="61"/>
      <c r="I381" s="61"/>
      <c r="J381" s="51"/>
      <c r="K381" s="34"/>
      <c r="L381" s="63"/>
      <c r="M381" s="61"/>
      <c r="N381" s="29"/>
      <c r="O381" s="89"/>
      <c r="P381" s="51"/>
      <c r="Q381" s="29"/>
      <c r="R381" s="89"/>
      <c r="S381" s="51"/>
      <c r="T381" s="89"/>
      <c r="U381" s="86"/>
      <c r="V381" s="29"/>
      <c r="W381" s="29"/>
      <c r="X381" s="29"/>
    </row>
    <row r="382" spans="2:24" x14ac:dyDescent="0.2">
      <c r="B382" s="37"/>
      <c r="C382" s="37"/>
      <c r="D382" s="63"/>
      <c r="E382" s="90"/>
      <c r="F382" s="37"/>
      <c r="G382" s="34"/>
      <c r="H382" s="61"/>
      <c r="I382" s="61"/>
      <c r="J382" s="51"/>
      <c r="K382" s="34"/>
      <c r="L382" s="63"/>
      <c r="M382" s="61"/>
      <c r="N382" s="29"/>
      <c r="O382" s="89"/>
      <c r="P382" s="51"/>
      <c r="Q382" s="29"/>
      <c r="R382" s="89"/>
      <c r="S382" s="51"/>
      <c r="T382" s="89"/>
      <c r="U382" s="86"/>
      <c r="V382" s="29"/>
      <c r="W382" s="29"/>
      <c r="X382" s="29"/>
    </row>
    <row r="383" spans="2:24" x14ac:dyDescent="0.2">
      <c r="B383" s="37"/>
      <c r="C383" s="37"/>
      <c r="D383" s="73" t="s">
        <v>43</v>
      </c>
      <c r="E383" s="59" t="s">
        <v>44</v>
      </c>
      <c r="F383" s="37"/>
      <c r="G383" s="34"/>
      <c r="H383" s="61"/>
      <c r="I383" s="61"/>
      <c r="J383" s="51"/>
      <c r="K383" s="34"/>
      <c r="L383" s="63"/>
      <c r="M383" s="61"/>
      <c r="N383" s="29"/>
      <c r="O383" s="89"/>
      <c r="P383" s="51"/>
      <c r="Q383" s="29"/>
      <c r="R383" s="89"/>
      <c r="S383" s="51"/>
      <c r="T383" s="89"/>
      <c r="U383" s="86"/>
      <c r="V383" s="29"/>
      <c r="W383" s="29"/>
      <c r="X383" s="29"/>
    </row>
    <row r="384" spans="2:24" x14ac:dyDescent="0.2">
      <c r="B384" s="37"/>
      <c r="C384" s="37"/>
      <c r="D384" s="99" t="s">
        <v>582</v>
      </c>
      <c r="E384" s="75">
        <v>2</v>
      </c>
      <c r="F384" s="37"/>
      <c r="G384" s="34"/>
      <c r="H384" s="61"/>
      <c r="I384" s="61"/>
      <c r="J384" s="51"/>
      <c r="K384" s="34"/>
      <c r="L384" s="63"/>
      <c r="M384" s="61"/>
      <c r="N384" s="29"/>
      <c r="O384" s="89"/>
      <c r="P384" s="51"/>
      <c r="Q384" s="29"/>
      <c r="R384" s="89"/>
      <c r="S384" s="51"/>
      <c r="T384" s="89"/>
      <c r="U384" s="86"/>
      <c r="V384" s="29"/>
      <c r="W384" s="29"/>
      <c r="X384" s="29"/>
    </row>
    <row r="385" spans="2:24" x14ac:dyDescent="0.2">
      <c r="B385" s="37"/>
      <c r="C385" s="37"/>
      <c r="D385" s="63"/>
      <c r="E385" s="90"/>
      <c r="F385" s="37"/>
      <c r="G385" s="34"/>
      <c r="H385" s="61"/>
      <c r="I385" s="61"/>
      <c r="J385" s="51"/>
      <c r="K385" s="34"/>
      <c r="L385" s="63"/>
      <c r="M385" s="61"/>
      <c r="N385" s="29"/>
      <c r="O385" s="89"/>
      <c r="P385" s="51"/>
      <c r="Q385" s="29"/>
      <c r="R385" s="89"/>
      <c r="S385" s="51"/>
      <c r="T385" s="89"/>
      <c r="U385" s="86"/>
      <c r="V385" s="29"/>
      <c r="W385" s="29"/>
      <c r="X385" s="29"/>
    </row>
    <row r="386" spans="2:24" x14ac:dyDescent="0.2">
      <c r="B386" s="37"/>
      <c r="C386" s="37"/>
      <c r="D386" s="63" t="s">
        <v>41</v>
      </c>
      <c r="E386" s="90">
        <f>SUM(E384:E384)</f>
        <v>2</v>
      </c>
      <c r="F386" s="37"/>
      <c r="G386" s="34"/>
      <c r="H386" s="61"/>
      <c r="I386" s="61"/>
      <c r="J386" s="51"/>
      <c r="K386" s="34"/>
      <c r="L386" s="63"/>
      <c r="M386" s="61"/>
      <c r="N386" s="29"/>
      <c r="O386" s="89"/>
      <c r="P386" s="51"/>
      <c r="Q386" s="29"/>
      <c r="R386" s="89"/>
      <c r="S386" s="51"/>
      <c r="T386" s="89"/>
      <c r="U386" s="86"/>
      <c r="V386" s="29"/>
      <c r="W386" s="29"/>
      <c r="X386" s="29"/>
    </row>
    <row r="387" spans="2:24" x14ac:dyDescent="0.2">
      <c r="B387" s="37"/>
      <c r="C387" s="37"/>
      <c r="D387" s="63"/>
      <c r="E387" s="90"/>
      <c r="F387" s="37"/>
      <c r="G387" s="34"/>
      <c r="H387" s="61"/>
      <c r="I387" s="61"/>
      <c r="J387" s="51"/>
      <c r="K387" s="34"/>
      <c r="L387" s="63"/>
      <c r="M387" s="61"/>
      <c r="N387" s="29"/>
      <c r="O387" s="89"/>
      <c r="P387" s="51"/>
      <c r="Q387" s="29"/>
      <c r="R387" s="89"/>
      <c r="S387" s="51"/>
      <c r="T387" s="89"/>
      <c r="U387" s="86"/>
      <c r="V387" s="29"/>
      <c r="W387" s="29"/>
      <c r="X387" s="29"/>
    </row>
    <row r="388" spans="2:24" x14ac:dyDescent="0.2">
      <c r="B388" s="70" t="s">
        <v>86</v>
      </c>
      <c r="C388" s="69"/>
      <c r="D388" s="69" t="s">
        <v>75</v>
      </c>
      <c r="E388" s="69"/>
      <c r="F388" s="69"/>
      <c r="G388" s="69"/>
      <c r="H388" s="69"/>
      <c r="I388" s="69"/>
      <c r="J388" s="69"/>
      <c r="K388" s="69"/>
      <c r="L388" s="69"/>
      <c r="M388" s="69"/>
      <c r="N388" s="69"/>
      <c r="O388" s="69"/>
      <c r="P388" s="69"/>
      <c r="Q388" s="69"/>
      <c r="R388" s="69"/>
      <c r="S388" s="69"/>
      <c r="T388" s="69"/>
      <c r="U388" s="69"/>
      <c r="V388" s="69"/>
      <c r="W388" s="69"/>
      <c r="X388" s="68"/>
    </row>
    <row r="389" spans="2:24" x14ac:dyDescent="0.2">
      <c r="B389" s="58"/>
      <c r="C389" s="58"/>
      <c r="D389" s="58"/>
      <c r="E389" s="58"/>
      <c r="F389" s="58"/>
      <c r="G389" s="58"/>
      <c r="H389" s="58"/>
      <c r="I389" s="58"/>
      <c r="J389" s="58"/>
      <c r="K389" s="58"/>
      <c r="L389" s="58"/>
      <c r="M389" s="58"/>
      <c r="N389" s="58"/>
      <c r="O389" s="58"/>
      <c r="P389" s="58"/>
      <c r="Q389" s="58"/>
      <c r="R389" s="58"/>
      <c r="S389" s="58"/>
      <c r="T389" s="58"/>
      <c r="U389" s="58"/>
      <c r="V389" s="58"/>
      <c r="W389" s="58"/>
      <c r="X389" s="58"/>
    </row>
    <row r="390" spans="2:24" x14ac:dyDescent="0.2">
      <c r="B390" s="58" t="s">
        <v>317</v>
      </c>
      <c r="C390" s="57" t="s">
        <v>527</v>
      </c>
      <c r="D390" s="58" t="s">
        <v>528</v>
      </c>
      <c r="E390" s="63"/>
      <c r="F390" s="61"/>
      <c r="G390" s="34"/>
      <c r="H390" s="61"/>
      <c r="I390" s="61"/>
      <c r="J390" s="51"/>
      <c r="K390" s="34"/>
      <c r="L390" s="63"/>
      <c r="M390" s="61"/>
      <c r="N390" s="29"/>
      <c r="O390" s="89"/>
      <c r="P390" s="51"/>
      <c r="Q390" s="29"/>
      <c r="R390" s="89"/>
      <c r="S390" s="51"/>
      <c r="T390" s="89"/>
      <c r="U390" s="86"/>
      <c r="V390" s="29"/>
      <c r="W390" s="29"/>
      <c r="X390" s="29"/>
    </row>
    <row r="391" spans="2:24" x14ac:dyDescent="0.2">
      <c r="B391" s="58"/>
      <c r="C391" s="57"/>
      <c r="D391" s="58"/>
      <c r="E391" s="63"/>
      <c r="F391" s="61"/>
      <c r="G391" s="34"/>
      <c r="H391" s="61"/>
      <c r="I391" s="61"/>
      <c r="J391" s="51"/>
      <c r="K391" s="34"/>
      <c r="L391" s="63"/>
      <c r="M391" s="61"/>
      <c r="N391" s="29"/>
      <c r="O391" s="89"/>
      <c r="P391" s="51"/>
      <c r="Q391" s="29"/>
      <c r="R391" s="89"/>
      <c r="S391" s="51"/>
      <c r="T391" s="89"/>
      <c r="U391" s="86"/>
      <c r="V391" s="29"/>
      <c r="W391" s="29"/>
      <c r="X391" s="29"/>
    </row>
    <row r="392" spans="2:24" ht="13.5" customHeight="1" x14ac:dyDescent="0.2">
      <c r="B392" s="58"/>
      <c r="C392" s="57"/>
      <c r="D392" s="73" t="s">
        <v>43</v>
      </c>
      <c r="E392" s="72" t="s">
        <v>45</v>
      </c>
      <c r="F392" s="63"/>
      <c r="G392" s="87"/>
      <c r="H392" s="87"/>
      <c r="I392" s="87"/>
      <c r="J392" s="29"/>
      <c r="K392" s="63"/>
      <c r="L392" s="63"/>
      <c r="M392" s="63"/>
      <c r="N392" s="29"/>
      <c r="O392" s="89"/>
      <c r="P392" s="51"/>
      <c r="Q392" s="29"/>
      <c r="R392" s="89"/>
      <c r="S392" s="51"/>
      <c r="T392" s="89"/>
      <c r="U392" s="86"/>
      <c r="V392" s="29"/>
      <c r="W392" s="29"/>
      <c r="X392" s="29"/>
    </row>
    <row r="393" spans="2:24" x14ac:dyDescent="0.2">
      <c r="B393" s="58"/>
      <c r="C393" s="57"/>
      <c r="D393" s="100" t="s">
        <v>428</v>
      </c>
      <c r="E393" s="61">
        <v>35.76</v>
      </c>
      <c r="F393" s="63"/>
      <c r="G393" s="87" t="s">
        <v>445</v>
      </c>
      <c r="H393" s="29"/>
      <c r="I393" s="37"/>
      <c r="J393" s="29"/>
      <c r="K393" s="63"/>
      <c r="L393" s="63"/>
      <c r="M393" s="63"/>
      <c r="N393" s="29"/>
      <c r="O393" s="89"/>
      <c r="P393" s="51"/>
      <c r="Q393" s="29"/>
      <c r="R393" s="89"/>
      <c r="S393" s="51"/>
      <c r="T393" s="89"/>
      <c r="U393" s="86"/>
      <c r="V393" s="29"/>
      <c r="W393" s="29"/>
      <c r="X393" s="29"/>
    </row>
    <row r="394" spans="2:24" x14ac:dyDescent="0.2">
      <c r="B394" s="58"/>
      <c r="C394" s="57"/>
      <c r="D394" s="100" t="s">
        <v>446</v>
      </c>
      <c r="E394" s="61">
        <v>46.57</v>
      </c>
      <c r="F394" s="63"/>
      <c r="G394" s="62"/>
      <c r="H394" s="29"/>
      <c r="I394" s="37"/>
      <c r="J394" s="29"/>
      <c r="K394" s="63"/>
      <c r="L394" s="63"/>
      <c r="M394" s="63"/>
      <c r="N394" s="29"/>
      <c r="O394" s="89"/>
      <c r="P394" s="51"/>
      <c r="Q394" s="29"/>
      <c r="R394" s="89"/>
      <c r="S394" s="51"/>
      <c r="T394" s="89"/>
      <c r="U394" s="86"/>
      <c r="V394" s="29"/>
      <c r="W394" s="29"/>
      <c r="X394" s="29"/>
    </row>
    <row r="395" spans="2:24" x14ac:dyDescent="0.2">
      <c r="B395" s="58"/>
      <c r="C395" s="57"/>
      <c r="D395" s="100" t="s">
        <v>447</v>
      </c>
      <c r="E395" s="61">
        <v>48</v>
      </c>
      <c r="F395" s="51"/>
      <c r="G395" s="34"/>
      <c r="H395" s="51"/>
      <c r="I395" s="61"/>
      <c r="J395" s="51"/>
      <c r="K395" s="34"/>
      <c r="L395" s="63"/>
      <c r="M395" s="61"/>
      <c r="N395" s="29"/>
      <c r="O395" s="89"/>
      <c r="P395" s="51"/>
      <c r="Q395" s="29"/>
      <c r="R395" s="89"/>
      <c r="S395" s="51"/>
      <c r="T395" s="89"/>
      <c r="U395" s="86"/>
      <c r="V395" s="29"/>
      <c r="W395" s="29"/>
      <c r="X395" s="29"/>
    </row>
    <row r="396" spans="2:24" x14ac:dyDescent="0.2">
      <c r="B396" s="58"/>
      <c r="C396" s="57"/>
      <c r="D396" s="100" t="s">
        <v>449</v>
      </c>
      <c r="E396" s="61">
        <v>57.77</v>
      </c>
      <c r="F396" s="51"/>
      <c r="G396" s="34"/>
      <c r="H396" s="51"/>
      <c r="I396" s="61"/>
      <c r="J396" s="51"/>
      <c r="K396" s="34"/>
      <c r="L396" s="63"/>
      <c r="M396" s="61"/>
      <c r="N396" s="29"/>
      <c r="O396" s="89"/>
      <c r="P396" s="51"/>
      <c r="Q396" s="29"/>
      <c r="R396" s="89"/>
      <c r="S396" s="51"/>
      <c r="T396" s="89"/>
      <c r="U396" s="86"/>
      <c r="V396" s="29"/>
      <c r="W396" s="29"/>
      <c r="X396" s="29"/>
    </row>
    <row r="397" spans="2:24" x14ac:dyDescent="0.2">
      <c r="B397" s="58"/>
      <c r="C397" s="57"/>
      <c r="D397" s="100"/>
      <c r="E397" s="63"/>
      <c r="F397" s="51"/>
      <c r="G397" s="34"/>
      <c r="H397" s="51"/>
      <c r="I397" s="61"/>
      <c r="J397" s="51"/>
      <c r="K397" s="34"/>
      <c r="L397" s="63"/>
      <c r="M397" s="61"/>
      <c r="N397" s="29"/>
      <c r="O397" s="89"/>
      <c r="P397" s="51"/>
      <c r="Q397" s="29"/>
      <c r="R397" s="89"/>
      <c r="S397" s="51"/>
      <c r="T397" s="89"/>
      <c r="U397" s="86"/>
      <c r="V397" s="29"/>
      <c r="W397" s="29"/>
      <c r="X397" s="29"/>
    </row>
    <row r="398" spans="2:24" x14ac:dyDescent="0.2">
      <c r="B398" s="58"/>
      <c r="C398" s="57"/>
      <c r="D398" s="53" t="s">
        <v>41</v>
      </c>
      <c r="E398" s="62">
        <f>SUM(E393:E396)</f>
        <v>188.1</v>
      </c>
      <c r="F398" s="51"/>
      <c r="G398" s="34"/>
      <c r="H398" s="51"/>
      <c r="I398" s="61"/>
      <c r="J398" s="51"/>
      <c r="K398" s="34"/>
      <c r="L398" s="63"/>
      <c r="M398" s="61"/>
      <c r="N398" s="29"/>
      <c r="O398" s="89"/>
      <c r="P398" s="51"/>
      <c r="Q398" s="29"/>
      <c r="R398" s="89"/>
      <c r="S398" s="51"/>
      <c r="T398" s="89"/>
      <c r="U398" s="86"/>
      <c r="V398" s="29"/>
      <c r="W398" s="29"/>
      <c r="X398" s="29"/>
    </row>
    <row r="399" spans="2:24" x14ac:dyDescent="0.2">
      <c r="B399" s="58"/>
      <c r="C399" s="57"/>
      <c r="D399" s="54"/>
      <c r="E399" s="61"/>
      <c r="F399" s="34"/>
      <c r="G399" s="34"/>
      <c r="H399" s="61"/>
      <c r="I399" s="61"/>
      <c r="J399" s="51"/>
      <c r="K399" s="34"/>
      <c r="L399" s="63"/>
      <c r="M399" s="61"/>
      <c r="N399" s="29"/>
      <c r="O399" s="89"/>
      <c r="P399" s="51"/>
      <c r="Q399" s="29"/>
      <c r="R399" s="89"/>
      <c r="S399" s="51"/>
      <c r="T399" s="89"/>
      <c r="U399" s="86"/>
      <c r="V399" s="29"/>
      <c r="W399" s="29"/>
      <c r="X399" s="29"/>
    </row>
    <row r="400" spans="2:24" x14ac:dyDescent="0.2">
      <c r="B400" s="58" t="s">
        <v>319</v>
      </c>
      <c r="C400" s="57"/>
      <c r="D400" s="58" t="s">
        <v>539</v>
      </c>
      <c r="E400" s="63"/>
      <c r="F400" s="34"/>
      <c r="G400" s="34"/>
      <c r="H400" s="61"/>
      <c r="I400" s="61"/>
      <c r="J400" s="51"/>
      <c r="K400" s="34"/>
      <c r="L400" s="63"/>
      <c r="M400" s="61"/>
      <c r="N400" s="29"/>
      <c r="O400" s="89"/>
      <c r="P400" s="51"/>
      <c r="Q400" s="29"/>
      <c r="R400" s="89"/>
      <c r="S400" s="51"/>
      <c r="T400" s="89"/>
      <c r="U400" s="86"/>
      <c r="V400" s="29"/>
      <c r="W400" s="29"/>
      <c r="X400" s="29"/>
    </row>
    <row r="401" spans="2:24" x14ac:dyDescent="0.2">
      <c r="B401" s="58"/>
      <c r="C401" s="57"/>
      <c r="D401" s="54"/>
      <c r="E401" s="61"/>
      <c r="F401" s="34"/>
      <c r="G401" s="34"/>
      <c r="H401" s="61"/>
      <c r="I401" s="61"/>
      <c r="J401" s="51"/>
      <c r="K401" s="34"/>
      <c r="L401" s="63"/>
      <c r="M401" s="61"/>
      <c r="N401" s="29"/>
      <c r="O401" s="89"/>
      <c r="P401" s="51"/>
      <c r="Q401" s="29"/>
      <c r="R401" s="89"/>
      <c r="S401" s="51"/>
      <c r="T401" s="89"/>
      <c r="U401" s="86"/>
      <c r="V401" s="29"/>
      <c r="W401" s="29"/>
      <c r="X401" s="29"/>
    </row>
    <row r="402" spans="2:24" x14ac:dyDescent="0.2">
      <c r="B402" s="58"/>
      <c r="C402" s="57"/>
      <c r="D402" s="56" t="s">
        <v>622</v>
      </c>
      <c r="E402" s="61"/>
      <c r="F402" s="34"/>
      <c r="G402" s="34"/>
      <c r="H402" s="61"/>
      <c r="I402" s="61"/>
      <c r="J402" s="51"/>
      <c r="K402" s="34"/>
      <c r="L402" s="63"/>
      <c r="M402" s="61"/>
      <c r="N402" s="29"/>
      <c r="O402" s="89"/>
      <c r="P402" s="51"/>
      <c r="Q402" s="29"/>
      <c r="R402" s="89"/>
      <c r="S402" s="51"/>
      <c r="T402" s="89"/>
      <c r="U402" s="86"/>
      <c r="V402" s="29"/>
      <c r="W402" s="29"/>
      <c r="X402" s="29"/>
    </row>
    <row r="403" spans="2:24" x14ac:dyDescent="0.2">
      <c r="B403" s="58"/>
      <c r="C403" s="57"/>
      <c r="D403" s="54"/>
      <c r="E403" s="61"/>
      <c r="F403" s="34"/>
      <c r="G403" s="34"/>
      <c r="H403" s="61"/>
      <c r="I403" s="61"/>
      <c r="J403" s="51"/>
      <c r="K403" s="34"/>
      <c r="L403" s="63"/>
      <c r="M403" s="61"/>
      <c r="N403" s="29"/>
      <c r="O403" s="89"/>
      <c r="P403" s="51"/>
      <c r="Q403" s="29"/>
      <c r="R403" s="89"/>
      <c r="S403" s="51"/>
      <c r="T403" s="89"/>
      <c r="U403" s="86"/>
      <c r="V403" s="29"/>
      <c r="W403" s="29"/>
      <c r="X403" s="29"/>
    </row>
    <row r="404" spans="2:24" x14ac:dyDescent="0.2">
      <c r="B404" s="70" t="s">
        <v>83</v>
      </c>
      <c r="C404" s="69"/>
      <c r="D404" s="69" t="s">
        <v>370</v>
      </c>
      <c r="E404" s="69"/>
      <c r="F404" s="69"/>
      <c r="G404" s="69"/>
      <c r="H404" s="69"/>
      <c r="I404" s="69"/>
      <c r="J404" s="69"/>
      <c r="K404" s="69"/>
      <c r="L404" s="69"/>
      <c r="M404" s="69"/>
      <c r="N404" s="69"/>
      <c r="O404" s="69"/>
      <c r="P404" s="69"/>
      <c r="Q404" s="69"/>
      <c r="R404" s="69"/>
      <c r="S404" s="69"/>
      <c r="T404" s="69"/>
      <c r="U404" s="69"/>
      <c r="V404" s="69"/>
      <c r="W404" s="69"/>
      <c r="X404" s="68"/>
    </row>
    <row r="405" spans="2:24" x14ac:dyDescent="0.2">
      <c r="B405" s="58"/>
      <c r="C405" s="58"/>
      <c r="D405" s="58"/>
      <c r="E405" s="58"/>
      <c r="F405" s="58"/>
      <c r="G405" s="58"/>
      <c r="H405" s="58"/>
      <c r="I405" s="58"/>
      <c r="J405" s="58"/>
      <c r="K405" s="58"/>
      <c r="L405" s="58"/>
      <c r="M405" s="58"/>
      <c r="N405" s="58"/>
      <c r="O405" s="58"/>
      <c r="P405" s="58"/>
      <c r="Q405" s="58"/>
      <c r="R405" s="58"/>
      <c r="S405" s="58"/>
      <c r="T405" s="58"/>
      <c r="U405" s="58"/>
      <c r="V405" s="58"/>
      <c r="W405" s="58"/>
      <c r="X405" s="58"/>
    </row>
    <row r="406" spans="2:24" x14ac:dyDescent="0.2">
      <c r="B406" s="58" t="s">
        <v>366</v>
      </c>
      <c r="C406" s="57" t="s">
        <v>369</v>
      </c>
      <c r="D406" s="58" t="s">
        <v>368</v>
      </c>
      <c r="E406" s="58"/>
      <c r="F406" s="58"/>
      <c r="G406" s="58"/>
      <c r="H406" s="61"/>
      <c r="I406" s="61"/>
      <c r="J406" s="51"/>
      <c r="K406" s="34"/>
      <c r="L406" s="63"/>
      <c r="M406" s="61"/>
      <c r="N406" s="29"/>
      <c r="O406" s="89"/>
      <c r="P406" s="51"/>
      <c r="Q406" s="29"/>
      <c r="R406" s="89"/>
      <c r="S406" s="51"/>
      <c r="T406" s="89"/>
      <c r="U406" s="86"/>
      <c r="V406" s="29"/>
      <c r="W406" s="29"/>
      <c r="X406" s="29"/>
    </row>
    <row r="407" spans="2:24" x14ac:dyDescent="0.2">
      <c r="B407" s="58"/>
      <c r="C407" s="58"/>
      <c r="D407" s="58"/>
      <c r="E407" s="58"/>
      <c r="F407" s="58"/>
      <c r="G407" s="58"/>
      <c r="H407" s="61"/>
      <c r="I407" s="61"/>
      <c r="J407" s="51"/>
      <c r="K407" s="34"/>
      <c r="L407" s="63"/>
      <c r="M407" s="61"/>
      <c r="N407" s="29"/>
      <c r="O407" s="89"/>
      <c r="P407" s="51"/>
      <c r="Q407" s="29"/>
      <c r="R407" s="89"/>
      <c r="S407" s="51"/>
      <c r="T407" s="89"/>
      <c r="U407" s="86"/>
      <c r="V407" s="29"/>
      <c r="W407" s="29"/>
      <c r="X407" s="29"/>
    </row>
    <row r="408" spans="2:24" x14ac:dyDescent="0.2">
      <c r="B408" s="58"/>
      <c r="C408" s="58"/>
      <c r="D408" s="73" t="s">
        <v>55</v>
      </c>
      <c r="E408" s="59" t="s">
        <v>44</v>
      </c>
      <c r="F408" s="37"/>
      <c r="G408" s="62"/>
      <c r="H408" s="61"/>
      <c r="I408" s="61"/>
      <c r="J408" s="51"/>
      <c r="K408" s="34"/>
      <c r="L408" s="63"/>
      <c r="M408" s="61"/>
      <c r="N408" s="29"/>
      <c r="O408" s="89"/>
      <c r="P408" s="51"/>
      <c r="Q408" s="29"/>
      <c r="R408" s="89"/>
      <c r="S408" s="51"/>
      <c r="T408" s="89"/>
      <c r="U408" s="86"/>
      <c r="V408" s="29"/>
      <c r="W408" s="29"/>
      <c r="X408" s="29"/>
    </row>
    <row r="409" spans="2:24" x14ac:dyDescent="0.2">
      <c r="B409" s="29"/>
      <c r="C409" s="29"/>
      <c r="D409" s="197">
        <v>80</v>
      </c>
      <c r="E409" s="91">
        <v>5</v>
      </c>
      <c r="F409" s="61"/>
      <c r="G409" s="195" t="s">
        <v>544</v>
      </c>
      <c r="H409" s="61"/>
      <c r="I409" s="61"/>
      <c r="J409" s="51"/>
      <c r="K409" s="34"/>
      <c r="L409" s="63"/>
      <c r="M409" s="61"/>
      <c r="N409" s="29"/>
      <c r="O409" s="89"/>
      <c r="P409" s="51"/>
      <c r="Q409" s="29"/>
      <c r="R409" s="89"/>
      <c r="S409" s="51"/>
      <c r="T409" s="89"/>
      <c r="U409" s="86"/>
      <c r="V409" s="29"/>
      <c r="W409" s="29"/>
      <c r="X409" s="29"/>
    </row>
    <row r="410" spans="2:24" x14ac:dyDescent="0.2">
      <c r="B410" s="29"/>
      <c r="C410" s="29"/>
      <c r="D410" s="197"/>
      <c r="E410" s="91"/>
      <c r="F410" s="61"/>
      <c r="G410" s="34"/>
      <c r="H410" s="61"/>
      <c r="I410" s="61"/>
      <c r="J410" s="51"/>
      <c r="K410" s="34"/>
      <c r="L410" s="63"/>
      <c r="M410" s="61"/>
      <c r="N410" s="29"/>
      <c r="O410" s="89"/>
      <c r="P410" s="51"/>
      <c r="Q410" s="29"/>
      <c r="R410" s="89"/>
      <c r="S410" s="51"/>
      <c r="T410" s="89"/>
      <c r="U410" s="86"/>
      <c r="V410" s="29"/>
      <c r="W410" s="29"/>
      <c r="X410" s="29"/>
    </row>
    <row r="411" spans="2:24" x14ac:dyDescent="0.2">
      <c r="B411" s="29"/>
      <c r="C411" s="29"/>
      <c r="D411" s="53" t="s">
        <v>41</v>
      </c>
      <c r="E411" s="79">
        <f>SUM(E409:E410)</f>
        <v>5</v>
      </c>
      <c r="F411" s="61"/>
      <c r="G411" s="34"/>
      <c r="H411" s="61"/>
      <c r="I411" s="61"/>
      <c r="J411" s="51"/>
      <c r="K411" s="34"/>
      <c r="L411" s="63"/>
      <c r="M411" s="61"/>
      <c r="N411" s="29"/>
      <c r="O411" s="89"/>
      <c r="P411" s="51"/>
      <c r="Q411" s="29"/>
      <c r="R411" s="89"/>
      <c r="S411" s="51"/>
      <c r="T411" s="89"/>
      <c r="U411" s="86"/>
      <c r="V411" s="29"/>
      <c r="W411" s="29"/>
      <c r="X411" s="29"/>
    </row>
    <row r="412" spans="2:24" x14ac:dyDescent="0.2">
      <c r="B412" s="29"/>
      <c r="C412" s="29"/>
      <c r="D412" s="53"/>
      <c r="E412" s="79"/>
      <c r="F412" s="61"/>
      <c r="G412" s="34"/>
      <c r="H412" s="61"/>
      <c r="I412" s="61"/>
      <c r="J412" s="51"/>
      <c r="K412" s="34"/>
      <c r="L412" s="63"/>
      <c r="M412" s="61"/>
      <c r="N412" s="29"/>
      <c r="O412" s="89"/>
      <c r="P412" s="51"/>
      <c r="Q412" s="29"/>
      <c r="R412" s="89"/>
      <c r="S412" s="51"/>
      <c r="T412" s="89"/>
      <c r="U412" s="86"/>
      <c r="V412" s="29"/>
      <c r="W412" s="29"/>
      <c r="X412" s="29"/>
    </row>
    <row r="413" spans="2:24" x14ac:dyDescent="0.2">
      <c r="B413" s="58" t="s">
        <v>367</v>
      </c>
      <c r="C413" s="57">
        <v>90844</v>
      </c>
      <c r="D413" s="58" t="s">
        <v>553</v>
      </c>
      <c r="E413" s="79"/>
      <c r="F413" s="61"/>
      <c r="G413" s="34"/>
      <c r="H413" s="61"/>
      <c r="I413" s="61"/>
      <c r="J413" s="51"/>
      <c r="K413" s="34"/>
      <c r="L413" s="63"/>
      <c r="M413" s="61"/>
      <c r="N413" s="29"/>
      <c r="O413" s="89"/>
      <c r="P413" s="51"/>
      <c r="Q413" s="29"/>
      <c r="R413" s="89"/>
      <c r="S413" s="51"/>
      <c r="T413" s="89"/>
      <c r="U413" s="86"/>
      <c r="V413" s="29"/>
      <c r="W413" s="29"/>
      <c r="X413" s="29"/>
    </row>
    <row r="414" spans="2:24" x14ac:dyDescent="0.2">
      <c r="B414" s="29"/>
      <c r="C414" s="29"/>
      <c r="D414" s="53"/>
      <c r="E414" s="79"/>
      <c r="F414" s="61"/>
      <c r="G414" s="34"/>
      <c r="H414" s="61"/>
      <c r="I414" s="61"/>
      <c r="J414" s="51"/>
      <c r="K414" s="34"/>
      <c r="L414" s="63"/>
      <c r="M414" s="61"/>
      <c r="N414" s="29"/>
      <c r="O414" s="89"/>
      <c r="P414" s="51"/>
      <c r="Q414" s="29"/>
      <c r="R414" s="89"/>
      <c r="S414" s="51"/>
      <c r="T414" s="89"/>
      <c r="U414" s="86"/>
      <c r="V414" s="29"/>
      <c r="W414" s="29"/>
      <c r="X414" s="29"/>
    </row>
    <row r="415" spans="2:24" x14ac:dyDescent="0.2">
      <c r="B415" s="29"/>
      <c r="C415" s="29"/>
      <c r="D415" s="73" t="s">
        <v>55</v>
      </c>
      <c r="E415" s="59" t="s">
        <v>44</v>
      </c>
      <c r="F415" s="61"/>
      <c r="G415" s="34"/>
      <c r="H415" s="61"/>
      <c r="I415" s="61"/>
      <c r="J415" s="51"/>
      <c r="K415" s="34"/>
      <c r="L415" s="63"/>
      <c r="M415" s="61"/>
      <c r="N415" s="29"/>
      <c r="O415" s="89"/>
      <c r="P415" s="51"/>
      <c r="Q415" s="29"/>
      <c r="R415" s="89"/>
      <c r="S415" s="51"/>
      <c r="T415" s="89"/>
      <c r="U415" s="86"/>
      <c r="V415" s="29"/>
      <c r="W415" s="29"/>
      <c r="X415" s="29"/>
    </row>
    <row r="416" spans="2:24" x14ac:dyDescent="0.2">
      <c r="B416" s="29"/>
      <c r="C416" s="29"/>
      <c r="D416" s="197">
        <v>90</v>
      </c>
      <c r="E416" s="91">
        <v>2</v>
      </c>
      <c r="F416" s="61"/>
      <c r="G416" s="195" t="s">
        <v>554</v>
      </c>
      <c r="H416" s="61"/>
      <c r="I416" s="61"/>
      <c r="J416" s="51"/>
      <c r="K416" s="34"/>
      <c r="L416" s="63"/>
      <c r="M416" s="61"/>
      <c r="N416" s="29"/>
      <c r="O416" s="89"/>
      <c r="P416" s="51"/>
      <c r="Q416" s="29"/>
      <c r="R416" s="89"/>
      <c r="S416" s="51"/>
      <c r="T416" s="89"/>
      <c r="U416" s="86"/>
      <c r="V416" s="29"/>
      <c r="W416" s="29"/>
      <c r="X416" s="29"/>
    </row>
    <row r="417" spans="2:24" x14ac:dyDescent="0.2">
      <c r="B417" s="29"/>
      <c r="C417" s="29"/>
      <c r="D417" s="197"/>
      <c r="E417" s="91"/>
      <c r="F417" s="61"/>
      <c r="G417" s="34"/>
      <c r="H417" s="61"/>
      <c r="I417" s="61"/>
      <c r="J417" s="51"/>
      <c r="K417" s="34"/>
      <c r="L417" s="63"/>
      <c r="M417" s="61"/>
      <c r="N417" s="29"/>
      <c r="O417" s="89"/>
      <c r="P417" s="51"/>
      <c r="Q417" s="29"/>
      <c r="R417" s="89"/>
      <c r="S417" s="51"/>
      <c r="T417" s="89"/>
      <c r="U417" s="86"/>
      <c r="V417" s="29"/>
      <c r="W417" s="29"/>
      <c r="X417" s="29"/>
    </row>
    <row r="418" spans="2:24" x14ac:dyDescent="0.2">
      <c r="B418" s="29"/>
      <c r="C418" s="29"/>
      <c r="D418" s="53" t="s">
        <v>41</v>
      </c>
      <c r="E418" s="79">
        <f>SUM(E416:E417)</f>
        <v>2</v>
      </c>
      <c r="F418" s="61"/>
      <c r="G418" s="34"/>
      <c r="H418" s="61"/>
      <c r="I418" s="61"/>
      <c r="J418" s="51"/>
      <c r="K418" s="34"/>
      <c r="L418" s="63"/>
      <c r="M418" s="61"/>
      <c r="N418" s="29"/>
      <c r="O418" s="89"/>
      <c r="P418" s="51"/>
      <c r="Q418" s="29"/>
      <c r="R418" s="89"/>
      <c r="S418" s="51"/>
      <c r="T418" s="89"/>
      <c r="U418" s="86"/>
      <c r="V418" s="29"/>
      <c r="W418" s="29"/>
      <c r="X418" s="29"/>
    </row>
    <row r="419" spans="2:24" x14ac:dyDescent="0.2">
      <c r="B419" s="29"/>
      <c r="C419" s="29"/>
      <c r="D419" s="61"/>
      <c r="E419" s="90"/>
      <c r="F419" s="61"/>
      <c r="G419" s="34"/>
      <c r="H419" s="61"/>
      <c r="I419" s="61"/>
      <c r="J419" s="51"/>
      <c r="K419" s="34"/>
      <c r="L419" s="63"/>
      <c r="M419" s="61"/>
      <c r="N419" s="29"/>
      <c r="O419" s="89"/>
      <c r="P419" s="51"/>
      <c r="Q419" s="29"/>
      <c r="R419" s="89"/>
      <c r="S419" s="51"/>
      <c r="T419" s="89"/>
      <c r="U419" s="86"/>
      <c r="V419" s="29"/>
      <c r="W419" s="29"/>
      <c r="X419" s="29"/>
    </row>
    <row r="420" spans="2:24" x14ac:dyDescent="0.2">
      <c r="B420" s="58" t="s">
        <v>371</v>
      </c>
      <c r="C420" s="57" t="s">
        <v>373</v>
      </c>
      <c r="D420" s="58" t="s">
        <v>372</v>
      </c>
      <c r="E420" s="58"/>
      <c r="F420" s="61"/>
      <c r="G420" s="34"/>
      <c r="H420" s="61"/>
      <c r="I420" s="61"/>
      <c r="J420" s="51"/>
      <c r="K420" s="34"/>
      <c r="L420" s="63"/>
      <c r="M420" s="61"/>
      <c r="N420" s="29"/>
      <c r="O420" s="89"/>
      <c r="P420" s="51"/>
      <c r="Q420" s="29"/>
      <c r="R420" s="89"/>
      <c r="S420" s="51"/>
      <c r="T420" s="89"/>
      <c r="U420" s="86"/>
      <c r="V420" s="29"/>
      <c r="W420" s="29"/>
      <c r="X420" s="29"/>
    </row>
    <row r="421" spans="2:24" x14ac:dyDescent="0.2">
      <c r="B421" s="58"/>
      <c r="C421" s="58"/>
      <c r="D421" s="58"/>
      <c r="E421" s="58"/>
      <c r="F421" s="61"/>
      <c r="G421" s="34"/>
      <c r="H421" s="61"/>
      <c r="I421" s="61"/>
      <c r="J421" s="51"/>
      <c r="K421" s="34"/>
      <c r="L421" s="63"/>
      <c r="M421" s="61"/>
      <c r="N421" s="29"/>
      <c r="O421" s="89"/>
      <c r="P421" s="51"/>
      <c r="Q421" s="29"/>
      <c r="R421" s="89"/>
      <c r="S421" s="51"/>
      <c r="T421" s="89"/>
      <c r="U421" s="86"/>
      <c r="V421" s="29"/>
      <c r="W421" s="29"/>
      <c r="X421" s="29"/>
    </row>
    <row r="422" spans="2:24" x14ac:dyDescent="0.2">
      <c r="B422" s="58"/>
      <c r="C422" s="58"/>
      <c r="D422" s="73" t="s">
        <v>55</v>
      </c>
      <c r="E422" s="59" t="s">
        <v>44</v>
      </c>
      <c r="F422" s="61"/>
      <c r="G422" s="34"/>
      <c r="H422" s="61"/>
      <c r="I422" s="61"/>
      <c r="J422" s="51"/>
      <c r="K422" s="34"/>
      <c r="L422" s="63"/>
      <c r="M422" s="61"/>
      <c r="N422" s="29"/>
      <c r="O422" s="89"/>
      <c r="P422" s="51"/>
      <c r="Q422" s="29"/>
      <c r="R422" s="89"/>
      <c r="S422" s="51"/>
      <c r="T422" s="89"/>
      <c r="U422" s="86"/>
      <c r="V422" s="29"/>
      <c r="W422" s="29"/>
      <c r="X422" s="29"/>
    </row>
    <row r="423" spans="2:24" x14ac:dyDescent="0.2">
      <c r="B423" s="29"/>
      <c r="C423" s="29"/>
      <c r="D423" s="197" t="s">
        <v>545</v>
      </c>
      <c r="E423" s="91">
        <v>1</v>
      </c>
      <c r="F423" s="61"/>
      <c r="G423" s="56" t="s">
        <v>623</v>
      </c>
      <c r="H423" s="61"/>
      <c r="I423" s="61"/>
      <c r="J423" s="51"/>
      <c r="K423" s="34"/>
      <c r="L423" s="63"/>
      <c r="M423" s="61"/>
      <c r="N423" s="29"/>
      <c r="O423" s="89"/>
      <c r="P423" s="51"/>
      <c r="Q423" s="29"/>
      <c r="R423" s="89"/>
      <c r="S423" s="51"/>
      <c r="T423" s="89"/>
      <c r="U423" s="86"/>
      <c r="V423" s="29"/>
      <c r="W423" s="29"/>
      <c r="X423" s="29"/>
    </row>
    <row r="424" spans="2:24" x14ac:dyDescent="0.2">
      <c r="B424" s="29"/>
      <c r="C424" s="29"/>
      <c r="D424" s="61" t="s">
        <v>546</v>
      </c>
      <c r="E424" s="91">
        <v>1</v>
      </c>
      <c r="F424" s="61"/>
      <c r="G424" s="34"/>
      <c r="H424" s="61"/>
      <c r="I424" s="61"/>
      <c r="J424" s="51"/>
      <c r="K424" s="34"/>
      <c r="L424" s="63"/>
      <c r="M424" s="61"/>
      <c r="N424" s="29"/>
      <c r="O424" s="89"/>
      <c r="P424" s="51"/>
      <c r="Q424" s="29"/>
      <c r="R424" s="89"/>
      <c r="S424" s="51"/>
      <c r="T424" s="89"/>
      <c r="U424" s="86"/>
      <c r="V424" s="29"/>
      <c r="W424" s="29"/>
      <c r="X424" s="29"/>
    </row>
    <row r="425" spans="2:24" x14ac:dyDescent="0.2">
      <c r="B425" s="29"/>
      <c r="C425" s="29"/>
      <c r="D425" s="61" t="s">
        <v>547</v>
      </c>
      <c r="E425" s="91">
        <v>1</v>
      </c>
      <c r="F425" s="61"/>
      <c r="G425" s="34"/>
      <c r="H425" s="61"/>
      <c r="I425" s="61"/>
      <c r="J425" s="51"/>
      <c r="K425" s="34"/>
      <c r="L425" s="63"/>
      <c r="M425" s="61"/>
      <c r="N425" s="29"/>
      <c r="O425" s="89"/>
      <c r="P425" s="51"/>
      <c r="Q425" s="29"/>
      <c r="R425" s="89"/>
      <c r="S425" s="51"/>
      <c r="T425" s="89"/>
      <c r="U425" s="86"/>
      <c r="V425" s="29"/>
      <c r="W425" s="29"/>
      <c r="X425" s="29"/>
    </row>
    <row r="426" spans="2:24" x14ac:dyDescent="0.2">
      <c r="B426" s="29"/>
      <c r="C426" s="29"/>
      <c r="D426" s="61"/>
      <c r="E426" s="91"/>
      <c r="F426" s="61"/>
      <c r="G426" s="34"/>
      <c r="H426" s="61"/>
      <c r="I426" s="61"/>
      <c r="J426" s="51"/>
      <c r="K426" s="34"/>
      <c r="L426" s="63"/>
      <c r="M426" s="61"/>
      <c r="N426" s="29"/>
      <c r="O426" s="89"/>
      <c r="P426" s="51"/>
      <c r="Q426" s="29"/>
      <c r="R426" s="89"/>
      <c r="S426" s="51"/>
      <c r="T426" s="89"/>
      <c r="U426" s="86"/>
      <c r="V426" s="29"/>
      <c r="W426" s="29"/>
      <c r="X426" s="29"/>
    </row>
    <row r="427" spans="2:24" x14ac:dyDescent="0.2">
      <c r="B427" s="29"/>
      <c r="C427" s="29"/>
      <c r="D427" s="53" t="s">
        <v>41</v>
      </c>
      <c r="E427" s="79">
        <f>SUM(E423:E425)</f>
        <v>3</v>
      </c>
      <c r="F427" s="61"/>
      <c r="G427" s="34"/>
      <c r="H427" s="61"/>
      <c r="I427" s="61"/>
      <c r="J427" s="51"/>
      <c r="K427" s="34"/>
      <c r="L427" s="63"/>
      <c r="M427" s="61"/>
      <c r="N427" s="29"/>
      <c r="O427" s="89"/>
      <c r="P427" s="51"/>
      <c r="Q427" s="29"/>
      <c r="R427" s="89"/>
      <c r="S427" s="51"/>
      <c r="T427" s="89"/>
      <c r="U427" s="86"/>
      <c r="V427" s="29"/>
      <c r="W427" s="29"/>
      <c r="X427" s="29"/>
    </row>
    <row r="428" spans="2:24" x14ac:dyDescent="0.2">
      <c r="B428" s="29"/>
      <c r="C428" s="29"/>
      <c r="D428" s="61"/>
      <c r="E428" s="90"/>
      <c r="F428" s="61"/>
      <c r="G428" s="34"/>
      <c r="H428" s="61"/>
      <c r="I428" s="61"/>
      <c r="J428" s="51"/>
      <c r="K428" s="34"/>
      <c r="L428" s="63"/>
      <c r="M428" s="61"/>
      <c r="N428" s="29"/>
      <c r="O428" s="89"/>
      <c r="P428" s="51"/>
      <c r="Q428" s="29"/>
      <c r="R428" s="89"/>
      <c r="S428" s="51"/>
      <c r="T428" s="89"/>
      <c r="U428" s="86"/>
      <c r="V428" s="29"/>
      <c r="W428" s="29"/>
      <c r="X428" s="29"/>
    </row>
    <row r="429" spans="2:24" x14ac:dyDescent="0.2">
      <c r="B429" s="58" t="s">
        <v>555</v>
      </c>
      <c r="C429" s="57" t="s">
        <v>209</v>
      </c>
      <c r="D429" s="58" t="s">
        <v>374</v>
      </c>
      <c r="E429" s="58"/>
      <c r="F429" s="61"/>
      <c r="G429" s="34"/>
      <c r="H429" s="61"/>
      <c r="I429" s="61"/>
      <c r="J429" s="51"/>
      <c r="K429" s="34"/>
      <c r="L429" s="63"/>
      <c r="M429" s="61"/>
      <c r="N429" s="29"/>
      <c r="O429" s="89"/>
      <c r="P429" s="51"/>
      <c r="Q429" s="29"/>
      <c r="R429" s="89"/>
      <c r="S429" s="51"/>
      <c r="T429" s="89"/>
      <c r="U429" s="86"/>
      <c r="V429" s="29"/>
      <c r="W429" s="29"/>
      <c r="X429" s="29"/>
    </row>
    <row r="430" spans="2:24" x14ac:dyDescent="0.2">
      <c r="B430" s="58"/>
      <c r="C430" s="58"/>
      <c r="D430" s="58"/>
      <c r="E430" s="58"/>
      <c r="F430" s="61"/>
      <c r="G430" s="34"/>
      <c r="H430" s="61"/>
      <c r="I430" s="61"/>
      <c r="J430" s="51"/>
      <c r="K430" s="34"/>
      <c r="L430" s="63"/>
      <c r="M430" s="61"/>
      <c r="N430" s="29"/>
      <c r="O430" s="89"/>
      <c r="P430" s="51"/>
      <c r="Q430" s="29"/>
      <c r="R430" s="89"/>
      <c r="S430" s="51"/>
      <c r="T430" s="89"/>
      <c r="U430" s="86"/>
      <c r="V430" s="29"/>
      <c r="W430" s="29"/>
      <c r="X430" s="29"/>
    </row>
    <row r="431" spans="2:24" x14ac:dyDescent="0.2">
      <c r="B431" s="58"/>
      <c r="C431" s="58"/>
      <c r="D431" s="73" t="s">
        <v>55</v>
      </c>
      <c r="E431" s="59" t="s">
        <v>44</v>
      </c>
      <c r="F431" s="61"/>
      <c r="G431" s="34"/>
      <c r="H431" s="61"/>
      <c r="I431" s="61"/>
      <c r="J431" s="51"/>
      <c r="K431" s="34"/>
      <c r="L431" s="63"/>
      <c r="M431" s="61"/>
      <c r="N431" s="29"/>
      <c r="O431" s="89"/>
      <c r="P431" s="51"/>
      <c r="Q431" s="29"/>
      <c r="R431" s="89"/>
      <c r="S431" s="51"/>
      <c r="T431" s="89"/>
      <c r="U431" s="86"/>
      <c r="V431" s="29"/>
      <c r="W431" s="29"/>
      <c r="X431" s="29"/>
    </row>
    <row r="432" spans="2:24" x14ac:dyDescent="0.2">
      <c r="B432" s="29"/>
      <c r="C432" s="29"/>
      <c r="D432" s="61" t="s">
        <v>450</v>
      </c>
      <c r="E432" s="91">
        <v>1</v>
      </c>
      <c r="F432" s="61"/>
      <c r="G432" s="34"/>
      <c r="H432" s="61"/>
      <c r="I432" s="61"/>
      <c r="J432" s="51"/>
      <c r="K432" s="34"/>
      <c r="L432" s="63"/>
      <c r="M432" s="61"/>
      <c r="N432" s="29"/>
      <c r="O432" s="89"/>
      <c r="P432" s="51"/>
      <c r="Q432" s="29"/>
      <c r="R432" s="89"/>
      <c r="S432" s="51"/>
      <c r="T432" s="89"/>
      <c r="U432" s="86"/>
      <c r="V432" s="29"/>
      <c r="W432" s="29"/>
      <c r="X432" s="29"/>
    </row>
    <row r="433" spans="2:24" x14ac:dyDescent="0.2">
      <c r="B433" s="29"/>
      <c r="C433" s="29"/>
      <c r="D433" s="61"/>
      <c r="E433" s="91"/>
      <c r="F433" s="61"/>
      <c r="G433" s="34"/>
      <c r="H433" s="61"/>
      <c r="I433" s="61"/>
      <c r="J433" s="51"/>
      <c r="K433" s="34"/>
      <c r="L433" s="63"/>
      <c r="M433" s="61"/>
      <c r="N433" s="29"/>
      <c r="O433" s="89"/>
      <c r="P433" s="51"/>
      <c r="Q433" s="29"/>
      <c r="R433" s="89"/>
      <c r="S433" s="51"/>
      <c r="T433" s="89"/>
      <c r="U433" s="86"/>
      <c r="V433" s="29"/>
      <c r="W433" s="29"/>
      <c r="X433" s="29"/>
    </row>
    <row r="434" spans="2:24" x14ac:dyDescent="0.2">
      <c r="B434" s="29"/>
      <c r="C434" s="29"/>
      <c r="D434" s="53" t="s">
        <v>41</v>
      </c>
      <c r="E434" s="79">
        <f>SUM(E432:E433)</f>
        <v>1</v>
      </c>
      <c r="F434" s="61"/>
      <c r="G434" s="34"/>
      <c r="H434" s="61"/>
      <c r="I434" s="61"/>
      <c r="J434" s="51"/>
      <c r="K434" s="34"/>
      <c r="L434" s="63"/>
      <c r="M434" s="61"/>
      <c r="N434" s="29"/>
      <c r="O434" s="89"/>
      <c r="P434" s="51"/>
      <c r="Q434" s="29"/>
      <c r="R434" s="89"/>
      <c r="S434" s="51"/>
      <c r="T434" s="89"/>
      <c r="U434" s="86"/>
      <c r="V434" s="29"/>
      <c r="W434" s="29"/>
      <c r="X434" s="29"/>
    </row>
    <row r="435" spans="2:24" x14ac:dyDescent="0.2">
      <c r="B435" s="29"/>
      <c r="C435" s="29"/>
      <c r="D435" s="53"/>
      <c r="E435" s="79"/>
      <c r="F435" s="61"/>
      <c r="G435" s="34"/>
      <c r="H435" s="61"/>
      <c r="I435" s="61"/>
      <c r="J435" s="51"/>
      <c r="K435" s="34"/>
      <c r="L435" s="63"/>
      <c r="M435" s="61"/>
      <c r="N435" s="29"/>
      <c r="O435" s="89"/>
      <c r="P435" s="51"/>
      <c r="Q435" s="29"/>
      <c r="R435" s="89"/>
      <c r="S435" s="51"/>
      <c r="T435" s="89"/>
      <c r="U435" s="86"/>
      <c r="V435" s="29"/>
      <c r="W435" s="29"/>
      <c r="X435" s="29"/>
    </row>
    <row r="436" spans="2:24" x14ac:dyDescent="0.2">
      <c r="B436" s="58" t="s">
        <v>556</v>
      </c>
      <c r="C436" s="57" t="s">
        <v>557</v>
      </c>
      <c r="D436" s="58" t="s">
        <v>558</v>
      </c>
      <c r="E436" s="79"/>
      <c r="F436" s="61"/>
      <c r="G436" s="34"/>
      <c r="H436" s="61"/>
      <c r="I436" s="61"/>
      <c r="J436" s="51"/>
      <c r="K436" s="34"/>
      <c r="L436" s="63"/>
      <c r="M436" s="61"/>
      <c r="N436" s="29"/>
      <c r="O436" s="89"/>
      <c r="P436" s="51"/>
      <c r="Q436" s="29"/>
      <c r="R436" s="89"/>
      <c r="S436" s="51"/>
      <c r="T436" s="89"/>
      <c r="U436" s="86"/>
      <c r="V436" s="29"/>
      <c r="W436" s="29"/>
      <c r="X436" s="29"/>
    </row>
    <row r="437" spans="2:24" x14ac:dyDescent="0.2">
      <c r="B437" s="29"/>
      <c r="C437" s="29"/>
      <c r="D437" s="53"/>
      <c r="E437" s="79"/>
      <c r="F437" s="61"/>
      <c r="G437" s="34"/>
      <c r="H437" s="61"/>
      <c r="I437" s="61"/>
      <c r="J437" s="51"/>
      <c r="K437" s="34"/>
      <c r="L437" s="63"/>
      <c r="M437" s="61"/>
      <c r="N437" s="29"/>
      <c r="O437" s="89"/>
      <c r="P437" s="51"/>
      <c r="Q437" s="29"/>
      <c r="R437" s="89"/>
      <c r="S437" s="51"/>
      <c r="T437" s="89"/>
      <c r="U437" s="86"/>
      <c r="V437" s="29"/>
      <c r="W437" s="29"/>
      <c r="X437" s="29"/>
    </row>
    <row r="438" spans="2:24" x14ac:dyDescent="0.2">
      <c r="B438" s="29"/>
      <c r="C438" s="29"/>
      <c r="D438" s="73" t="s">
        <v>55</v>
      </c>
      <c r="E438" s="59" t="s">
        <v>44</v>
      </c>
      <c r="F438" s="61"/>
      <c r="G438" s="195" t="s">
        <v>592</v>
      </c>
      <c r="H438" s="61"/>
      <c r="I438" s="61"/>
      <c r="J438" s="51"/>
      <c r="K438" s="34"/>
      <c r="L438" s="63"/>
      <c r="M438" s="61"/>
      <c r="N438" s="29"/>
      <c r="O438" s="89"/>
      <c r="P438" s="51"/>
      <c r="Q438" s="29"/>
      <c r="R438" s="89"/>
      <c r="S438" s="51"/>
      <c r="T438" s="89"/>
      <c r="U438" s="86"/>
      <c r="V438" s="29"/>
      <c r="W438" s="29"/>
      <c r="X438" s="29"/>
    </row>
    <row r="439" spans="2:24" ht="15.75" customHeight="1" x14ac:dyDescent="0.2">
      <c r="B439" s="29"/>
      <c r="C439" s="29"/>
      <c r="D439" s="210">
        <v>80</v>
      </c>
      <c r="E439" s="91">
        <v>1</v>
      </c>
      <c r="F439" s="61"/>
      <c r="G439" s="34"/>
      <c r="H439" s="61"/>
      <c r="I439" s="61"/>
      <c r="J439" s="51"/>
      <c r="K439" s="34"/>
      <c r="L439" s="63"/>
      <c r="M439" s="61"/>
      <c r="N439" s="29"/>
      <c r="O439" s="89"/>
      <c r="P439" s="51"/>
      <c r="Q439" s="29"/>
      <c r="R439" s="89"/>
      <c r="S439" s="51"/>
      <c r="T439" s="89"/>
      <c r="U439" s="86"/>
      <c r="V439" s="29"/>
      <c r="W439" s="29"/>
      <c r="X439" s="29"/>
    </row>
    <row r="440" spans="2:24" x14ac:dyDescent="0.2">
      <c r="B440" s="29"/>
      <c r="C440" s="29"/>
      <c r="D440" s="210">
        <v>90</v>
      </c>
      <c r="E440" s="91">
        <v>2</v>
      </c>
      <c r="F440" s="61"/>
      <c r="G440" s="34"/>
      <c r="H440" s="61"/>
      <c r="I440" s="61"/>
      <c r="J440" s="51"/>
      <c r="K440" s="34"/>
      <c r="L440" s="63"/>
      <c r="M440" s="61"/>
      <c r="N440" s="29"/>
      <c r="O440" s="89"/>
      <c r="P440" s="51"/>
      <c r="Q440" s="29"/>
      <c r="R440" s="89"/>
      <c r="S440" s="51"/>
      <c r="T440" s="89"/>
      <c r="U440" s="86"/>
      <c r="V440" s="29"/>
      <c r="W440" s="29"/>
      <c r="X440" s="29"/>
    </row>
    <row r="441" spans="2:24" x14ac:dyDescent="0.2">
      <c r="B441" s="29"/>
      <c r="C441" s="29"/>
      <c r="D441" s="75"/>
      <c r="E441" s="91"/>
      <c r="F441" s="61"/>
      <c r="G441" s="34"/>
      <c r="H441" s="61"/>
      <c r="I441" s="61"/>
      <c r="J441" s="51"/>
      <c r="K441" s="34"/>
      <c r="L441" s="63"/>
      <c r="M441" s="61"/>
      <c r="N441" s="29"/>
      <c r="O441" s="89"/>
      <c r="P441" s="51"/>
      <c r="Q441" s="29"/>
      <c r="R441" s="89"/>
      <c r="S441" s="51"/>
      <c r="T441" s="89"/>
      <c r="U441" s="86"/>
      <c r="V441" s="29"/>
      <c r="W441" s="29"/>
      <c r="X441" s="29"/>
    </row>
    <row r="442" spans="2:24" x14ac:dyDescent="0.2">
      <c r="B442" s="29"/>
      <c r="C442" s="29"/>
      <c r="D442" s="53" t="s">
        <v>41</v>
      </c>
      <c r="E442" s="79">
        <f>SUM(E439:E440)</f>
        <v>3</v>
      </c>
      <c r="F442" s="61"/>
      <c r="G442" s="34"/>
      <c r="H442" s="61"/>
      <c r="I442" s="61"/>
      <c r="J442" s="51"/>
      <c r="K442" s="34"/>
      <c r="L442" s="63"/>
      <c r="M442" s="61"/>
      <c r="N442" s="29"/>
      <c r="O442" s="89"/>
      <c r="P442" s="51"/>
      <c r="Q442" s="29"/>
      <c r="R442" s="89"/>
      <c r="S442" s="51"/>
      <c r="T442" s="89"/>
      <c r="U442" s="86"/>
      <c r="V442" s="29"/>
      <c r="W442" s="29"/>
      <c r="X442" s="29"/>
    </row>
    <row r="443" spans="2:24" x14ac:dyDescent="0.2">
      <c r="B443" s="29"/>
      <c r="C443" s="29"/>
      <c r="D443" s="53"/>
      <c r="E443" s="79"/>
      <c r="F443" s="61"/>
      <c r="G443" s="34"/>
      <c r="H443" s="61"/>
      <c r="I443" s="61"/>
      <c r="J443" s="51"/>
      <c r="K443" s="34"/>
      <c r="L443" s="63"/>
      <c r="M443" s="61"/>
      <c r="N443" s="29"/>
      <c r="O443" s="89"/>
      <c r="P443" s="51"/>
      <c r="Q443" s="29"/>
      <c r="R443" s="89"/>
      <c r="S443" s="51"/>
      <c r="T443" s="89"/>
      <c r="U443" s="86"/>
      <c r="V443" s="29"/>
      <c r="W443" s="29"/>
      <c r="X443" s="29"/>
    </row>
    <row r="444" spans="2:24" x14ac:dyDescent="0.2">
      <c r="B444" s="58" t="s">
        <v>588</v>
      </c>
      <c r="C444" s="57" t="s">
        <v>589</v>
      </c>
      <c r="D444" s="58" t="s">
        <v>590</v>
      </c>
      <c r="E444" s="79"/>
      <c r="F444" s="61"/>
      <c r="G444" s="34"/>
      <c r="H444" s="61"/>
      <c r="I444" s="61"/>
      <c r="J444" s="51"/>
      <c r="K444" s="34"/>
      <c r="L444" s="63"/>
      <c r="M444" s="61"/>
      <c r="N444" s="29"/>
      <c r="O444" s="89"/>
      <c r="P444" s="51"/>
      <c r="Q444" s="29"/>
      <c r="R444" s="89"/>
      <c r="S444" s="51"/>
      <c r="T444" s="89"/>
      <c r="U444" s="86"/>
      <c r="V444" s="29"/>
      <c r="W444" s="29"/>
      <c r="X444" s="29"/>
    </row>
    <row r="445" spans="2:24" x14ac:dyDescent="0.2">
      <c r="B445" s="29"/>
      <c r="C445" s="29"/>
      <c r="D445" s="53"/>
      <c r="E445" s="79"/>
      <c r="F445" s="61"/>
      <c r="G445" s="34"/>
      <c r="H445" s="61"/>
      <c r="I445" s="61"/>
      <c r="J445" s="51"/>
      <c r="K445" s="34"/>
      <c r="L445" s="63"/>
      <c r="M445" s="61"/>
      <c r="N445" s="29"/>
      <c r="O445" s="89"/>
      <c r="P445" s="51"/>
      <c r="Q445" s="29"/>
      <c r="R445" s="89"/>
      <c r="S445" s="51"/>
      <c r="T445" s="89"/>
      <c r="U445" s="86"/>
      <c r="V445" s="29"/>
      <c r="W445" s="29"/>
      <c r="X445" s="29"/>
    </row>
    <row r="446" spans="2:24" x14ac:dyDescent="0.2">
      <c r="B446" s="29"/>
      <c r="C446" s="29"/>
      <c r="D446" s="73" t="s">
        <v>55</v>
      </c>
      <c r="E446" s="59" t="s">
        <v>45</v>
      </c>
      <c r="F446" s="61"/>
      <c r="G446" s="34"/>
      <c r="H446" s="61"/>
      <c r="I446" s="61"/>
      <c r="J446" s="51"/>
      <c r="K446" s="34"/>
      <c r="L446" s="63"/>
      <c r="M446" s="61"/>
      <c r="N446" s="29"/>
      <c r="O446" s="89"/>
      <c r="P446" s="51"/>
      <c r="Q446" s="29"/>
      <c r="R446" s="89"/>
      <c r="S446" s="51"/>
      <c r="T446" s="89"/>
      <c r="U446" s="86"/>
      <c r="V446" s="29"/>
      <c r="W446" s="29"/>
      <c r="X446" s="29"/>
    </row>
    <row r="447" spans="2:24" x14ac:dyDescent="0.2">
      <c r="B447" s="29"/>
      <c r="C447" s="29"/>
      <c r="D447" s="210">
        <v>90</v>
      </c>
      <c r="E447" s="61">
        <v>0.96</v>
      </c>
      <c r="F447" s="61"/>
      <c r="G447" s="195" t="s">
        <v>591</v>
      </c>
      <c r="H447" s="61"/>
      <c r="I447" s="61"/>
      <c r="J447" s="51"/>
      <c r="K447" s="34"/>
      <c r="L447" s="63"/>
      <c r="M447" s="61"/>
      <c r="N447" s="29"/>
      <c r="O447" s="89"/>
      <c r="P447" s="51"/>
      <c r="Q447" s="29"/>
      <c r="R447" s="89"/>
      <c r="S447" s="51"/>
      <c r="T447" s="89"/>
      <c r="U447" s="86"/>
      <c r="V447" s="29"/>
      <c r="W447" s="29"/>
      <c r="X447" s="29"/>
    </row>
    <row r="448" spans="2:24" x14ac:dyDescent="0.2">
      <c r="B448" s="29"/>
      <c r="C448" s="29"/>
      <c r="D448" s="75"/>
      <c r="E448" s="91"/>
      <c r="F448" s="61"/>
      <c r="G448" s="34"/>
      <c r="H448" s="61"/>
      <c r="I448" s="61"/>
      <c r="J448" s="51"/>
      <c r="K448" s="34"/>
      <c r="L448" s="63"/>
      <c r="M448" s="61"/>
      <c r="N448" s="29"/>
      <c r="O448" s="89"/>
      <c r="P448" s="51"/>
      <c r="Q448" s="29"/>
      <c r="R448" s="89"/>
      <c r="S448" s="51"/>
      <c r="T448" s="89"/>
      <c r="U448" s="86"/>
      <c r="V448" s="29"/>
      <c r="W448" s="29"/>
      <c r="X448" s="29"/>
    </row>
    <row r="449" spans="2:24" x14ac:dyDescent="0.2">
      <c r="B449" s="29"/>
      <c r="C449" s="29"/>
      <c r="D449" s="53" t="s">
        <v>41</v>
      </c>
      <c r="E449" s="62">
        <f>SUM(E446:E447)</f>
        <v>0.96</v>
      </c>
      <c r="F449" s="61"/>
      <c r="G449" s="34"/>
      <c r="H449" s="61"/>
      <c r="I449" s="61"/>
      <c r="J449" s="51"/>
      <c r="K449" s="34"/>
      <c r="L449" s="63"/>
      <c r="M449" s="61"/>
      <c r="N449" s="29"/>
      <c r="O449" s="89"/>
      <c r="P449" s="51"/>
      <c r="Q449" s="29"/>
      <c r="R449" s="89"/>
      <c r="S449" s="51"/>
      <c r="T449" s="89"/>
      <c r="U449" s="86"/>
      <c r="V449" s="29"/>
      <c r="W449" s="29"/>
      <c r="X449" s="29"/>
    </row>
    <row r="450" spans="2:24" x14ac:dyDescent="0.2">
      <c r="B450" s="29"/>
      <c r="C450" s="29"/>
      <c r="D450" s="53"/>
      <c r="E450" s="79"/>
      <c r="F450" s="61"/>
      <c r="G450" s="34"/>
      <c r="H450" s="61"/>
      <c r="I450" s="61"/>
      <c r="J450" s="51"/>
      <c r="K450" s="34"/>
      <c r="L450" s="63"/>
      <c r="M450" s="61"/>
      <c r="N450" s="29"/>
      <c r="O450" s="89"/>
      <c r="P450" s="51"/>
      <c r="Q450" s="29"/>
      <c r="R450" s="89"/>
      <c r="S450" s="51"/>
      <c r="T450" s="89"/>
      <c r="U450" s="86"/>
      <c r="V450" s="29"/>
      <c r="W450" s="29"/>
      <c r="X450" s="29"/>
    </row>
    <row r="451" spans="2:24" x14ac:dyDescent="0.2">
      <c r="B451" s="70" t="s">
        <v>81</v>
      </c>
      <c r="C451" s="69"/>
      <c r="D451" s="69" t="s">
        <v>66</v>
      </c>
      <c r="E451" s="69"/>
      <c r="F451" s="69"/>
      <c r="G451" s="69"/>
      <c r="H451" s="69"/>
      <c r="I451" s="69"/>
      <c r="J451" s="69"/>
      <c r="K451" s="69"/>
      <c r="L451" s="69"/>
      <c r="M451" s="69"/>
      <c r="N451" s="69"/>
      <c r="O451" s="69"/>
      <c r="P451" s="69"/>
      <c r="Q451" s="69"/>
      <c r="R451" s="69"/>
      <c r="S451" s="69"/>
      <c r="T451" s="69"/>
      <c r="U451" s="69"/>
      <c r="V451" s="69"/>
      <c r="W451" s="69"/>
      <c r="X451" s="68"/>
    </row>
    <row r="452" spans="2:24" s="49" customFormat="1" x14ac:dyDescent="0.2">
      <c r="B452" s="58"/>
      <c r="C452" s="58"/>
      <c r="D452" s="58"/>
      <c r="E452" s="58"/>
      <c r="F452" s="58"/>
      <c r="G452" s="58"/>
      <c r="H452" s="58"/>
      <c r="I452" s="58"/>
      <c r="J452" s="58"/>
      <c r="K452" s="58"/>
      <c r="L452" s="58"/>
      <c r="M452" s="58"/>
      <c r="N452" s="58"/>
      <c r="O452" s="58"/>
      <c r="P452" s="58"/>
      <c r="Q452" s="58"/>
      <c r="R452" s="58"/>
      <c r="S452" s="58"/>
      <c r="T452" s="58"/>
      <c r="U452" s="58"/>
      <c r="V452" s="58"/>
      <c r="W452" s="58"/>
      <c r="X452" s="58"/>
    </row>
    <row r="453" spans="2:24" x14ac:dyDescent="0.2">
      <c r="B453" s="58" t="s">
        <v>375</v>
      </c>
      <c r="C453" s="57" t="s">
        <v>380</v>
      </c>
      <c r="D453" s="58" t="s">
        <v>390</v>
      </c>
      <c r="E453" s="58"/>
      <c r="F453" s="58"/>
      <c r="G453" s="58"/>
      <c r="H453" s="58"/>
      <c r="I453" s="58"/>
      <c r="J453" s="58"/>
      <c r="K453" s="58"/>
      <c r="L453" s="58"/>
      <c r="M453" s="58"/>
      <c r="N453" s="58"/>
      <c r="O453" s="58"/>
      <c r="P453" s="58"/>
      <c r="Q453" s="58"/>
      <c r="R453" s="58"/>
      <c r="S453" s="58"/>
      <c r="T453" s="58"/>
      <c r="U453" s="58"/>
      <c r="V453" s="58"/>
      <c r="W453" s="58"/>
      <c r="X453" s="58"/>
    </row>
    <row r="454" spans="2:24" x14ac:dyDescent="0.2">
      <c r="B454" s="58"/>
      <c r="C454" s="58"/>
      <c r="D454" s="58"/>
      <c r="E454" s="58"/>
      <c r="F454" s="58"/>
      <c r="G454" s="58"/>
      <c r="H454" s="58"/>
      <c r="I454" s="63"/>
      <c r="J454" s="63"/>
      <c r="K454" s="63"/>
      <c r="L454" s="63"/>
      <c r="M454" s="63"/>
      <c r="N454" s="58"/>
      <c r="O454" s="58"/>
      <c r="P454" s="58"/>
      <c r="Q454" s="58"/>
      <c r="R454" s="195"/>
      <c r="S454" s="58"/>
      <c r="T454" s="58"/>
      <c r="U454" s="58"/>
      <c r="V454" s="58"/>
      <c r="W454" s="58"/>
      <c r="X454" s="58"/>
    </row>
    <row r="455" spans="2:24" ht="12.75" customHeight="1" x14ac:dyDescent="0.2">
      <c r="B455" s="37"/>
      <c r="C455" s="85"/>
      <c r="D455" s="73" t="s">
        <v>43</v>
      </c>
      <c r="E455" s="59" t="s">
        <v>56</v>
      </c>
      <c r="F455" s="64"/>
      <c r="G455" s="78" t="s">
        <v>54</v>
      </c>
      <c r="H455" s="44"/>
      <c r="I455" s="72" t="s">
        <v>45</v>
      </c>
      <c r="J455" s="44"/>
      <c r="K455" s="59" t="s">
        <v>59</v>
      </c>
      <c r="L455" s="59"/>
      <c r="M455" s="59" t="s">
        <v>58</v>
      </c>
      <c r="N455" s="44"/>
      <c r="O455" s="59" t="s">
        <v>57</v>
      </c>
      <c r="P455" s="59"/>
      <c r="Q455" s="44"/>
      <c r="R455" s="59" t="s">
        <v>52</v>
      </c>
      <c r="S455" s="29"/>
      <c r="T455" s="29"/>
      <c r="U455" s="29"/>
      <c r="V455" s="29"/>
      <c r="W455" s="29"/>
      <c r="X455" s="37"/>
    </row>
    <row r="456" spans="2:24" x14ac:dyDescent="0.2">
      <c r="B456" s="37"/>
      <c r="C456" s="60"/>
      <c r="D456" s="76" t="s">
        <v>451</v>
      </c>
      <c r="E456" s="34">
        <f>5.01+6.03+5.01+6.03</f>
        <v>22.08</v>
      </c>
      <c r="F456" s="51"/>
      <c r="G456" s="34">
        <v>2.96</v>
      </c>
      <c r="H456" s="51"/>
      <c r="I456" s="61">
        <f>SUM(E456*G456)</f>
        <v>65.356799999999993</v>
      </c>
      <c r="J456" s="51"/>
      <c r="K456" s="61">
        <f>0.35+3.36</f>
        <v>3.71</v>
      </c>
      <c r="L456" s="63"/>
      <c r="M456" s="61">
        <f>SUM(I456-K456)</f>
        <v>61.646799999999992</v>
      </c>
      <c r="N456" s="51"/>
      <c r="O456" s="51">
        <v>1</v>
      </c>
      <c r="P456" s="61"/>
      <c r="Q456" s="29"/>
      <c r="R456" s="61">
        <f>SUM(M456*O456)</f>
        <v>61.646799999999992</v>
      </c>
      <c r="S456" s="29"/>
      <c r="T456" s="29"/>
      <c r="U456" s="29"/>
      <c r="V456" s="29"/>
      <c r="W456" s="29"/>
      <c r="X456" s="37"/>
    </row>
    <row r="457" spans="2:24" x14ac:dyDescent="0.2">
      <c r="B457" s="37"/>
      <c r="C457" s="60"/>
      <c r="D457" s="76" t="s">
        <v>434</v>
      </c>
      <c r="E457" s="34">
        <v>7.55</v>
      </c>
      <c r="F457" s="51"/>
      <c r="G457" s="34">
        <v>0.45</v>
      </c>
      <c r="H457" s="51"/>
      <c r="I457" s="61">
        <f>SUM(E457*G457)</f>
        <v>3.3975</v>
      </c>
      <c r="J457" s="51"/>
      <c r="K457" s="61">
        <v>0</v>
      </c>
      <c r="L457" s="63"/>
      <c r="M457" s="61">
        <f>SUM(I457-K457)</f>
        <v>3.3975</v>
      </c>
      <c r="N457" s="51"/>
      <c r="O457" s="51">
        <v>1</v>
      </c>
      <c r="P457" s="61"/>
      <c r="Q457" s="29"/>
      <c r="R457" s="61">
        <f>SUM(M457*O457)</f>
        <v>3.3975</v>
      </c>
      <c r="S457" s="195" t="s">
        <v>453</v>
      </c>
      <c r="T457" s="29"/>
      <c r="U457" s="29"/>
      <c r="V457" s="29"/>
      <c r="W457" s="29"/>
      <c r="X457" s="37"/>
    </row>
    <row r="458" spans="2:24" x14ac:dyDescent="0.2">
      <c r="B458" s="37"/>
      <c r="C458" s="60"/>
      <c r="D458" s="76" t="s">
        <v>452</v>
      </c>
      <c r="E458" s="34">
        <f>4.84+4.84+4.84+4.84+6+6</f>
        <v>31.36</v>
      </c>
      <c r="F458" s="51"/>
      <c r="G458" s="34">
        <v>2.97</v>
      </c>
      <c r="H458" s="51"/>
      <c r="I458" s="61">
        <f>SUM(E458*G458)</f>
        <v>93.139200000000002</v>
      </c>
      <c r="J458" s="51"/>
      <c r="K458" s="61">
        <f>3.36+0.31</f>
        <v>3.67</v>
      </c>
      <c r="L458" s="63"/>
      <c r="M458" s="61">
        <f>SUM(I458-K458)</f>
        <v>89.469200000000001</v>
      </c>
      <c r="N458" s="51"/>
      <c r="O458" s="51">
        <v>1</v>
      </c>
      <c r="P458" s="61"/>
      <c r="Q458" s="29"/>
      <c r="R458" s="61">
        <f>SUM(M458*O458)</f>
        <v>89.469200000000001</v>
      </c>
      <c r="S458" s="195" t="s">
        <v>529</v>
      </c>
      <c r="T458" s="29"/>
      <c r="U458" s="29"/>
      <c r="V458" s="29"/>
      <c r="W458" s="29"/>
      <c r="X458" s="37"/>
    </row>
    <row r="459" spans="2:24" x14ac:dyDescent="0.2">
      <c r="B459" s="37"/>
      <c r="C459" s="60"/>
      <c r="D459" s="76" t="s">
        <v>436</v>
      </c>
      <c r="E459" s="34">
        <f>8+6+6+8+6.15+6.15</f>
        <v>40.299999999999997</v>
      </c>
      <c r="F459" s="51"/>
      <c r="G459" s="34">
        <v>2.94</v>
      </c>
      <c r="H459" s="51"/>
      <c r="I459" s="61">
        <f>SUM(E459*G459)</f>
        <v>118.48199999999999</v>
      </c>
      <c r="J459" s="51"/>
      <c r="K459" s="61">
        <v>0.61</v>
      </c>
      <c r="L459" s="63"/>
      <c r="M459" s="61">
        <f>SUM(I459-K459)</f>
        <v>117.87199999999999</v>
      </c>
      <c r="N459" s="51"/>
      <c r="O459" s="51">
        <v>1</v>
      </c>
      <c r="P459" s="61"/>
      <c r="Q459" s="29"/>
      <c r="R459" s="61">
        <f>SUM(M459*O459)</f>
        <v>117.87199999999999</v>
      </c>
      <c r="S459" s="195"/>
      <c r="T459" s="29"/>
      <c r="U459" s="29"/>
      <c r="V459" s="29"/>
      <c r="W459" s="29"/>
      <c r="X459" s="37"/>
    </row>
    <row r="460" spans="2:24" x14ac:dyDescent="0.2">
      <c r="B460" s="37"/>
      <c r="C460" s="54"/>
      <c r="D460" s="76"/>
      <c r="E460" s="34"/>
      <c r="F460" s="51"/>
      <c r="G460" s="34"/>
      <c r="H460" s="51"/>
      <c r="I460" s="61"/>
      <c r="J460" s="51"/>
      <c r="K460" s="61"/>
      <c r="L460" s="63"/>
      <c r="M460" s="61"/>
      <c r="N460" s="51"/>
      <c r="O460" s="51"/>
      <c r="P460" s="61"/>
      <c r="Q460" s="29"/>
      <c r="R460" s="61"/>
      <c r="S460" s="29"/>
      <c r="T460" s="29"/>
      <c r="U460" s="29"/>
      <c r="V460" s="29"/>
      <c r="W460" s="29"/>
      <c r="X460" s="37"/>
    </row>
    <row r="461" spans="2:24" ht="12.75" customHeight="1" x14ac:dyDescent="0.2">
      <c r="B461" s="37"/>
      <c r="C461" s="60"/>
      <c r="D461" s="54"/>
      <c r="E461" s="51"/>
      <c r="F461" s="29"/>
      <c r="G461" s="29"/>
      <c r="H461" s="29"/>
      <c r="I461" s="29"/>
      <c r="J461" s="51"/>
      <c r="K461" s="51"/>
      <c r="L461" s="53"/>
      <c r="M461" s="62"/>
      <c r="N461" s="29"/>
      <c r="O461" s="53"/>
      <c r="P461" s="329" t="s">
        <v>41</v>
      </c>
      <c r="Q461" s="329"/>
      <c r="R461" s="88">
        <f>SUM(R456:R460)</f>
        <v>272.38549999999998</v>
      </c>
      <c r="S461" s="29"/>
      <c r="T461" s="29"/>
      <c r="U461" s="29"/>
      <c r="V461" s="29"/>
      <c r="W461" s="29"/>
      <c r="X461" s="37"/>
    </row>
    <row r="462" spans="2:24" ht="12.75" customHeight="1" x14ac:dyDescent="0.2">
      <c r="B462" s="37"/>
      <c r="C462" s="60"/>
      <c r="D462" s="54"/>
      <c r="E462" s="51"/>
      <c r="F462" s="29"/>
      <c r="G462" s="29"/>
      <c r="H462" s="29"/>
      <c r="I462" s="29"/>
      <c r="J462" s="51"/>
      <c r="K462" s="51"/>
      <c r="L462" s="53"/>
      <c r="M462" s="62"/>
      <c r="N462" s="29"/>
      <c r="O462" s="53"/>
      <c r="P462" s="67"/>
      <c r="Q462" s="67"/>
      <c r="R462" s="88"/>
      <c r="S462" s="29"/>
      <c r="T462" s="29"/>
      <c r="U462" s="29"/>
      <c r="V462" s="29"/>
      <c r="W462" s="29"/>
      <c r="X462" s="37"/>
    </row>
    <row r="463" spans="2:24" x14ac:dyDescent="0.2">
      <c r="B463" s="58" t="s">
        <v>376</v>
      </c>
      <c r="C463" s="57" t="s">
        <v>389</v>
      </c>
      <c r="D463" s="58" t="s">
        <v>388</v>
      </c>
      <c r="E463" s="58"/>
      <c r="F463" s="58"/>
      <c r="G463" s="58"/>
      <c r="H463" s="58"/>
      <c r="I463" s="58"/>
      <c r="J463" s="58"/>
      <c r="K463" s="58"/>
      <c r="L463" s="58"/>
      <c r="M463" s="58"/>
      <c r="N463" s="58"/>
      <c r="O463" s="58"/>
      <c r="P463" s="58"/>
      <c r="Q463" s="58"/>
      <c r="R463" s="58"/>
      <c r="S463" s="58"/>
      <c r="T463" s="58"/>
      <c r="U463" s="29"/>
      <c r="V463" s="29"/>
      <c r="W463" s="29"/>
      <c r="X463" s="37"/>
    </row>
    <row r="464" spans="2:24" x14ac:dyDescent="0.2">
      <c r="B464" s="58"/>
      <c r="C464" s="58"/>
      <c r="D464" s="58"/>
      <c r="E464" s="58"/>
      <c r="F464" s="58"/>
      <c r="G464" s="58"/>
      <c r="H464" s="58"/>
      <c r="I464" s="63"/>
      <c r="J464" s="63"/>
      <c r="K464" s="63"/>
      <c r="L464" s="63"/>
      <c r="M464" s="63"/>
      <c r="N464" s="58"/>
      <c r="O464" s="58"/>
      <c r="P464" s="58"/>
      <c r="Q464" s="58"/>
      <c r="R464" s="195"/>
      <c r="S464" s="58"/>
      <c r="T464" s="58"/>
      <c r="U464" s="29"/>
      <c r="V464" s="29"/>
      <c r="W464" s="29"/>
      <c r="X464" s="37"/>
    </row>
    <row r="465" spans="2:24" x14ac:dyDescent="0.2">
      <c r="B465" s="37"/>
      <c r="C465" s="85"/>
      <c r="D465" s="73" t="s">
        <v>43</v>
      </c>
      <c r="E465" s="59" t="s">
        <v>56</v>
      </c>
      <c r="F465" s="64"/>
      <c r="G465" s="78" t="s">
        <v>54</v>
      </c>
      <c r="H465" s="44"/>
      <c r="I465" s="72" t="s">
        <v>45</v>
      </c>
      <c r="J465" s="44"/>
      <c r="K465" s="59" t="s">
        <v>59</v>
      </c>
      <c r="L465" s="59"/>
      <c r="M465" s="59" t="s">
        <v>58</v>
      </c>
      <c r="N465" s="44"/>
      <c r="O465" s="59" t="s">
        <v>57</v>
      </c>
      <c r="P465" s="59"/>
      <c r="Q465" s="44"/>
      <c r="R465" s="59" t="s">
        <v>52</v>
      </c>
      <c r="S465" s="29"/>
      <c r="T465" s="29"/>
      <c r="U465" s="29"/>
      <c r="V465" s="29"/>
      <c r="W465" s="29"/>
      <c r="X465" s="37"/>
    </row>
    <row r="466" spans="2:24" x14ac:dyDescent="0.2">
      <c r="B466" s="37"/>
      <c r="C466" s="60"/>
      <c r="D466" s="76" t="s">
        <v>451</v>
      </c>
      <c r="E466" s="34">
        <f>6.03+5.01+6.03+5.01</f>
        <v>22.08</v>
      </c>
      <c r="F466" s="51"/>
      <c r="G466" s="34">
        <v>2.96</v>
      </c>
      <c r="H466" s="51"/>
      <c r="I466" s="61">
        <f>SUM(E466*G466)</f>
        <v>65.356799999999993</v>
      </c>
      <c r="J466" s="51"/>
      <c r="K466" s="61">
        <f>3.36+0.35</f>
        <v>3.71</v>
      </c>
      <c r="L466" s="63"/>
      <c r="M466" s="61">
        <f>SUM(I466-K466)</f>
        <v>61.646799999999992</v>
      </c>
      <c r="N466" s="51"/>
      <c r="O466" s="51">
        <v>1</v>
      </c>
      <c r="P466" s="61"/>
      <c r="Q466" s="29"/>
      <c r="R466" s="61">
        <f>SUM(M466*O466)</f>
        <v>61.646799999999992</v>
      </c>
      <c r="S466" s="29"/>
      <c r="T466" s="29"/>
      <c r="U466" s="29"/>
      <c r="V466" s="29"/>
      <c r="W466" s="29"/>
      <c r="X466" s="37"/>
    </row>
    <row r="467" spans="2:24" x14ac:dyDescent="0.2">
      <c r="B467" s="37"/>
      <c r="C467" s="60"/>
      <c r="D467" s="76" t="s">
        <v>434</v>
      </c>
      <c r="E467" s="34">
        <v>7.55</v>
      </c>
      <c r="F467" s="51"/>
      <c r="G467" s="34">
        <v>0.45</v>
      </c>
      <c r="H467" s="51"/>
      <c r="I467" s="61">
        <f>SUM(E467*G467)</f>
        <v>3.3975</v>
      </c>
      <c r="J467" s="51"/>
      <c r="K467" s="61">
        <v>0</v>
      </c>
      <c r="L467" s="63"/>
      <c r="M467" s="61">
        <f>SUM(I467-K467)</f>
        <v>3.3975</v>
      </c>
      <c r="N467" s="51"/>
      <c r="O467" s="51">
        <v>1</v>
      </c>
      <c r="P467" s="61"/>
      <c r="Q467" s="29"/>
      <c r="R467" s="61">
        <f>SUM(M467*O467)</f>
        <v>3.3975</v>
      </c>
      <c r="S467" s="195" t="s">
        <v>454</v>
      </c>
      <c r="T467" s="29"/>
      <c r="U467" s="29"/>
      <c r="V467" s="29"/>
      <c r="W467" s="29"/>
      <c r="X467" s="37"/>
    </row>
    <row r="468" spans="2:24" x14ac:dyDescent="0.2">
      <c r="B468" s="37"/>
      <c r="C468" s="54"/>
      <c r="D468" s="76"/>
      <c r="E468" s="34"/>
      <c r="F468" s="51"/>
      <c r="G468" s="34"/>
      <c r="H468" s="51"/>
      <c r="I468" s="61"/>
      <c r="J468" s="51"/>
      <c r="K468" s="61"/>
      <c r="L468" s="63"/>
      <c r="M468" s="61"/>
      <c r="N468" s="51"/>
      <c r="O468" s="51"/>
      <c r="P468" s="61"/>
      <c r="Q468" s="29"/>
      <c r="R468" s="61"/>
      <c r="S468" s="29"/>
      <c r="T468" s="29"/>
      <c r="U468" s="29"/>
      <c r="V468" s="29"/>
      <c r="W468" s="29"/>
      <c r="X468" s="37"/>
    </row>
    <row r="469" spans="2:24" x14ac:dyDescent="0.2">
      <c r="B469" s="37"/>
      <c r="C469" s="60"/>
      <c r="D469" s="54"/>
      <c r="E469" s="51"/>
      <c r="F469" s="29"/>
      <c r="G469" s="29"/>
      <c r="H469" s="29"/>
      <c r="I469" s="29"/>
      <c r="J469" s="51"/>
      <c r="K469" s="51"/>
      <c r="L469" s="53"/>
      <c r="M469" s="62"/>
      <c r="N469" s="29"/>
      <c r="O469" s="53"/>
      <c r="P469" s="329" t="s">
        <v>41</v>
      </c>
      <c r="Q469" s="329"/>
      <c r="R469" s="88">
        <f>SUM(R466:R468)</f>
        <v>65.044299999999993</v>
      </c>
      <c r="S469" s="29"/>
      <c r="T469" s="29"/>
      <c r="U469" s="29"/>
      <c r="V469" s="29"/>
      <c r="W469" s="29"/>
      <c r="X469" s="37"/>
    </row>
    <row r="470" spans="2:24" x14ac:dyDescent="0.2">
      <c r="B470" s="37"/>
      <c r="C470" s="54"/>
      <c r="D470" s="54"/>
      <c r="E470" s="34"/>
      <c r="F470" s="51"/>
      <c r="G470" s="34"/>
      <c r="H470" s="51"/>
      <c r="I470" s="61"/>
      <c r="J470" s="51"/>
      <c r="K470" s="34"/>
      <c r="L470" s="63"/>
      <c r="M470" s="61"/>
      <c r="N470" s="29"/>
      <c r="O470" s="63"/>
      <c r="P470" s="61"/>
      <c r="Q470" s="29"/>
      <c r="R470" s="29"/>
      <c r="S470" s="29"/>
      <c r="T470" s="29"/>
      <c r="U470" s="29"/>
      <c r="V470" s="29"/>
      <c r="W470" s="29"/>
      <c r="X470" s="37"/>
    </row>
    <row r="471" spans="2:24" x14ac:dyDescent="0.2">
      <c r="B471" s="58" t="s">
        <v>377</v>
      </c>
      <c r="C471" s="57" t="s">
        <v>381</v>
      </c>
      <c r="D471" s="58" t="s">
        <v>378</v>
      </c>
      <c r="E471" s="58"/>
      <c r="F471" s="58"/>
      <c r="G471" s="58"/>
      <c r="H471" s="58"/>
      <c r="I471" s="58"/>
      <c r="J471" s="58"/>
      <c r="K471" s="58"/>
      <c r="L471" s="58"/>
      <c r="M471" s="58"/>
      <c r="N471" s="58"/>
      <c r="O471" s="58"/>
      <c r="P471" s="58"/>
      <c r="Q471" s="58"/>
      <c r="R471" s="58"/>
      <c r="S471" s="58"/>
      <c r="T471" s="58"/>
      <c r="U471" s="58"/>
      <c r="V471" s="58"/>
      <c r="W471" s="58"/>
      <c r="X471" s="58"/>
    </row>
    <row r="472" spans="2:24" x14ac:dyDescent="0.2">
      <c r="B472" s="58"/>
      <c r="C472" s="58"/>
      <c r="D472" s="58"/>
      <c r="E472" s="58"/>
      <c r="F472" s="58"/>
      <c r="G472" s="58"/>
      <c r="H472" s="58"/>
      <c r="I472" s="63"/>
      <c r="J472" s="63"/>
      <c r="K472" s="63"/>
      <c r="L472" s="63"/>
      <c r="M472" s="63"/>
      <c r="N472" s="58"/>
      <c r="O472" s="58"/>
      <c r="P472" s="58"/>
      <c r="Q472" s="58"/>
      <c r="R472" s="195"/>
      <c r="S472" s="58"/>
      <c r="T472" s="58"/>
      <c r="U472" s="58"/>
      <c r="V472" s="58"/>
      <c r="W472" s="58"/>
      <c r="X472" s="58"/>
    </row>
    <row r="473" spans="2:24" x14ac:dyDescent="0.2">
      <c r="B473" s="37"/>
      <c r="C473" s="85"/>
      <c r="D473" s="73" t="s">
        <v>43</v>
      </c>
      <c r="E473" s="59" t="s">
        <v>56</v>
      </c>
      <c r="F473" s="64"/>
      <c r="G473" s="78" t="s">
        <v>54</v>
      </c>
      <c r="H473" s="44"/>
      <c r="I473" s="72" t="s">
        <v>45</v>
      </c>
      <c r="J473" s="44"/>
      <c r="K473" s="59" t="s">
        <v>59</v>
      </c>
      <c r="L473" s="59"/>
      <c r="M473" s="59" t="s">
        <v>58</v>
      </c>
      <c r="N473" s="44"/>
      <c r="O473" s="59" t="s">
        <v>57</v>
      </c>
      <c r="P473" s="59"/>
      <c r="Q473" s="44"/>
      <c r="R473" s="59" t="s">
        <v>52</v>
      </c>
      <c r="S473" s="29"/>
      <c r="T473" s="29"/>
      <c r="U473" s="29"/>
      <c r="V473" s="29"/>
      <c r="W473" s="29"/>
      <c r="X473" s="37"/>
    </row>
    <row r="474" spans="2:24" x14ac:dyDescent="0.2">
      <c r="B474" s="37"/>
      <c r="C474" s="85"/>
      <c r="D474" s="76" t="s">
        <v>452</v>
      </c>
      <c r="E474" s="34">
        <f>4.84+4.84+4.84+4.84+6+6</f>
        <v>31.36</v>
      </c>
      <c r="F474" s="51"/>
      <c r="G474" s="34">
        <v>2.97</v>
      </c>
      <c r="H474" s="51"/>
      <c r="I474" s="61">
        <f>SUM(E474*G474)</f>
        <v>93.139200000000002</v>
      </c>
      <c r="J474" s="51"/>
      <c r="K474" s="61">
        <f>3.36+0.31</f>
        <v>3.67</v>
      </c>
      <c r="L474" s="63"/>
      <c r="M474" s="61">
        <f>SUM(I474-K474)</f>
        <v>89.469200000000001</v>
      </c>
      <c r="N474" s="51"/>
      <c r="O474" s="51">
        <v>1</v>
      </c>
      <c r="P474" s="61"/>
      <c r="Q474" s="29"/>
      <c r="R474" s="61">
        <f>SUM(M474*O474)</f>
        <v>89.469200000000001</v>
      </c>
      <c r="S474" s="29"/>
      <c r="T474" s="29"/>
      <c r="U474" s="29"/>
      <c r="V474" s="29"/>
      <c r="W474" s="29"/>
      <c r="X474" s="37"/>
    </row>
    <row r="475" spans="2:24" x14ac:dyDescent="0.2">
      <c r="B475" s="37"/>
      <c r="C475" s="85"/>
      <c r="D475" s="76" t="s">
        <v>436</v>
      </c>
      <c r="E475" s="34">
        <f>8+6+6+8+6.15+6.15</f>
        <v>40.299999999999997</v>
      </c>
      <c r="F475" s="51"/>
      <c r="G475" s="34">
        <v>2.94</v>
      </c>
      <c r="H475" s="51"/>
      <c r="I475" s="61">
        <f>SUM(E475*G475)</f>
        <v>118.48199999999999</v>
      </c>
      <c r="J475" s="51"/>
      <c r="K475" s="61">
        <v>0.61</v>
      </c>
      <c r="L475" s="63"/>
      <c r="M475" s="61">
        <f>SUM(I475-K475)</f>
        <v>117.87199999999999</v>
      </c>
      <c r="N475" s="51"/>
      <c r="O475" s="51">
        <v>1</v>
      </c>
      <c r="P475" s="61"/>
      <c r="Q475" s="29"/>
      <c r="R475" s="61">
        <f>SUM(M475*O475)</f>
        <v>117.87199999999999</v>
      </c>
      <c r="S475" s="29"/>
      <c r="T475" s="29"/>
      <c r="U475" s="29"/>
      <c r="V475" s="29"/>
      <c r="W475" s="29"/>
      <c r="X475" s="37"/>
    </row>
    <row r="476" spans="2:24" x14ac:dyDescent="0.2">
      <c r="B476" s="37"/>
      <c r="C476" s="85"/>
      <c r="D476" s="60"/>
      <c r="E476" s="34"/>
      <c r="F476" s="51"/>
      <c r="G476" s="34"/>
      <c r="H476" s="51"/>
      <c r="I476" s="61"/>
      <c r="J476" s="51"/>
      <c r="K476" s="34"/>
      <c r="L476" s="63"/>
      <c r="M476" s="61"/>
      <c r="N476" s="51"/>
      <c r="O476" s="51"/>
      <c r="P476" s="61"/>
      <c r="Q476" s="29"/>
      <c r="R476" s="61"/>
      <c r="S476" s="195" t="s">
        <v>530</v>
      </c>
      <c r="T476" s="29"/>
      <c r="U476" s="29"/>
      <c r="V476" s="29"/>
      <c r="W476" s="29"/>
      <c r="X476" s="37"/>
    </row>
    <row r="477" spans="2:24" ht="12.75" customHeight="1" x14ac:dyDescent="0.2">
      <c r="B477" s="37"/>
      <c r="C477" s="85"/>
      <c r="D477" s="54"/>
      <c r="E477" s="51"/>
      <c r="F477" s="29"/>
      <c r="G477" s="29"/>
      <c r="H477" s="29"/>
      <c r="I477" s="29"/>
      <c r="J477" s="51"/>
      <c r="K477" s="51"/>
      <c r="L477" s="53"/>
      <c r="M477" s="62"/>
      <c r="N477" s="29"/>
      <c r="O477" s="53"/>
      <c r="P477" s="329" t="s">
        <v>41</v>
      </c>
      <c r="Q477" s="329"/>
      <c r="R477" s="88">
        <f>SUM(R474:R475)</f>
        <v>207.34119999999999</v>
      </c>
      <c r="S477" s="29"/>
      <c r="T477" s="29"/>
      <c r="U477" s="29"/>
      <c r="V477" s="29"/>
      <c r="W477" s="29"/>
      <c r="X477" s="37"/>
    </row>
    <row r="478" spans="2:24" x14ac:dyDescent="0.2">
      <c r="B478" s="37"/>
      <c r="C478" s="85"/>
      <c r="D478" s="54"/>
      <c r="E478" s="34"/>
      <c r="F478" s="51"/>
      <c r="G478" s="34"/>
      <c r="H478" s="51"/>
      <c r="I478" s="61"/>
      <c r="J478" s="51"/>
      <c r="K478" s="34"/>
      <c r="L478" s="63"/>
      <c r="M478" s="61"/>
      <c r="N478" s="29"/>
      <c r="O478" s="63"/>
      <c r="P478" s="61"/>
      <c r="Q478" s="29"/>
      <c r="R478" s="29"/>
      <c r="S478" s="29"/>
      <c r="T478" s="29"/>
      <c r="U478" s="29"/>
      <c r="V478" s="29"/>
      <c r="W478" s="29"/>
      <c r="X478" s="37"/>
    </row>
    <row r="479" spans="2:24" x14ac:dyDescent="0.2">
      <c r="B479" s="58" t="s">
        <v>387</v>
      </c>
      <c r="C479" s="57" t="s">
        <v>382</v>
      </c>
      <c r="D479" s="58" t="s">
        <v>379</v>
      </c>
      <c r="E479" s="58"/>
      <c r="F479" s="58"/>
      <c r="G479" s="58"/>
      <c r="H479" s="58"/>
      <c r="I479" s="58"/>
      <c r="J479" s="58"/>
      <c r="K479" s="58"/>
      <c r="L479" s="58"/>
      <c r="M479" s="58"/>
      <c r="N479" s="58"/>
      <c r="O479" s="58"/>
      <c r="P479" s="58"/>
      <c r="Q479" s="58"/>
      <c r="R479" s="58"/>
      <c r="S479" s="29"/>
      <c r="T479" s="29"/>
      <c r="U479" s="29"/>
      <c r="V479" s="29"/>
      <c r="W479" s="29"/>
      <c r="X479" s="37"/>
    </row>
    <row r="480" spans="2:24" x14ac:dyDescent="0.2">
      <c r="B480" s="58"/>
      <c r="C480" s="58"/>
      <c r="D480" s="58"/>
      <c r="E480" s="58"/>
      <c r="F480" s="58"/>
      <c r="G480" s="58"/>
      <c r="H480" s="58"/>
      <c r="I480" s="63"/>
      <c r="J480" s="63"/>
      <c r="K480" s="63"/>
      <c r="L480" s="63"/>
      <c r="M480" s="63"/>
      <c r="N480" s="58"/>
      <c r="O480" s="58"/>
      <c r="P480" s="58"/>
      <c r="Q480" s="58"/>
      <c r="R480" s="58"/>
      <c r="S480" s="29"/>
      <c r="T480" s="29"/>
      <c r="U480" s="29"/>
      <c r="V480" s="29"/>
      <c r="W480" s="29"/>
      <c r="X480" s="37"/>
    </row>
    <row r="481" spans="2:24" x14ac:dyDescent="0.2">
      <c r="B481" s="37"/>
      <c r="C481" s="85"/>
      <c r="D481" s="73" t="s">
        <v>43</v>
      </c>
      <c r="E481" s="59" t="s">
        <v>56</v>
      </c>
      <c r="F481" s="64"/>
      <c r="G481" s="78" t="s">
        <v>54</v>
      </c>
      <c r="H481" s="44"/>
      <c r="I481" s="72" t="s">
        <v>45</v>
      </c>
      <c r="J481" s="44"/>
      <c r="K481" s="59" t="s">
        <v>59</v>
      </c>
      <c r="L481" s="59"/>
      <c r="M481" s="59" t="s">
        <v>58</v>
      </c>
      <c r="N481" s="44"/>
      <c r="O481" s="59" t="s">
        <v>57</v>
      </c>
      <c r="P481" s="59"/>
      <c r="Q481" s="44"/>
      <c r="R481" s="59" t="s">
        <v>52</v>
      </c>
      <c r="S481" s="29"/>
      <c r="T481" s="29"/>
      <c r="U481" s="29"/>
      <c r="V481" s="29"/>
      <c r="W481" s="29"/>
      <c r="X481" s="37"/>
    </row>
    <row r="482" spans="2:24" x14ac:dyDescent="0.2">
      <c r="B482" s="37"/>
      <c r="C482" s="85"/>
      <c r="D482" s="71" t="s">
        <v>429</v>
      </c>
      <c r="E482" s="34">
        <f>4.84+4.84+4.84+4.84+6+6</f>
        <v>31.36</v>
      </c>
      <c r="F482" s="37"/>
      <c r="G482" s="61">
        <v>2.97</v>
      </c>
      <c r="H482" s="85"/>
      <c r="I482" s="103">
        <f>SUM(E482*G482)</f>
        <v>93.139200000000002</v>
      </c>
      <c r="J482" s="29"/>
      <c r="K482" s="61">
        <f>3.36+0.31</f>
        <v>3.67</v>
      </c>
      <c r="L482" s="63"/>
      <c r="M482" s="103">
        <f>SUM(I482-K482)</f>
        <v>89.469200000000001</v>
      </c>
      <c r="N482" s="29"/>
      <c r="O482" s="51">
        <v>1</v>
      </c>
      <c r="P482" s="63"/>
      <c r="Q482" s="29"/>
      <c r="R482" s="103">
        <f>SUM(M482*O482)</f>
        <v>89.469200000000001</v>
      </c>
      <c r="S482" s="29"/>
      <c r="T482" s="29"/>
      <c r="U482" s="29"/>
      <c r="V482" s="29"/>
      <c r="W482" s="29"/>
      <c r="X482" s="37"/>
    </row>
    <row r="483" spans="2:24" x14ac:dyDescent="0.2">
      <c r="B483" s="37"/>
      <c r="C483" s="85"/>
      <c r="D483" s="71" t="s">
        <v>436</v>
      </c>
      <c r="E483" s="34">
        <f>8+6+6+8+6.15+6.15</f>
        <v>40.299999999999997</v>
      </c>
      <c r="F483" s="51"/>
      <c r="G483" s="34">
        <v>2.94</v>
      </c>
      <c r="H483" s="29"/>
      <c r="I483" s="61">
        <f>SUM(E483*G483)</f>
        <v>118.48199999999999</v>
      </c>
      <c r="J483" s="29"/>
      <c r="K483" s="61">
        <v>0.61</v>
      </c>
      <c r="L483" s="63"/>
      <c r="M483" s="103">
        <f>SUM(I483-K483)</f>
        <v>117.87199999999999</v>
      </c>
      <c r="N483" s="29"/>
      <c r="O483" s="51">
        <v>1</v>
      </c>
      <c r="P483" s="63"/>
      <c r="Q483" s="29"/>
      <c r="R483" s="103">
        <f>SUM(M483*O483)</f>
        <v>117.87199999999999</v>
      </c>
      <c r="S483" s="195" t="s">
        <v>455</v>
      </c>
      <c r="T483" s="29"/>
      <c r="U483" s="29"/>
      <c r="V483" s="29"/>
      <c r="W483" s="29"/>
      <c r="X483" s="37"/>
    </row>
    <row r="484" spans="2:24" x14ac:dyDescent="0.2">
      <c r="B484" s="58"/>
      <c r="C484" s="57"/>
      <c r="D484" s="58"/>
      <c r="E484" s="58"/>
      <c r="F484" s="58"/>
      <c r="G484" s="58"/>
      <c r="H484" s="58"/>
      <c r="I484" s="58"/>
      <c r="J484" s="29"/>
      <c r="K484" s="63"/>
      <c r="L484" s="63"/>
      <c r="M484" s="63"/>
      <c r="N484" s="29"/>
      <c r="O484" s="63"/>
      <c r="P484" s="63"/>
      <c r="Q484" s="29"/>
      <c r="R484" s="63"/>
      <c r="S484" s="29"/>
      <c r="T484" s="29" t="s">
        <v>531</v>
      </c>
      <c r="U484" s="29"/>
      <c r="V484" s="29"/>
      <c r="W484" s="29"/>
      <c r="X484" s="37"/>
    </row>
    <row r="485" spans="2:24" x14ac:dyDescent="0.2">
      <c r="B485" s="37"/>
      <c r="C485" s="85"/>
      <c r="D485" s="71"/>
      <c r="E485" s="34"/>
      <c r="F485" s="37"/>
      <c r="G485" s="62"/>
      <c r="H485" s="29"/>
      <c r="I485" s="61"/>
      <c r="J485" s="29"/>
      <c r="K485" s="63"/>
      <c r="L485" s="63"/>
      <c r="M485" s="63"/>
      <c r="N485" s="29"/>
      <c r="O485" s="63"/>
      <c r="P485" s="63"/>
      <c r="Q485" s="29"/>
      <c r="R485" s="63"/>
      <c r="S485" s="29"/>
      <c r="T485" s="29"/>
      <c r="U485" s="29"/>
      <c r="V485" s="29"/>
      <c r="W485" s="29"/>
      <c r="X485" s="37"/>
    </row>
    <row r="486" spans="2:24" x14ac:dyDescent="0.2">
      <c r="B486" s="37"/>
      <c r="C486" s="85"/>
      <c r="D486" s="85"/>
      <c r="E486" s="88"/>
      <c r="F486" s="37"/>
      <c r="G486" s="62"/>
      <c r="H486" s="85"/>
      <c r="I486" s="88"/>
      <c r="J486" s="29"/>
      <c r="K486" s="63"/>
      <c r="L486" s="63"/>
      <c r="M486" s="63"/>
      <c r="N486" s="29"/>
      <c r="O486" s="63"/>
      <c r="P486" s="329" t="s">
        <v>41</v>
      </c>
      <c r="Q486" s="329"/>
      <c r="R486" s="88">
        <f>SUM(R482:R484)</f>
        <v>207.34119999999999</v>
      </c>
      <c r="S486" s="29"/>
      <c r="T486" s="29"/>
      <c r="U486" s="29"/>
      <c r="V486" s="29"/>
      <c r="W486" s="29"/>
      <c r="X486" s="37"/>
    </row>
    <row r="487" spans="2:24" x14ac:dyDescent="0.2">
      <c r="B487" s="37"/>
      <c r="C487" s="85"/>
      <c r="D487" s="85"/>
      <c r="E487" s="63"/>
      <c r="F487" s="37"/>
      <c r="G487" s="62"/>
      <c r="H487" s="29"/>
      <c r="I487" s="37"/>
      <c r="J487" s="29"/>
      <c r="K487" s="63"/>
      <c r="L487" s="63"/>
      <c r="M487" s="63"/>
      <c r="N487" s="29"/>
      <c r="O487" s="63"/>
      <c r="P487" s="63"/>
      <c r="Q487" s="29"/>
      <c r="R487" s="63"/>
      <c r="S487" s="29"/>
      <c r="T487" s="29"/>
      <c r="U487" s="29"/>
      <c r="V487" s="29"/>
      <c r="W487" s="29"/>
      <c r="X487" s="37"/>
    </row>
    <row r="488" spans="2:24" x14ac:dyDescent="0.2">
      <c r="B488" s="70" t="s">
        <v>80</v>
      </c>
      <c r="C488" s="69"/>
      <c r="D488" s="69" t="s">
        <v>65</v>
      </c>
      <c r="E488" s="69"/>
      <c r="F488" s="69"/>
      <c r="G488" s="69"/>
      <c r="H488" s="69"/>
      <c r="I488" s="69"/>
      <c r="J488" s="69"/>
      <c r="K488" s="69"/>
      <c r="L488" s="69"/>
      <c r="M488" s="69"/>
      <c r="N488" s="69"/>
      <c r="O488" s="69"/>
      <c r="P488" s="69"/>
      <c r="Q488" s="69"/>
      <c r="R488" s="69"/>
      <c r="S488" s="69"/>
      <c r="T488" s="69"/>
      <c r="U488" s="69"/>
      <c r="V488" s="69"/>
      <c r="W488" s="69"/>
      <c r="X488" s="68"/>
    </row>
    <row r="489" spans="2:24" s="49" customFormat="1" x14ac:dyDescent="0.2">
      <c r="B489" s="58"/>
      <c r="C489" s="58"/>
      <c r="D489" s="58"/>
      <c r="E489" s="58"/>
      <c r="F489" s="58"/>
      <c r="G489" s="58"/>
      <c r="H489" s="58"/>
      <c r="I489" s="58"/>
      <c r="J489" s="58"/>
      <c r="K489" s="58"/>
      <c r="L489" s="58"/>
      <c r="M489" s="58"/>
      <c r="N489" s="58"/>
      <c r="O489" s="58"/>
      <c r="P489" s="58"/>
      <c r="Q489" s="58"/>
      <c r="R489" s="58"/>
      <c r="S489" s="58"/>
      <c r="T489" s="58"/>
      <c r="U489" s="58"/>
      <c r="V489" s="58"/>
      <c r="W489" s="58"/>
      <c r="X489" s="58"/>
    </row>
    <row r="490" spans="2:24" x14ac:dyDescent="0.2">
      <c r="B490" s="58" t="s">
        <v>383</v>
      </c>
      <c r="C490" s="57" t="s">
        <v>64</v>
      </c>
      <c r="D490" s="58" t="s">
        <v>385</v>
      </c>
      <c r="E490" s="58"/>
      <c r="F490" s="58"/>
      <c r="G490" s="58"/>
      <c r="H490" s="58"/>
      <c r="I490" s="58"/>
      <c r="J490" s="58"/>
      <c r="K490" s="57"/>
      <c r="L490" s="58"/>
      <c r="M490" s="58"/>
      <c r="N490" s="58"/>
      <c r="O490" s="58"/>
      <c r="P490" s="58"/>
      <c r="Q490" s="29"/>
      <c r="R490" s="61"/>
      <c r="S490" s="29"/>
      <c r="T490" s="29"/>
      <c r="U490" s="29"/>
      <c r="V490" s="29"/>
      <c r="W490" s="29"/>
      <c r="X490" s="37"/>
    </row>
    <row r="491" spans="2:24" x14ac:dyDescent="0.2">
      <c r="B491" s="29"/>
      <c r="C491" s="54"/>
      <c r="D491" s="54"/>
      <c r="E491" s="51"/>
      <c r="F491" s="29"/>
      <c r="G491" s="29"/>
      <c r="H491" s="29"/>
      <c r="I491" s="29"/>
      <c r="J491" s="51"/>
      <c r="K491" s="51"/>
      <c r="L491" s="53"/>
      <c r="M491" s="62"/>
      <c r="N491" s="29"/>
      <c r="O491" s="62"/>
      <c r="P491" s="29"/>
      <c r="Q491" s="29"/>
      <c r="R491" s="61"/>
      <c r="S491" s="29"/>
      <c r="T491" s="29"/>
      <c r="U491" s="29"/>
      <c r="V491" s="29"/>
      <c r="W491" s="29"/>
      <c r="X491" s="37"/>
    </row>
    <row r="492" spans="2:24" x14ac:dyDescent="0.2">
      <c r="B492" s="29"/>
      <c r="C492" s="54"/>
      <c r="D492" s="59" t="s">
        <v>43</v>
      </c>
      <c r="E492" s="59" t="s">
        <v>45</v>
      </c>
      <c r="F492" s="44"/>
      <c r="G492" s="63"/>
      <c r="H492" s="29"/>
      <c r="I492" s="29"/>
      <c r="J492" s="51"/>
      <c r="K492" s="51"/>
      <c r="L492" s="63"/>
      <c r="M492" s="62"/>
      <c r="N492" s="63"/>
      <c r="O492" s="62"/>
      <c r="P492" s="29"/>
      <c r="Q492" s="29"/>
      <c r="R492" s="61"/>
      <c r="S492" s="29"/>
      <c r="T492" s="29"/>
      <c r="U492" s="29"/>
      <c r="V492" s="29"/>
      <c r="W492" s="29"/>
      <c r="X492" s="37"/>
    </row>
    <row r="493" spans="2:24" x14ac:dyDescent="0.2">
      <c r="B493" s="29"/>
      <c r="C493" s="54"/>
      <c r="D493" s="76" t="s">
        <v>627</v>
      </c>
      <c r="E493" s="61">
        <f>E500</f>
        <v>35.838999999999999</v>
      </c>
      <c r="F493" s="29"/>
      <c r="G493" s="195" t="s">
        <v>628</v>
      </c>
      <c r="H493" s="29"/>
      <c r="I493" s="29"/>
      <c r="J493" s="51"/>
      <c r="K493" s="51"/>
      <c r="L493" s="76"/>
      <c r="M493" s="61"/>
      <c r="N493" s="61"/>
      <c r="O493" s="34"/>
      <c r="P493" s="29"/>
      <c r="Q493" s="29"/>
      <c r="R493" s="61"/>
      <c r="S493" s="29"/>
      <c r="T493" s="29"/>
      <c r="U493" s="29"/>
      <c r="V493" s="29"/>
      <c r="W493" s="29"/>
      <c r="X493" s="37"/>
    </row>
    <row r="494" spans="2:24" x14ac:dyDescent="0.2">
      <c r="B494" s="29"/>
      <c r="C494" s="54"/>
      <c r="D494" s="76"/>
      <c r="E494" s="61"/>
      <c r="F494" s="29"/>
      <c r="G494" s="34"/>
      <c r="H494" s="29"/>
      <c r="I494" s="29"/>
      <c r="J494" s="51"/>
      <c r="K494" s="51"/>
      <c r="L494" s="76"/>
      <c r="M494" s="61"/>
      <c r="N494" s="61"/>
      <c r="O494" s="34"/>
      <c r="P494" s="29"/>
      <c r="Q494" s="29"/>
      <c r="R494" s="61"/>
      <c r="S494" s="29"/>
      <c r="T494" s="29"/>
      <c r="U494" s="29"/>
      <c r="V494" s="29"/>
      <c r="W494" s="29"/>
      <c r="X494" s="37"/>
    </row>
    <row r="495" spans="2:24" x14ac:dyDescent="0.2">
      <c r="B495" s="37"/>
      <c r="C495" s="54"/>
      <c r="D495" s="53" t="s">
        <v>41</v>
      </c>
      <c r="E495" s="62">
        <f>SUM(E493)</f>
        <v>35.838999999999999</v>
      </c>
      <c r="F495" s="51"/>
      <c r="G495" s="67"/>
      <c r="H495" s="67"/>
      <c r="I495" s="66"/>
      <c r="J495" s="51"/>
      <c r="K495" s="34"/>
      <c r="L495" s="53"/>
      <c r="M495" s="62"/>
      <c r="N495" s="62"/>
      <c r="O495" s="51"/>
      <c r="P495" s="61"/>
      <c r="Q495" s="29"/>
      <c r="R495" s="61"/>
      <c r="S495" s="29"/>
      <c r="T495" s="29"/>
      <c r="U495" s="29"/>
      <c r="V495" s="29"/>
      <c r="W495" s="29"/>
      <c r="X495" s="37"/>
    </row>
    <row r="496" spans="2:24" x14ac:dyDescent="0.2">
      <c r="B496" s="37"/>
      <c r="C496" s="54"/>
      <c r="D496" s="54"/>
      <c r="E496" s="34"/>
      <c r="F496" s="51"/>
      <c r="G496" s="67"/>
      <c r="H496" s="67"/>
      <c r="I496" s="66"/>
      <c r="J496" s="51"/>
      <c r="K496" s="34"/>
      <c r="L496" s="63"/>
      <c r="M496" s="61"/>
      <c r="N496" s="51"/>
      <c r="O496" s="51"/>
      <c r="P496" s="61"/>
      <c r="Q496" s="29"/>
      <c r="R496" s="61"/>
      <c r="S496" s="29"/>
      <c r="T496" s="29"/>
      <c r="U496" s="29"/>
      <c r="V496" s="29"/>
      <c r="W496" s="29"/>
      <c r="X496" s="37"/>
    </row>
    <row r="497" spans="2:24" x14ac:dyDescent="0.2">
      <c r="B497" s="58" t="s">
        <v>384</v>
      </c>
      <c r="C497" s="57" t="s">
        <v>63</v>
      </c>
      <c r="D497" s="58" t="s">
        <v>386</v>
      </c>
      <c r="E497" s="58"/>
      <c r="F497" s="58"/>
      <c r="G497" s="58"/>
      <c r="H497" s="58"/>
      <c r="I497" s="66"/>
      <c r="J497" s="51"/>
      <c r="K497" s="34"/>
      <c r="L497" s="63"/>
      <c r="M497" s="61"/>
      <c r="N497" s="51"/>
      <c r="O497" s="51"/>
      <c r="P497" s="61"/>
      <c r="Q497" s="29"/>
      <c r="R497" s="61"/>
      <c r="S497" s="29"/>
      <c r="T497" s="29"/>
      <c r="U497" s="29"/>
      <c r="V497" s="29"/>
      <c r="W497" s="29"/>
      <c r="X497" s="37"/>
    </row>
    <row r="498" spans="2:24" x14ac:dyDescent="0.2">
      <c r="B498" s="51"/>
      <c r="C498" s="51"/>
      <c r="D498" s="53"/>
      <c r="E498" s="62"/>
      <c r="F498" s="29"/>
      <c r="G498" s="62"/>
      <c r="H498" s="29"/>
      <c r="I498" s="66"/>
      <c r="J498" s="51"/>
      <c r="K498" s="34"/>
      <c r="L498" s="63"/>
      <c r="M498" s="61"/>
      <c r="N498" s="51"/>
      <c r="O498" s="51"/>
      <c r="P498" s="61"/>
      <c r="Q498" s="29"/>
      <c r="R498" s="61"/>
      <c r="S498" s="29"/>
      <c r="T498" s="29"/>
      <c r="U498" s="29"/>
      <c r="V498" s="29"/>
      <c r="W498" s="29"/>
      <c r="X498" s="37"/>
    </row>
    <row r="499" spans="2:24" x14ac:dyDescent="0.2">
      <c r="B499" s="51"/>
      <c r="C499" s="51"/>
      <c r="D499" s="59" t="s">
        <v>43</v>
      </c>
      <c r="E499" s="59" t="s">
        <v>45</v>
      </c>
      <c r="F499" s="59"/>
      <c r="G499" s="62"/>
      <c r="H499" s="29"/>
      <c r="I499" s="66"/>
      <c r="J499" s="51"/>
      <c r="K499" s="34"/>
      <c r="L499" s="63"/>
      <c r="M499" s="61"/>
      <c r="N499" s="51"/>
      <c r="O499" s="51"/>
      <c r="P499" s="61"/>
      <c r="Q499" s="29"/>
      <c r="R499" s="61"/>
      <c r="S499" s="29"/>
      <c r="T499" s="29"/>
      <c r="U499" s="29"/>
      <c r="V499" s="29"/>
      <c r="W499" s="29"/>
      <c r="X499" s="37"/>
    </row>
    <row r="500" spans="2:24" x14ac:dyDescent="0.2">
      <c r="B500" s="51"/>
      <c r="C500" s="51"/>
      <c r="D500" s="76" t="s">
        <v>627</v>
      </c>
      <c r="E500" s="61">
        <f>358.39*10%</f>
        <v>35.838999999999999</v>
      </c>
      <c r="F500" s="61"/>
      <c r="G500" s="195" t="s">
        <v>629</v>
      </c>
      <c r="H500" s="29"/>
      <c r="I500" s="66"/>
      <c r="J500" s="51"/>
      <c r="K500" s="34"/>
      <c r="L500" s="63"/>
      <c r="M500" s="61"/>
      <c r="N500" s="51"/>
      <c r="O500" s="51"/>
      <c r="P500" s="61"/>
      <c r="Q500" s="29"/>
      <c r="R500" s="61"/>
      <c r="S500" s="29"/>
      <c r="T500" s="29"/>
      <c r="U500" s="29"/>
      <c r="V500" s="29"/>
      <c r="W500" s="29"/>
      <c r="X500" s="37"/>
    </row>
    <row r="501" spans="2:24" x14ac:dyDescent="0.2">
      <c r="B501" s="51"/>
      <c r="C501" s="34"/>
      <c r="D501" s="63"/>
      <c r="E501" s="61"/>
      <c r="F501" s="51"/>
      <c r="G501" s="51"/>
      <c r="H501" s="61"/>
      <c r="I501" s="66"/>
      <c r="J501" s="51"/>
      <c r="K501" s="34"/>
      <c r="L501" s="63"/>
      <c r="M501" s="61"/>
      <c r="N501" s="51"/>
      <c r="O501" s="195"/>
      <c r="P501" s="61"/>
      <c r="Q501" s="29"/>
      <c r="R501" s="61"/>
      <c r="S501" s="29"/>
      <c r="T501" s="29"/>
      <c r="U501" s="29"/>
      <c r="V501" s="29"/>
      <c r="W501" s="29"/>
      <c r="X501" s="37"/>
    </row>
    <row r="502" spans="2:24" x14ac:dyDescent="0.2">
      <c r="B502" s="51"/>
      <c r="C502" s="34"/>
      <c r="D502" s="53" t="s">
        <v>41</v>
      </c>
      <c r="E502" s="62">
        <f>SUM(E500)</f>
        <v>35.838999999999999</v>
      </c>
      <c r="F502" s="62"/>
      <c r="G502" s="51"/>
      <c r="H502" s="61"/>
      <c r="I502" s="66"/>
      <c r="J502" s="51"/>
      <c r="K502" s="34"/>
      <c r="L502" s="63"/>
      <c r="M502" s="61"/>
      <c r="N502" s="51"/>
      <c r="O502" s="51"/>
      <c r="P502" s="61"/>
      <c r="Q502" s="29"/>
      <c r="R502" s="61"/>
      <c r="S502" s="29"/>
      <c r="T502" s="29"/>
      <c r="U502" s="29"/>
      <c r="V502" s="29"/>
      <c r="W502" s="29"/>
      <c r="X502" s="37"/>
    </row>
    <row r="503" spans="2:24" x14ac:dyDescent="0.2">
      <c r="B503" s="51"/>
      <c r="C503" s="34"/>
      <c r="D503" s="63"/>
      <c r="E503" s="61"/>
      <c r="F503" s="51"/>
      <c r="G503" s="51"/>
      <c r="H503" s="61"/>
      <c r="I503" s="66"/>
      <c r="J503" s="51"/>
      <c r="K503" s="34"/>
      <c r="L503" s="63"/>
      <c r="M503" s="61"/>
      <c r="N503" s="51"/>
      <c r="O503" s="51"/>
      <c r="P503" s="61"/>
      <c r="Q503" s="29"/>
      <c r="R503" s="61"/>
      <c r="S503" s="29"/>
      <c r="T503" s="29"/>
      <c r="U503" s="29"/>
      <c r="V503" s="29"/>
      <c r="W503" s="29"/>
      <c r="X503" s="37"/>
    </row>
    <row r="504" spans="2:24" x14ac:dyDescent="0.2">
      <c r="B504" s="70" t="s">
        <v>79</v>
      </c>
      <c r="C504" s="69"/>
      <c r="D504" s="69" t="s">
        <v>62</v>
      </c>
      <c r="E504" s="69"/>
      <c r="F504" s="69"/>
      <c r="G504" s="69"/>
      <c r="H504" s="69"/>
      <c r="I504" s="69"/>
      <c r="J504" s="69"/>
      <c r="K504" s="69"/>
      <c r="L504" s="69"/>
      <c r="M504" s="69"/>
      <c r="N504" s="69"/>
      <c r="O504" s="69"/>
      <c r="P504" s="69"/>
      <c r="Q504" s="69"/>
      <c r="R504" s="69"/>
      <c r="S504" s="69"/>
      <c r="T504" s="69"/>
      <c r="U504" s="69"/>
      <c r="V504" s="69"/>
      <c r="W504" s="69"/>
      <c r="X504" s="68"/>
    </row>
    <row r="505" spans="2:24" x14ac:dyDescent="0.2">
      <c r="B505" s="58"/>
      <c r="C505" s="58"/>
      <c r="D505" s="58"/>
      <c r="E505" s="58"/>
      <c r="F505" s="58"/>
      <c r="G505" s="58"/>
      <c r="H505" s="58"/>
      <c r="I505" s="58"/>
      <c r="J505" s="58"/>
      <c r="K505" s="58"/>
      <c r="L505" s="58"/>
      <c r="M505" s="58"/>
      <c r="N505" s="58"/>
      <c r="O505" s="58"/>
      <c r="P505" s="58"/>
      <c r="Q505" s="58"/>
      <c r="R505" s="58"/>
      <c r="S505" s="58"/>
      <c r="T505" s="58"/>
      <c r="U505" s="58"/>
      <c r="V505" s="58"/>
      <c r="W505" s="58"/>
      <c r="X505" s="58"/>
    </row>
    <row r="506" spans="2:24" x14ac:dyDescent="0.2">
      <c r="B506" s="58" t="s">
        <v>78</v>
      </c>
      <c r="C506" s="57" t="s">
        <v>552</v>
      </c>
      <c r="D506" s="58" t="s">
        <v>626</v>
      </c>
      <c r="E506" s="58"/>
      <c r="F506" s="58"/>
      <c r="G506" s="58"/>
      <c r="H506" s="58"/>
      <c r="I506" s="58"/>
      <c r="J506" s="58"/>
      <c r="K506" s="58"/>
      <c r="L506" s="58"/>
      <c r="M506" s="58"/>
      <c r="N506" s="58"/>
      <c r="O506" s="58"/>
      <c r="P506" s="58"/>
      <c r="Q506" s="58"/>
      <c r="R506" s="58"/>
      <c r="S506" s="58"/>
      <c r="T506" s="58"/>
      <c r="U506" s="58"/>
      <c r="V506" s="58"/>
      <c r="W506" s="58"/>
      <c r="X506" s="58"/>
    </row>
    <row r="507" spans="2:24" x14ac:dyDescent="0.2">
      <c r="B507" s="58"/>
      <c r="C507" s="57"/>
      <c r="D507" s="58"/>
      <c r="E507" s="58"/>
      <c r="F507" s="58"/>
      <c r="G507" s="58"/>
      <c r="H507" s="58"/>
      <c r="I507" s="58"/>
      <c r="J507" s="58"/>
      <c r="K507" s="58"/>
      <c r="L507" s="58"/>
      <c r="M507" s="58"/>
      <c r="N507" s="58"/>
      <c r="O507" s="58"/>
      <c r="P507" s="58"/>
      <c r="Q507" s="58"/>
      <c r="R507" s="58"/>
      <c r="S507" s="58"/>
      <c r="T507" s="58"/>
      <c r="U507" s="58"/>
      <c r="V507" s="58"/>
      <c r="W507" s="58"/>
      <c r="X507" s="58"/>
    </row>
    <row r="508" spans="2:24" x14ac:dyDescent="0.2">
      <c r="B508" s="58"/>
      <c r="C508" s="57"/>
      <c r="D508" s="73" t="s">
        <v>43</v>
      </c>
      <c r="E508" s="72" t="s">
        <v>45</v>
      </c>
      <c r="F508" s="63"/>
      <c r="G508" s="58"/>
      <c r="H508" s="58"/>
      <c r="I508" s="58"/>
      <c r="J508" s="58"/>
      <c r="K508" s="58"/>
      <c r="L508" s="58"/>
      <c r="M508" s="58"/>
      <c r="N508" s="58"/>
      <c r="O508" s="58"/>
      <c r="P508" s="58"/>
      <c r="Q508" s="58"/>
      <c r="R508" s="58"/>
      <c r="S508" s="58"/>
      <c r="T508" s="58"/>
      <c r="U508" s="58"/>
      <c r="V508" s="58"/>
      <c r="W508" s="58"/>
      <c r="X508" s="58"/>
    </row>
    <row r="509" spans="2:24" x14ac:dyDescent="0.2">
      <c r="B509" s="58"/>
      <c r="C509" s="58"/>
      <c r="D509" s="82" t="s">
        <v>515</v>
      </c>
      <c r="E509" s="208">
        <f>6.03*5.01</f>
        <v>30.2103</v>
      </c>
      <c r="F509" s="58"/>
      <c r="G509" s="87" t="s">
        <v>538</v>
      </c>
      <c r="H509" s="58"/>
      <c r="I509" s="58"/>
      <c r="J509" s="58"/>
      <c r="K509" s="58"/>
      <c r="L509" s="58"/>
      <c r="M509" s="58"/>
      <c r="N509" s="58"/>
      <c r="O509" s="58"/>
      <c r="P509" s="58"/>
      <c r="Q509" s="58"/>
      <c r="R509" s="58"/>
      <c r="S509" s="58"/>
      <c r="T509" s="58"/>
      <c r="U509" s="58"/>
      <c r="V509" s="58"/>
      <c r="W509" s="58"/>
      <c r="X509" s="58"/>
    </row>
    <row r="510" spans="2:24" x14ac:dyDescent="0.2">
      <c r="B510" s="58"/>
      <c r="C510" s="58"/>
      <c r="D510" s="82" t="s">
        <v>516</v>
      </c>
      <c r="E510" s="208">
        <f>7.55*4.82</f>
        <v>36.390999999999998</v>
      </c>
      <c r="F510" s="58"/>
      <c r="G510" s="58"/>
      <c r="H510" s="58"/>
      <c r="I510" s="58"/>
      <c r="J510" s="58"/>
      <c r="K510" s="58"/>
      <c r="L510" s="58"/>
      <c r="M510" s="58"/>
      <c r="N510" s="58"/>
      <c r="O510" s="58"/>
      <c r="P510" s="58"/>
      <c r="Q510" s="58"/>
      <c r="R510" s="58"/>
      <c r="S510" s="58"/>
      <c r="T510" s="58"/>
      <c r="U510" s="58"/>
      <c r="V510" s="58"/>
      <c r="W510" s="58"/>
      <c r="X510" s="58"/>
    </row>
    <row r="511" spans="2:24" x14ac:dyDescent="0.2">
      <c r="B511" s="58"/>
      <c r="C511" s="58"/>
      <c r="D511" s="82" t="s">
        <v>565</v>
      </c>
      <c r="E511" s="208">
        <f t="shared" ref="E511:E517" si="13">I163</f>
        <v>30</v>
      </c>
      <c r="F511" s="58"/>
      <c r="G511" s="58"/>
      <c r="H511" s="58"/>
      <c r="I511" s="58"/>
      <c r="J511" s="58"/>
      <c r="K511" s="58"/>
      <c r="L511" s="58"/>
      <c r="M511" s="58"/>
      <c r="N511" s="58"/>
      <c r="O511" s="58"/>
      <c r="P511" s="58"/>
      <c r="Q511" s="58"/>
      <c r="R511" s="58"/>
      <c r="S511" s="58"/>
      <c r="T511" s="58"/>
      <c r="U511" s="58"/>
      <c r="V511" s="58"/>
      <c r="W511" s="58"/>
      <c r="X511" s="58"/>
    </row>
    <row r="512" spans="2:24" x14ac:dyDescent="0.2">
      <c r="B512" s="58"/>
      <c r="C512" s="58"/>
      <c r="D512" s="82" t="s">
        <v>561</v>
      </c>
      <c r="E512" s="208">
        <f t="shared" si="13"/>
        <v>40.25</v>
      </c>
      <c r="F512" s="58"/>
      <c r="G512" s="58"/>
      <c r="H512" s="58"/>
      <c r="I512" s="58"/>
      <c r="J512" s="58"/>
      <c r="K512" s="58"/>
      <c r="L512" s="58"/>
      <c r="M512" s="58"/>
      <c r="N512" s="58"/>
      <c r="O512" s="58"/>
      <c r="P512" s="58"/>
      <c r="Q512" s="58"/>
      <c r="R512" s="58"/>
      <c r="S512" s="58"/>
      <c r="T512" s="58"/>
      <c r="U512" s="58"/>
      <c r="V512" s="58"/>
      <c r="W512" s="58"/>
      <c r="X512" s="58"/>
    </row>
    <row r="513" spans="2:24" x14ac:dyDescent="0.2">
      <c r="B513" s="58"/>
      <c r="C513" s="58"/>
      <c r="D513" s="82" t="s">
        <v>562</v>
      </c>
      <c r="E513" s="208">
        <f t="shared" si="13"/>
        <v>32.320599999999999</v>
      </c>
      <c r="F513" s="58"/>
      <c r="G513" s="58"/>
      <c r="H513" s="58"/>
      <c r="I513" s="58"/>
      <c r="J513" s="58"/>
      <c r="K513" s="58"/>
      <c r="L513" s="58"/>
      <c r="M513" s="58"/>
      <c r="N513" s="58"/>
      <c r="O513" s="58"/>
      <c r="P513" s="58"/>
      <c r="Q513" s="58"/>
      <c r="R513" s="58"/>
      <c r="S513" s="58"/>
      <c r="T513" s="58"/>
      <c r="U513" s="58"/>
      <c r="V513" s="58"/>
      <c r="W513" s="58"/>
      <c r="X513" s="58"/>
    </row>
    <row r="514" spans="2:24" x14ac:dyDescent="0.2">
      <c r="B514" s="58"/>
      <c r="C514" s="58"/>
      <c r="D514" s="82" t="s">
        <v>563</v>
      </c>
      <c r="E514" s="208">
        <f t="shared" si="13"/>
        <v>47.414499999999997</v>
      </c>
      <c r="F514" s="58"/>
      <c r="G514" s="58"/>
      <c r="H514" s="58"/>
      <c r="I514" s="58"/>
      <c r="J514" s="58"/>
      <c r="K514" s="58"/>
      <c r="L514" s="58"/>
      <c r="M514" s="58"/>
      <c r="N514" s="58"/>
      <c r="O514" s="58"/>
      <c r="P514" s="58"/>
      <c r="Q514" s="58"/>
      <c r="R514" s="58"/>
      <c r="S514" s="58"/>
      <c r="T514" s="58"/>
      <c r="U514" s="58"/>
      <c r="V514" s="58"/>
      <c r="W514" s="58"/>
      <c r="X514" s="58"/>
    </row>
    <row r="515" spans="2:24" x14ac:dyDescent="0.2">
      <c r="B515" s="58"/>
      <c r="C515" s="58"/>
      <c r="D515" s="82" t="s">
        <v>564</v>
      </c>
      <c r="E515" s="208">
        <f t="shared" si="13"/>
        <v>39.216799999999999</v>
      </c>
      <c r="F515" s="58"/>
      <c r="G515" s="58"/>
      <c r="H515" s="58"/>
      <c r="I515" s="58"/>
      <c r="J515" s="58"/>
      <c r="K515" s="58"/>
      <c r="L515" s="58"/>
      <c r="M515" s="58"/>
      <c r="N515" s="58"/>
      <c r="O515" s="58"/>
      <c r="P515" s="58"/>
      <c r="Q515" s="58"/>
      <c r="R515" s="58"/>
      <c r="S515" s="58"/>
      <c r="T515" s="58"/>
      <c r="U515" s="58"/>
      <c r="V515" s="58"/>
      <c r="W515" s="58"/>
      <c r="X515" s="58"/>
    </row>
    <row r="516" spans="2:24" x14ac:dyDescent="0.2">
      <c r="B516" s="58"/>
      <c r="C516" s="58"/>
      <c r="D516" s="82" t="s">
        <v>548</v>
      </c>
      <c r="E516" s="61">
        <f t="shared" si="13"/>
        <v>21.312000000000001</v>
      </c>
      <c r="F516" s="58"/>
      <c r="G516" s="58"/>
      <c r="H516" s="58"/>
      <c r="I516" s="58"/>
      <c r="J516" s="58"/>
      <c r="K516" s="58"/>
      <c r="L516" s="58"/>
      <c r="M516" s="58"/>
      <c r="N516" s="58"/>
      <c r="O516" s="58"/>
      <c r="P516" s="58"/>
      <c r="Q516" s="58"/>
      <c r="R516" s="58"/>
      <c r="S516" s="58"/>
      <c r="T516" s="58"/>
      <c r="U516" s="58"/>
      <c r="V516" s="58"/>
      <c r="W516" s="58"/>
      <c r="X516" s="58"/>
    </row>
    <row r="517" spans="2:24" x14ac:dyDescent="0.2">
      <c r="B517" s="58"/>
      <c r="C517" s="58"/>
      <c r="D517" s="82" t="s">
        <v>618</v>
      </c>
      <c r="E517" s="61">
        <f t="shared" si="13"/>
        <v>7.6364999999999998</v>
      </c>
      <c r="F517" s="58"/>
      <c r="G517" s="58"/>
      <c r="H517" s="58"/>
      <c r="I517" s="58"/>
      <c r="J517" s="58"/>
      <c r="K517" s="58"/>
      <c r="L517" s="58"/>
      <c r="M517" s="58"/>
      <c r="N517" s="58"/>
      <c r="O517" s="58"/>
      <c r="P517" s="58"/>
      <c r="Q517" s="58"/>
      <c r="R517" s="58"/>
      <c r="S517" s="58"/>
      <c r="T517" s="58"/>
      <c r="U517" s="58"/>
      <c r="V517" s="58"/>
      <c r="W517" s="58"/>
      <c r="X517" s="58"/>
    </row>
    <row r="518" spans="2:24" x14ac:dyDescent="0.2">
      <c r="B518" s="58"/>
      <c r="C518" s="58"/>
      <c r="D518" s="82"/>
      <c r="E518" s="61"/>
      <c r="F518" s="58"/>
      <c r="G518" s="58"/>
      <c r="H518" s="58"/>
      <c r="I518" s="58"/>
      <c r="J518" s="58"/>
      <c r="K518" s="58"/>
      <c r="L518" s="58"/>
      <c r="M518" s="58"/>
      <c r="N518" s="58"/>
      <c r="O518" s="58"/>
      <c r="P518" s="58"/>
      <c r="Q518" s="58"/>
      <c r="R518" s="58"/>
      <c r="S518" s="58"/>
      <c r="T518" s="58"/>
      <c r="U518" s="58"/>
      <c r="V518" s="58"/>
      <c r="W518" s="58"/>
      <c r="X518" s="58"/>
    </row>
    <row r="519" spans="2:24" x14ac:dyDescent="0.2">
      <c r="B519" s="58"/>
      <c r="C519" s="58"/>
      <c r="D519" s="53" t="s">
        <v>41</v>
      </c>
      <c r="E519" s="62">
        <f>SUM(E509:E517)</f>
        <v>284.75170000000003</v>
      </c>
      <c r="F519" s="58"/>
      <c r="G519" s="58"/>
      <c r="H519" s="58"/>
      <c r="I519" s="58"/>
      <c r="J519" s="58"/>
      <c r="K519" s="58"/>
      <c r="L519" s="58"/>
      <c r="M519" s="58"/>
      <c r="N519" s="58"/>
      <c r="O519" s="58"/>
      <c r="P519" s="58"/>
      <c r="Q519" s="58"/>
      <c r="R519" s="58"/>
      <c r="S519" s="58"/>
      <c r="T519" s="58"/>
      <c r="U519" s="58"/>
      <c r="V519" s="58"/>
      <c r="W519" s="58"/>
      <c r="X519" s="58"/>
    </row>
    <row r="520" spans="2:24" x14ac:dyDescent="0.2">
      <c r="B520" s="58"/>
      <c r="C520" s="58"/>
      <c r="D520" s="58"/>
      <c r="E520" s="58"/>
      <c r="F520" s="58"/>
      <c r="G520" s="58"/>
      <c r="H520" s="58"/>
      <c r="I520" s="58"/>
      <c r="J520" s="58"/>
      <c r="K520" s="58"/>
      <c r="L520" s="58"/>
      <c r="M520" s="58"/>
      <c r="N520" s="58"/>
      <c r="O520" s="58"/>
      <c r="P520" s="58"/>
      <c r="Q520" s="58"/>
      <c r="R520" s="58"/>
      <c r="S520" s="58"/>
      <c r="T520" s="58"/>
      <c r="U520" s="58"/>
      <c r="V520" s="58"/>
      <c r="W520" s="58"/>
      <c r="X520" s="58"/>
    </row>
    <row r="521" spans="2:24" x14ac:dyDescent="0.2">
      <c r="B521" s="58" t="s">
        <v>77</v>
      </c>
      <c r="C521" s="57" t="s">
        <v>397</v>
      </c>
      <c r="D521" s="58" t="s">
        <v>396</v>
      </c>
      <c r="E521" s="58"/>
      <c r="F521" s="58"/>
      <c r="G521" s="58"/>
      <c r="H521" s="58"/>
      <c r="I521" s="58"/>
      <c r="J521" s="58"/>
      <c r="K521" s="58"/>
      <c r="L521" s="58"/>
      <c r="M521" s="58"/>
      <c r="N521" s="58"/>
      <c r="O521" s="58"/>
      <c r="P521" s="58"/>
      <c r="Q521" s="58"/>
      <c r="R521" s="58"/>
      <c r="S521" s="58"/>
      <c r="T521" s="58"/>
      <c r="U521" s="58"/>
      <c r="V521" s="58"/>
      <c r="W521" s="58"/>
      <c r="X521" s="58"/>
    </row>
    <row r="522" spans="2:24" x14ac:dyDescent="0.2">
      <c r="B522" s="58"/>
      <c r="C522" s="57"/>
      <c r="D522" s="58"/>
      <c r="E522" s="58"/>
      <c r="F522" s="58"/>
      <c r="G522" s="58"/>
      <c r="H522" s="58"/>
      <c r="I522" s="58"/>
      <c r="J522" s="58"/>
      <c r="K522" s="58"/>
      <c r="L522" s="58"/>
      <c r="M522" s="58"/>
      <c r="N522" s="58"/>
      <c r="O522" s="58"/>
      <c r="P522" s="58"/>
      <c r="Q522" s="58"/>
      <c r="R522" s="58"/>
      <c r="S522" s="58"/>
      <c r="T522" s="58"/>
      <c r="U522" s="58"/>
      <c r="V522" s="58"/>
      <c r="W522" s="58"/>
      <c r="X522" s="58"/>
    </row>
    <row r="523" spans="2:24" x14ac:dyDescent="0.2">
      <c r="B523" s="58"/>
      <c r="C523" s="57"/>
      <c r="D523" s="73" t="s">
        <v>43</v>
      </c>
      <c r="E523" s="72" t="s">
        <v>45</v>
      </c>
      <c r="F523" s="63"/>
      <c r="G523" s="87"/>
      <c r="H523" s="58"/>
      <c r="I523" s="58"/>
      <c r="J523" s="58"/>
      <c r="K523" s="58"/>
      <c r="L523" s="58"/>
      <c r="M523" s="58"/>
      <c r="N523" s="58"/>
      <c r="O523" s="58"/>
      <c r="P523" s="58"/>
      <c r="Q523" s="58"/>
      <c r="R523" s="58"/>
      <c r="S523" s="58"/>
      <c r="T523" s="58"/>
      <c r="U523" s="58"/>
      <c r="V523" s="58"/>
      <c r="W523" s="58"/>
      <c r="X523" s="58"/>
    </row>
    <row r="524" spans="2:24" x14ac:dyDescent="0.2">
      <c r="B524" s="58"/>
      <c r="C524" s="57"/>
      <c r="D524" s="99" t="s">
        <v>429</v>
      </c>
      <c r="E524" s="61">
        <f>SUM(5.96*6.01)</f>
        <v>35.819600000000001</v>
      </c>
      <c r="F524" s="63"/>
      <c r="G524" s="62"/>
      <c r="H524" s="58"/>
      <c r="I524" s="58"/>
      <c r="J524" s="58"/>
      <c r="K524" s="58"/>
      <c r="L524" s="58"/>
      <c r="M524" s="58"/>
      <c r="N524" s="58"/>
      <c r="O524" s="58"/>
      <c r="P524" s="58"/>
      <c r="Q524" s="58"/>
      <c r="R524" s="58"/>
      <c r="S524" s="58"/>
      <c r="T524" s="58"/>
      <c r="U524" s="58"/>
      <c r="V524" s="58"/>
      <c r="W524" s="58"/>
      <c r="X524" s="58"/>
    </row>
    <row r="525" spans="2:24" x14ac:dyDescent="0.2">
      <c r="B525" s="58"/>
      <c r="C525" s="57"/>
      <c r="D525" s="99" t="s">
        <v>436</v>
      </c>
      <c r="E525" s="61">
        <f>SUM(8*6)</f>
        <v>48</v>
      </c>
      <c r="F525" s="63"/>
      <c r="G525" s="62"/>
      <c r="H525" s="58"/>
      <c r="I525" s="58"/>
      <c r="J525" s="58"/>
      <c r="K525" s="58"/>
      <c r="L525" s="58"/>
      <c r="M525" s="58"/>
      <c r="N525" s="58"/>
      <c r="O525" s="58"/>
      <c r="P525" s="58"/>
      <c r="Q525" s="58"/>
      <c r="R525" s="58"/>
      <c r="S525" s="58"/>
      <c r="T525" s="58"/>
      <c r="U525" s="58"/>
      <c r="V525" s="58"/>
      <c r="W525" s="58"/>
      <c r="X525" s="58"/>
    </row>
    <row r="526" spans="2:24" x14ac:dyDescent="0.2">
      <c r="B526" s="58"/>
      <c r="C526" s="57"/>
      <c r="D526" s="76"/>
      <c r="E526" s="61"/>
      <c r="F526" s="51"/>
      <c r="G526" s="34"/>
      <c r="H526" s="58"/>
      <c r="I526" s="58"/>
      <c r="J526" s="58"/>
      <c r="K526" s="58"/>
      <c r="L526" s="58"/>
      <c r="M526" s="58"/>
      <c r="N526" s="58"/>
      <c r="O526" s="58"/>
      <c r="P526" s="58"/>
      <c r="Q526" s="58"/>
      <c r="R526" s="58"/>
      <c r="S526" s="58"/>
      <c r="T526" s="58"/>
      <c r="U526" s="58"/>
      <c r="V526" s="58"/>
      <c r="W526" s="58"/>
      <c r="X526" s="58"/>
    </row>
    <row r="527" spans="2:24" x14ac:dyDescent="0.2">
      <c r="B527" s="58"/>
      <c r="C527" s="57"/>
      <c r="D527" s="53" t="s">
        <v>41</v>
      </c>
      <c r="E527" s="62">
        <f>SUM(E524:E526)</f>
        <v>83.819600000000008</v>
      </c>
      <c r="F527" s="51"/>
      <c r="G527" s="34"/>
      <c r="H527" s="58"/>
      <c r="I527" s="58"/>
      <c r="J527" s="58"/>
      <c r="K527" s="58"/>
      <c r="L527" s="58"/>
      <c r="M527" s="58"/>
      <c r="N527" s="58"/>
      <c r="O527" s="58"/>
      <c r="P527" s="58"/>
      <c r="Q527" s="58"/>
      <c r="R527" s="58"/>
      <c r="S527" s="58"/>
      <c r="T527" s="58"/>
      <c r="U527" s="58"/>
      <c r="V527" s="58"/>
      <c r="W527" s="58"/>
      <c r="X527" s="58"/>
    </row>
    <row r="528" spans="2:24" x14ac:dyDescent="0.2">
      <c r="B528" s="58"/>
      <c r="C528" s="57"/>
      <c r="D528" s="53"/>
      <c r="E528" s="62"/>
      <c r="F528" s="51"/>
      <c r="G528" s="34"/>
      <c r="H528" s="58"/>
      <c r="I528" s="58"/>
      <c r="J528" s="58"/>
      <c r="K528" s="58"/>
      <c r="L528" s="58"/>
      <c r="M528" s="58"/>
      <c r="N528" s="58"/>
      <c r="O528" s="58"/>
      <c r="P528" s="58"/>
      <c r="Q528" s="58"/>
      <c r="R528" s="58"/>
      <c r="S528" s="58"/>
      <c r="T528" s="58"/>
      <c r="U528" s="58"/>
      <c r="V528" s="58"/>
      <c r="W528" s="58"/>
      <c r="X528" s="58"/>
    </row>
    <row r="529" spans="2:24" x14ac:dyDescent="0.2">
      <c r="B529" s="58" t="s">
        <v>398</v>
      </c>
      <c r="C529" s="57" t="s">
        <v>532</v>
      </c>
      <c r="D529" s="58" t="s">
        <v>533</v>
      </c>
      <c r="E529" s="58"/>
      <c r="F529" s="58"/>
      <c r="G529" s="58"/>
      <c r="H529" s="58"/>
      <c r="I529" s="58"/>
      <c r="J529" s="58"/>
      <c r="K529" s="58"/>
      <c r="L529" s="58"/>
      <c r="M529" s="58"/>
      <c r="N529" s="58"/>
      <c r="O529" s="58"/>
      <c r="P529" s="58"/>
      <c r="Q529" s="58"/>
      <c r="R529" s="58"/>
      <c r="S529" s="58"/>
      <c r="T529" s="58"/>
      <c r="U529" s="58"/>
      <c r="V529" s="58"/>
      <c r="W529" s="58"/>
      <c r="X529" s="58"/>
    </row>
    <row r="530" spans="2:24" x14ac:dyDescent="0.2">
      <c r="B530" s="58"/>
      <c r="C530" s="57"/>
      <c r="D530" s="58"/>
      <c r="E530" s="58"/>
      <c r="F530" s="58"/>
      <c r="G530" s="58"/>
      <c r="H530" s="58"/>
      <c r="I530" s="58"/>
      <c r="J530" s="58"/>
      <c r="K530" s="58"/>
      <c r="L530" s="58"/>
      <c r="M530" s="58"/>
      <c r="N530" s="58"/>
      <c r="O530" s="58"/>
      <c r="P530" s="58"/>
      <c r="Q530" s="58"/>
      <c r="R530" s="58"/>
      <c r="S530" s="58"/>
      <c r="T530" s="58"/>
      <c r="U530" s="58"/>
      <c r="V530" s="58"/>
      <c r="W530" s="58"/>
      <c r="X530" s="58"/>
    </row>
    <row r="531" spans="2:24" x14ac:dyDescent="0.2">
      <c r="B531" s="58"/>
      <c r="C531" s="57"/>
      <c r="D531" s="73" t="s">
        <v>43</v>
      </c>
      <c r="E531" s="72" t="s">
        <v>45</v>
      </c>
      <c r="F531" s="63"/>
      <c r="G531" s="87"/>
      <c r="H531" s="58"/>
      <c r="I531" s="58"/>
      <c r="J531" s="58"/>
      <c r="K531" s="58"/>
      <c r="L531" s="58"/>
      <c r="M531" s="58"/>
      <c r="N531" s="58"/>
      <c r="O531" s="58"/>
      <c r="P531" s="58"/>
      <c r="Q531" s="58"/>
      <c r="R531" s="58"/>
      <c r="S531" s="58"/>
      <c r="T531" s="58"/>
      <c r="U531" s="58"/>
      <c r="V531" s="58"/>
      <c r="W531" s="58"/>
      <c r="X531" s="58"/>
    </row>
    <row r="532" spans="2:24" x14ac:dyDescent="0.2">
      <c r="B532" s="58"/>
      <c r="C532" s="57"/>
      <c r="D532" s="76" t="s">
        <v>429</v>
      </c>
      <c r="E532" s="61">
        <f>SUM(5.96*6.01)</f>
        <v>35.819600000000001</v>
      </c>
      <c r="F532" s="63"/>
      <c r="G532" s="87" t="s">
        <v>567</v>
      </c>
      <c r="H532" s="83"/>
      <c r="I532" s="58"/>
      <c r="J532" s="58"/>
      <c r="K532" s="58"/>
      <c r="L532" s="58"/>
      <c r="M532" s="58"/>
      <c r="N532" s="58"/>
      <c r="O532" s="58"/>
      <c r="P532" s="58"/>
      <c r="Q532" s="58"/>
      <c r="R532" s="58"/>
      <c r="S532" s="58"/>
      <c r="T532" s="58"/>
      <c r="U532" s="58"/>
      <c r="V532" s="58"/>
      <c r="W532" s="58"/>
      <c r="X532" s="58"/>
    </row>
    <row r="533" spans="2:24" x14ac:dyDescent="0.2">
      <c r="B533" s="58"/>
      <c r="C533" s="57"/>
      <c r="D533" s="76" t="s">
        <v>436</v>
      </c>
      <c r="E533" s="61">
        <f>SUM(8*6)</f>
        <v>48</v>
      </c>
      <c r="F533" s="63"/>
      <c r="G533" s="62"/>
      <c r="H533" s="58"/>
      <c r="I533" s="58"/>
      <c r="J533" s="58"/>
      <c r="K533" s="58"/>
      <c r="L533" s="58"/>
      <c r="M533" s="58"/>
      <c r="N533" s="58"/>
      <c r="O533" s="58"/>
      <c r="P533" s="58"/>
      <c r="Q533" s="58"/>
      <c r="R533" s="58"/>
      <c r="S533" s="58"/>
      <c r="T533" s="58"/>
      <c r="U533" s="58"/>
      <c r="V533" s="58"/>
      <c r="W533" s="58"/>
      <c r="X533" s="58"/>
    </row>
    <row r="534" spans="2:24" x14ac:dyDescent="0.2">
      <c r="B534" s="58"/>
      <c r="C534" s="57"/>
      <c r="D534" s="82" t="s">
        <v>515</v>
      </c>
      <c r="E534" s="208">
        <f>6.03*5.01</f>
        <v>30.2103</v>
      </c>
      <c r="F534" s="63"/>
      <c r="G534" s="62"/>
      <c r="H534" s="58"/>
      <c r="I534" s="58"/>
      <c r="J534" s="58"/>
      <c r="K534" s="58"/>
      <c r="L534" s="58"/>
      <c r="M534" s="58"/>
      <c r="N534" s="58"/>
      <c r="O534" s="58"/>
      <c r="P534" s="58"/>
      <c r="Q534" s="58"/>
      <c r="R534" s="58"/>
      <c r="S534" s="58"/>
      <c r="T534" s="58"/>
      <c r="U534" s="58"/>
      <c r="V534" s="58"/>
      <c r="W534" s="58"/>
      <c r="X534" s="58"/>
    </row>
    <row r="535" spans="2:24" x14ac:dyDescent="0.2">
      <c r="B535" s="58"/>
      <c r="C535" s="57"/>
      <c r="D535" s="82" t="s">
        <v>516</v>
      </c>
      <c r="E535" s="208">
        <f>7.55*4.82</f>
        <v>36.390999999999998</v>
      </c>
      <c r="F535" s="63"/>
      <c r="G535" s="62"/>
      <c r="H535" s="58"/>
      <c r="I535" s="58"/>
      <c r="J535" s="58"/>
      <c r="K535" s="58"/>
      <c r="L535" s="58"/>
      <c r="M535" s="58"/>
      <c r="N535" s="58"/>
      <c r="O535" s="58"/>
      <c r="P535" s="58"/>
      <c r="Q535" s="58"/>
      <c r="R535" s="58"/>
      <c r="S535" s="58"/>
      <c r="T535" s="58"/>
      <c r="U535" s="58"/>
      <c r="V535" s="58"/>
      <c r="W535" s="58"/>
      <c r="X535" s="58"/>
    </row>
    <row r="536" spans="2:24" x14ac:dyDescent="0.2">
      <c r="B536" s="58"/>
      <c r="C536" s="57"/>
      <c r="D536" s="82" t="s">
        <v>565</v>
      </c>
      <c r="E536" s="208">
        <f t="shared" ref="E536:E542" si="14">E511</f>
        <v>30</v>
      </c>
      <c r="F536" s="63"/>
      <c r="G536" s="62"/>
      <c r="H536" s="58"/>
      <c r="I536" s="58"/>
      <c r="J536" s="58"/>
      <c r="K536" s="58"/>
      <c r="L536" s="58"/>
      <c r="M536" s="58"/>
      <c r="N536" s="58"/>
      <c r="O536" s="58"/>
      <c r="P536" s="58"/>
      <c r="Q536" s="58"/>
      <c r="R536" s="58"/>
      <c r="S536" s="58"/>
      <c r="T536" s="58"/>
      <c r="U536" s="58"/>
      <c r="V536" s="58"/>
      <c r="W536" s="58"/>
      <c r="X536" s="58"/>
    </row>
    <row r="537" spans="2:24" x14ac:dyDescent="0.2">
      <c r="B537" s="58"/>
      <c r="C537" s="57"/>
      <c r="D537" s="82" t="s">
        <v>561</v>
      </c>
      <c r="E537" s="208">
        <f t="shared" si="14"/>
        <v>40.25</v>
      </c>
      <c r="F537" s="63"/>
      <c r="G537" s="62"/>
      <c r="H537" s="58"/>
      <c r="I537" s="58"/>
      <c r="J537" s="58"/>
      <c r="K537" s="58"/>
      <c r="L537" s="58"/>
      <c r="M537" s="58"/>
      <c r="N537" s="58"/>
      <c r="O537" s="58"/>
      <c r="P537" s="58"/>
      <c r="Q537" s="58"/>
      <c r="R537" s="58"/>
      <c r="S537" s="58"/>
      <c r="T537" s="58"/>
      <c r="U537" s="58"/>
      <c r="V537" s="58"/>
      <c r="W537" s="58"/>
      <c r="X537" s="58"/>
    </row>
    <row r="538" spans="2:24" x14ac:dyDescent="0.2">
      <c r="B538" s="58"/>
      <c r="C538" s="57"/>
      <c r="D538" s="82" t="s">
        <v>562</v>
      </c>
      <c r="E538" s="208">
        <f t="shared" si="14"/>
        <v>32.320599999999999</v>
      </c>
      <c r="F538" s="63"/>
      <c r="G538" s="62"/>
      <c r="H538" s="58"/>
      <c r="I538" s="58"/>
      <c r="J538" s="58"/>
      <c r="K538" s="58"/>
      <c r="L538" s="58"/>
      <c r="M538" s="58"/>
      <c r="N538" s="58"/>
      <c r="O538" s="58"/>
      <c r="P538" s="58"/>
      <c r="Q538" s="58"/>
      <c r="R538" s="58"/>
      <c r="S538" s="58"/>
      <c r="T538" s="58"/>
      <c r="U538" s="58"/>
      <c r="V538" s="58"/>
      <c r="W538" s="58"/>
      <c r="X538" s="58"/>
    </row>
    <row r="539" spans="2:24" x14ac:dyDescent="0.2">
      <c r="B539" s="58"/>
      <c r="C539" s="57"/>
      <c r="D539" s="82" t="s">
        <v>563</v>
      </c>
      <c r="E539" s="208">
        <f t="shared" si="14"/>
        <v>47.414499999999997</v>
      </c>
      <c r="F539" s="63"/>
      <c r="G539" s="62"/>
      <c r="H539" s="58"/>
      <c r="I539" s="58"/>
      <c r="J539" s="58"/>
      <c r="K539" s="58"/>
      <c r="L539" s="58"/>
      <c r="M539" s="58"/>
      <c r="N539" s="58"/>
      <c r="O539" s="58"/>
      <c r="P539" s="58"/>
      <c r="Q539" s="58"/>
      <c r="R539" s="58"/>
      <c r="S539" s="58"/>
      <c r="T539" s="58"/>
      <c r="U539" s="58"/>
      <c r="V539" s="58"/>
      <c r="W539" s="58"/>
      <c r="X539" s="58"/>
    </row>
    <row r="540" spans="2:24" x14ac:dyDescent="0.2">
      <c r="B540" s="58"/>
      <c r="C540" s="57"/>
      <c r="D540" s="82" t="s">
        <v>564</v>
      </c>
      <c r="E540" s="208">
        <f t="shared" si="14"/>
        <v>39.216799999999999</v>
      </c>
      <c r="F540" s="63"/>
      <c r="G540" s="62"/>
      <c r="H540" s="58"/>
      <c r="I540" s="58"/>
      <c r="J540" s="58"/>
      <c r="K540" s="58"/>
      <c r="L540" s="58"/>
      <c r="M540" s="58"/>
      <c r="N540" s="58"/>
      <c r="O540" s="58"/>
      <c r="P540" s="58"/>
      <c r="Q540" s="58"/>
      <c r="R540" s="58"/>
      <c r="S540" s="58"/>
      <c r="T540" s="58"/>
      <c r="U540" s="58"/>
      <c r="V540" s="58"/>
      <c r="W540" s="58"/>
      <c r="X540" s="58"/>
    </row>
    <row r="541" spans="2:24" x14ac:dyDescent="0.2">
      <c r="B541" s="58"/>
      <c r="C541" s="57"/>
      <c r="D541" s="82" t="s">
        <v>548</v>
      </c>
      <c r="E541" s="61">
        <f t="shared" si="14"/>
        <v>21.312000000000001</v>
      </c>
      <c r="F541" s="63"/>
      <c r="G541" s="62"/>
      <c r="H541" s="58"/>
      <c r="I541" s="58"/>
      <c r="J541" s="58"/>
      <c r="K541" s="58"/>
      <c r="L541" s="58"/>
      <c r="M541" s="58"/>
      <c r="N541" s="58"/>
      <c r="O541" s="58"/>
      <c r="P541" s="58"/>
      <c r="Q541" s="58"/>
      <c r="R541" s="58"/>
      <c r="S541" s="58"/>
      <c r="T541" s="58"/>
      <c r="U541" s="58"/>
      <c r="V541" s="58"/>
      <c r="W541" s="58"/>
      <c r="X541" s="58"/>
    </row>
    <row r="542" spans="2:24" x14ac:dyDescent="0.2">
      <c r="B542" s="58"/>
      <c r="C542" s="57"/>
      <c r="D542" s="82" t="s">
        <v>618</v>
      </c>
      <c r="E542" s="61">
        <f t="shared" si="14"/>
        <v>7.6364999999999998</v>
      </c>
      <c r="F542" s="51"/>
      <c r="G542" s="34"/>
      <c r="H542" s="58"/>
      <c r="I542" s="58"/>
      <c r="J542" s="58"/>
      <c r="K542" s="58"/>
      <c r="L542" s="58"/>
      <c r="M542" s="58"/>
      <c r="N542" s="58"/>
      <c r="O542" s="58"/>
      <c r="P542" s="58"/>
      <c r="Q542" s="58"/>
      <c r="R542" s="58"/>
      <c r="S542" s="58"/>
      <c r="T542" s="58"/>
      <c r="U542" s="58"/>
      <c r="V542" s="58"/>
      <c r="W542" s="58"/>
      <c r="X542" s="58"/>
    </row>
    <row r="543" spans="2:24" x14ac:dyDescent="0.2">
      <c r="B543" s="58"/>
      <c r="C543" s="57"/>
      <c r="D543" s="82"/>
      <c r="E543" s="61"/>
      <c r="F543" s="51"/>
      <c r="G543" s="34"/>
      <c r="H543" s="58"/>
      <c r="I543" s="58"/>
      <c r="J543" s="58"/>
      <c r="K543" s="58"/>
      <c r="L543" s="58"/>
      <c r="M543" s="58"/>
      <c r="N543" s="58"/>
      <c r="O543" s="58"/>
      <c r="P543" s="58"/>
      <c r="Q543" s="58"/>
      <c r="R543" s="58"/>
      <c r="S543" s="58"/>
      <c r="T543" s="58"/>
      <c r="U543" s="58"/>
      <c r="V543" s="58"/>
      <c r="W543" s="58"/>
      <c r="X543" s="58"/>
    </row>
    <row r="544" spans="2:24" x14ac:dyDescent="0.2">
      <c r="B544" s="58"/>
      <c r="C544" s="57"/>
      <c r="D544" s="53" t="s">
        <v>41</v>
      </c>
      <c r="E544" s="62">
        <f>SUM(E532:E542)</f>
        <v>368.57130000000001</v>
      </c>
      <c r="F544" s="51"/>
      <c r="G544" s="34"/>
      <c r="H544" s="58"/>
      <c r="I544" s="58"/>
      <c r="J544" s="58"/>
      <c r="K544" s="58"/>
      <c r="L544" s="58"/>
      <c r="M544" s="58"/>
      <c r="N544" s="58"/>
      <c r="O544" s="58"/>
      <c r="P544" s="58"/>
      <c r="Q544" s="58"/>
      <c r="R544" s="58"/>
      <c r="S544" s="58"/>
      <c r="T544" s="58"/>
      <c r="U544" s="58"/>
      <c r="V544" s="58"/>
      <c r="W544" s="58"/>
      <c r="X544" s="58"/>
    </row>
    <row r="545" spans="2:24" x14ac:dyDescent="0.2">
      <c r="B545" s="58"/>
      <c r="C545" s="58"/>
      <c r="D545" s="58"/>
      <c r="E545" s="58"/>
      <c r="F545" s="58"/>
      <c r="G545" s="58"/>
      <c r="H545" s="58"/>
      <c r="I545" s="58"/>
      <c r="J545" s="58"/>
      <c r="K545" s="58"/>
      <c r="L545" s="58"/>
      <c r="M545" s="58"/>
      <c r="N545" s="58"/>
      <c r="O545" s="58"/>
      <c r="P545" s="58"/>
      <c r="Q545" s="58"/>
      <c r="R545" s="58"/>
      <c r="S545" s="58"/>
      <c r="T545" s="58"/>
      <c r="U545" s="58"/>
      <c r="V545" s="58"/>
      <c r="W545" s="58"/>
      <c r="X545" s="58"/>
    </row>
    <row r="546" spans="2:24" s="49" customFormat="1" x14ac:dyDescent="0.2">
      <c r="B546" s="58" t="s">
        <v>534</v>
      </c>
      <c r="C546" s="57" t="s">
        <v>400</v>
      </c>
      <c r="D546" s="58" t="s">
        <v>399</v>
      </c>
      <c r="E546" s="58"/>
      <c r="F546" s="58"/>
      <c r="G546" s="58"/>
      <c r="H546" s="58"/>
      <c r="I546" s="58"/>
      <c r="J546" s="58"/>
      <c r="K546" s="58"/>
      <c r="L546" s="58"/>
      <c r="M546" s="58"/>
      <c r="N546" s="58"/>
      <c r="O546" s="58"/>
      <c r="P546" s="58"/>
      <c r="Q546" s="58"/>
      <c r="R546" s="58"/>
      <c r="S546" s="58"/>
      <c r="T546" s="58"/>
      <c r="U546" s="58"/>
      <c r="V546" s="58"/>
      <c r="W546" s="58"/>
      <c r="X546" s="58"/>
    </row>
    <row r="547" spans="2:24" s="49" customFormat="1" x14ac:dyDescent="0.2">
      <c r="B547" s="58"/>
      <c r="C547" s="57"/>
      <c r="D547" s="58"/>
      <c r="E547" s="58"/>
      <c r="F547" s="58"/>
      <c r="G547" s="58"/>
      <c r="H547" s="58"/>
      <c r="I547" s="58"/>
      <c r="J547" s="58"/>
      <c r="K547" s="58"/>
      <c r="L547" s="58"/>
      <c r="M547" s="58"/>
      <c r="N547" s="58"/>
      <c r="O547" s="58"/>
      <c r="P547" s="58"/>
      <c r="Q547" s="58"/>
      <c r="R547" s="58"/>
      <c r="S547" s="58"/>
      <c r="T547" s="58"/>
      <c r="U547" s="58"/>
      <c r="V547" s="58"/>
      <c r="W547" s="58"/>
      <c r="X547" s="58"/>
    </row>
    <row r="548" spans="2:24" s="49" customFormat="1" x14ac:dyDescent="0.2">
      <c r="B548" s="58"/>
      <c r="C548" s="57"/>
      <c r="D548" s="73" t="s">
        <v>55</v>
      </c>
      <c r="E548" s="59" t="s">
        <v>44</v>
      </c>
      <c r="F548" s="59"/>
      <c r="G548" s="59" t="s">
        <v>42</v>
      </c>
      <c r="H548" s="59"/>
      <c r="I548" s="59" t="s">
        <v>52</v>
      </c>
      <c r="J548" s="58"/>
      <c r="K548" s="58"/>
      <c r="L548" s="58"/>
      <c r="M548" s="58"/>
      <c r="N548" s="58"/>
      <c r="O548" s="58"/>
      <c r="P548" s="58"/>
      <c r="Q548" s="58"/>
      <c r="R548" s="58"/>
      <c r="S548" s="58"/>
      <c r="T548" s="58"/>
      <c r="U548" s="58"/>
      <c r="V548" s="58"/>
      <c r="W548" s="58"/>
      <c r="X548" s="58"/>
    </row>
    <row r="549" spans="2:24" s="49" customFormat="1" x14ac:dyDescent="0.2">
      <c r="B549" s="58"/>
      <c r="C549" s="57"/>
      <c r="D549" s="34">
        <v>0.8</v>
      </c>
      <c r="E549" s="75">
        <v>5</v>
      </c>
      <c r="F549" s="51"/>
      <c r="G549" s="34">
        <v>0.8</v>
      </c>
      <c r="H549" s="51"/>
      <c r="I549" s="34">
        <f>SUM(E549,G549)</f>
        <v>5.8</v>
      </c>
      <c r="J549" s="58"/>
      <c r="K549" s="58"/>
      <c r="L549" s="83"/>
      <c r="M549" s="58"/>
      <c r="N549" s="58"/>
      <c r="O549" s="58"/>
      <c r="P549" s="58"/>
      <c r="Q549" s="58"/>
      <c r="R549" s="58"/>
      <c r="S549" s="58"/>
      <c r="T549" s="58"/>
      <c r="U549" s="58"/>
      <c r="V549" s="58"/>
      <c r="W549" s="58"/>
      <c r="X549" s="58"/>
    </row>
    <row r="550" spans="2:24" s="49" customFormat="1" x14ac:dyDescent="0.2">
      <c r="B550" s="58"/>
      <c r="C550" s="57"/>
      <c r="D550" s="76"/>
      <c r="E550" s="75"/>
      <c r="F550" s="51"/>
      <c r="G550" s="34"/>
      <c r="H550" s="51"/>
      <c r="I550" s="34"/>
      <c r="J550" s="58"/>
      <c r="K550" s="87" t="s">
        <v>549</v>
      </c>
      <c r="L550" s="83"/>
      <c r="M550" s="58"/>
      <c r="N550" s="58"/>
      <c r="O550" s="58"/>
      <c r="P550" s="58"/>
      <c r="Q550" s="58"/>
      <c r="R550" s="58"/>
      <c r="S550" s="58"/>
      <c r="T550" s="58"/>
      <c r="U550" s="58"/>
      <c r="V550" s="58"/>
      <c r="W550" s="58"/>
      <c r="X550" s="58"/>
    </row>
    <row r="551" spans="2:24" s="49" customFormat="1" x14ac:dyDescent="0.2">
      <c r="B551" s="58"/>
      <c r="C551" s="57"/>
      <c r="D551" s="85"/>
      <c r="E551" s="63"/>
      <c r="F551" s="63"/>
      <c r="G551" s="63"/>
      <c r="H551" s="53" t="s">
        <v>41</v>
      </c>
      <c r="I551" s="52">
        <f>SUM(I549:I550)</f>
        <v>5.8</v>
      </c>
      <c r="J551" s="58"/>
      <c r="K551" s="58"/>
      <c r="L551" s="58"/>
      <c r="M551" s="58"/>
      <c r="N551" s="58"/>
      <c r="O551" s="58"/>
      <c r="P551" s="58"/>
      <c r="Q551" s="58"/>
      <c r="R551" s="58"/>
      <c r="S551" s="58"/>
      <c r="T551" s="58"/>
      <c r="U551" s="58"/>
      <c r="V551" s="58"/>
      <c r="W551" s="58"/>
      <c r="X551" s="58"/>
    </row>
    <row r="552" spans="2:24" s="49" customFormat="1" x14ac:dyDescent="0.2">
      <c r="B552" s="58"/>
      <c r="C552" s="58"/>
      <c r="D552" s="58"/>
      <c r="E552" s="58"/>
      <c r="F552" s="58"/>
      <c r="G552" s="58"/>
      <c r="H552" s="58"/>
      <c r="I552" s="58"/>
      <c r="J552" s="58"/>
      <c r="K552" s="58"/>
      <c r="L552" s="58"/>
      <c r="M552" s="58"/>
      <c r="N552" s="58"/>
      <c r="O552" s="58"/>
      <c r="P552" s="58"/>
      <c r="Q552" s="58"/>
      <c r="R552" s="58"/>
      <c r="S552" s="58"/>
      <c r="T552" s="58"/>
      <c r="U552" s="58"/>
      <c r="V552" s="58"/>
      <c r="W552" s="58"/>
      <c r="X552" s="58"/>
    </row>
    <row r="553" spans="2:24" s="49" customFormat="1" x14ac:dyDescent="0.2">
      <c r="B553" s="58" t="s">
        <v>537</v>
      </c>
      <c r="C553" s="57" t="s">
        <v>535</v>
      </c>
      <c r="D553" s="58" t="s">
        <v>536</v>
      </c>
      <c r="E553" s="58"/>
      <c r="F553" s="58"/>
      <c r="G553" s="58"/>
      <c r="H553" s="58"/>
      <c r="I553" s="58"/>
      <c r="J553" s="58"/>
      <c r="K553" s="58"/>
      <c r="L553" s="58"/>
      <c r="M553" s="58"/>
      <c r="N553" s="58"/>
      <c r="O553" s="58"/>
      <c r="P553" s="58"/>
      <c r="Q553" s="58"/>
      <c r="R553" s="58"/>
      <c r="S553" s="58"/>
      <c r="T553" s="58"/>
      <c r="U553" s="58"/>
      <c r="V553" s="58"/>
      <c r="W553" s="58"/>
      <c r="X553" s="58"/>
    </row>
    <row r="554" spans="2:24" s="49" customFormat="1" x14ac:dyDescent="0.2">
      <c r="B554" s="58"/>
      <c r="C554" s="57"/>
      <c r="D554" s="58"/>
      <c r="E554" s="58"/>
      <c r="F554" s="58"/>
      <c r="G554" s="58"/>
      <c r="H554" s="58"/>
      <c r="I554" s="58"/>
      <c r="J554" s="58"/>
      <c r="K554" s="58"/>
      <c r="L554" s="58"/>
      <c r="M554" s="58"/>
      <c r="N554" s="58"/>
      <c r="O554" s="58"/>
      <c r="P554" s="58"/>
      <c r="Q554" s="58"/>
      <c r="R554" s="58"/>
      <c r="S554" s="58"/>
      <c r="T554" s="58"/>
      <c r="U554" s="58"/>
      <c r="V554" s="58"/>
      <c r="W554" s="58"/>
      <c r="X554" s="58"/>
    </row>
    <row r="555" spans="2:24" s="49" customFormat="1" x14ac:dyDescent="0.2">
      <c r="B555" s="58"/>
      <c r="C555" s="57"/>
      <c r="D555" s="73" t="s">
        <v>43</v>
      </c>
      <c r="E555" s="72" t="s">
        <v>56</v>
      </c>
      <c r="F555" s="58"/>
      <c r="G555" s="58"/>
      <c r="H555" s="58"/>
      <c r="I555" s="58"/>
      <c r="J555" s="58"/>
      <c r="K555" s="58"/>
      <c r="L555" s="58"/>
      <c r="M555" s="58"/>
      <c r="N555" s="58"/>
      <c r="O555" s="58"/>
      <c r="P555" s="58"/>
      <c r="Q555" s="58"/>
      <c r="R555" s="58"/>
      <c r="S555" s="58"/>
      <c r="T555" s="58"/>
      <c r="U555" s="58"/>
      <c r="V555" s="58"/>
      <c r="W555" s="58"/>
      <c r="X555" s="58"/>
    </row>
    <row r="556" spans="2:24" s="49" customFormat="1" x14ac:dyDescent="0.2">
      <c r="B556" s="58"/>
      <c r="C556" s="58"/>
      <c r="D556" s="82" t="s">
        <v>515</v>
      </c>
      <c r="E556" s="34">
        <f>6.03+5.19+5.01+4.21</f>
        <v>20.440000000000001</v>
      </c>
      <c r="F556" s="58"/>
      <c r="G556" s="87"/>
      <c r="H556" s="58"/>
      <c r="I556" s="58"/>
      <c r="J556" s="58"/>
      <c r="K556" s="58"/>
      <c r="L556" s="58"/>
      <c r="M556" s="58"/>
      <c r="N556" s="58"/>
      <c r="O556" s="58"/>
      <c r="P556" s="58"/>
      <c r="Q556" s="58"/>
      <c r="R556" s="58"/>
      <c r="S556" s="58"/>
      <c r="T556" s="58"/>
      <c r="U556" s="58"/>
      <c r="V556" s="58"/>
      <c r="W556" s="58"/>
      <c r="X556" s="58"/>
    </row>
    <row r="557" spans="2:24" s="49" customFormat="1" x14ac:dyDescent="0.2">
      <c r="B557" s="58"/>
      <c r="C557" s="58"/>
      <c r="D557" s="82" t="s">
        <v>516</v>
      </c>
      <c r="E557" s="34">
        <f>4.82+7.55+7.55+3.66</f>
        <v>23.580000000000002</v>
      </c>
      <c r="F557" s="58"/>
      <c r="G557" s="58"/>
      <c r="H557" s="58"/>
      <c r="I557" s="58"/>
      <c r="J557" s="58"/>
      <c r="K557" s="58"/>
      <c r="L557" s="58"/>
      <c r="M557" s="58"/>
      <c r="N557" s="58"/>
      <c r="O557" s="58"/>
      <c r="P557" s="58"/>
      <c r="Q557" s="58"/>
      <c r="R557" s="58"/>
      <c r="S557" s="58"/>
      <c r="T557" s="58"/>
      <c r="U557" s="58"/>
      <c r="V557" s="58"/>
      <c r="W557" s="58"/>
      <c r="X557" s="58"/>
    </row>
    <row r="558" spans="2:24" s="49" customFormat="1" x14ac:dyDescent="0.2">
      <c r="B558" s="58"/>
      <c r="C558" s="58"/>
      <c r="D558" s="82" t="s">
        <v>565</v>
      </c>
      <c r="E558" s="34">
        <f>4.8+0.13+0.48+4.87+6+3.87+0.29+0.13+0.1</f>
        <v>20.67</v>
      </c>
      <c r="F558" s="58"/>
      <c r="G558" s="58"/>
      <c r="H558" s="58"/>
      <c r="I558" s="58"/>
      <c r="J558" s="58"/>
      <c r="K558" s="58"/>
      <c r="L558" s="58"/>
      <c r="M558" s="58"/>
      <c r="N558" s="58"/>
      <c r="O558" s="58"/>
      <c r="P558" s="58"/>
      <c r="Q558" s="58"/>
      <c r="R558" s="58"/>
      <c r="S558" s="58"/>
      <c r="T558" s="58"/>
      <c r="U558" s="58"/>
      <c r="V558" s="58"/>
      <c r="W558" s="58"/>
      <c r="X558" s="58"/>
    </row>
    <row r="559" spans="2:24" s="49" customFormat="1" x14ac:dyDescent="0.2">
      <c r="B559" s="58"/>
      <c r="C559" s="58"/>
      <c r="D559" s="82" t="s">
        <v>561</v>
      </c>
      <c r="E559" s="34">
        <f>8.02+4+5+8.02</f>
        <v>25.04</v>
      </c>
      <c r="F559" s="58"/>
      <c r="G559" s="58"/>
      <c r="H559" s="58"/>
      <c r="I559" s="58"/>
      <c r="J559" s="58"/>
      <c r="K559" s="58"/>
      <c r="L559" s="58"/>
      <c r="M559" s="58"/>
      <c r="N559" s="58"/>
      <c r="O559" s="58"/>
      <c r="P559" s="58"/>
      <c r="Q559" s="58"/>
      <c r="R559" s="58"/>
      <c r="S559" s="58"/>
      <c r="T559" s="58"/>
      <c r="U559" s="58"/>
      <c r="V559" s="58"/>
      <c r="W559" s="58"/>
      <c r="X559" s="58"/>
    </row>
    <row r="560" spans="2:24" s="49" customFormat="1" x14ac:dyDescent="0.2">
      <c r="B560" s="58"/>
      <c r="C560" s="58"/>
      <c r="D560" s="82" t="s">
        <v>562</v>
      </c>
      <c r="E560" s="34">
        <f>8.02+3.87+3.03+8.02</f>
        <v>22.939999999999998</v>
      </c>
      <c r="F560" s="58"/>
      <c r="G560" s="58"/>
      <c r="H560" s="58"/>
      <c r="I560" s="58"/>
      <c r="J560" s="58"/>
      <c r="K560" s="58"/>
      <c r="L560" s="58"/>
      <c r="M560" s="58"/>
      <c r="N560" s="58"/>
      <c r="O560" s="58"/>
      <c r="P560" s="58"/>
      <c r="Q560" s="58"/>
      <c r="R560" s="58"/>
      <c r="S560" s="58"/>
      <c r="T560" s="58"/>
      <c r="U560" s="58"/>
      <c r="V560" s="58"/>
      <c r="W560" s="58"/>
      <c r="X560" s="58"/>
    </row>
    <row r="561" spans="2:24" s="49" customFormat="1" x14ac:dyDescent="0.2">
      <c r="B561" s="58"/>
      <c r="C561" s="58"/>
      <c r="D561" s="82" t="s">
        <v>563</v>
      </c>
      <c r="E561" s="34">
        <f>4.2+3.13+2.15+0.47+0.16+3.66+0.47+3.18+1.2+2.08+2.93+0.8+0.13+0.95+0.95+0.13+0.95+0.95+0.13+0.2+0.33+0.6+4.85+0.6+0.35+0.6+5.66+0.45+0.35+0.15+0.16+0.6+3.53+0.6+0.1+0.88+0.2+2.08</f>
        <v>50.910000000000011</v>
      </c>
      <c r="F561" s="58"/>
      <c r="G561" s="58"/>
      <c r="H561" s="58"/>
      <c r="I561" s="58"/>
      <c r="J561" s="58"/>
      <c r="K561" s="58"/>
      <c r="L561" s="58"/>
      <c r="M561" s="58"/>
      <c r="N561" s="58"/>
      <c r="O561" s="58"/>
      <c r="P561" s="58"/>
      <c r="Q561" s="58"/>
      <c r="R561" s="58"/>
      <c r="S561" s="58"/>
      <c r="T561" s="58"/>
      <c r="U561" s="58"/>
      <c r="V561" s="58"/>
      <c r="W561" s="58"/>
      <c r="X561" s="58"/>
    </row>
    <row r="562" spans="2:24" s="49" customFormat="1" x14ac:dyDescent="0.2">
      <c r="B562" s="58"/>
      <c r="C562" s="58"/>
      <c r="D562" s="82" t="s">
        <v>564</v>
      </c>
      <c r="E562" s="34">
        <v>55.6</v>
      </c>
      <c r="F562" s="58"/>
      <c r="G562" s="58"/>
      <c r="H562" s="58"/>
      <c r="I562" s="58"/>
      <c r="J562" s="58"/>
      <c r="K562" s="58"/>
      <c r="L562" s="58"/>
      <c r="M562" s="58"/>
      <c r="N562" s="58"/>
      <c r="O562" s="58"/>
      <c r="P562" s="58"/>
      <c r="Q562" s="58"/>
      <c r="R562" s="58"/>
      <c r="S562" s="58"/>
      <c r="T562" s="58"/>
      <c r="U562" s="58"/>
      <c r="V562" s="58"/>
      <c r="W562" s="58"/>
      <c r="X562" s="58"/>
    </row>
    <row r="563" spans="2:24" s="49" customFormat="1" x14ac:dyDescent="0.2">
      <c r="B563" s="58"/>
      <c r="C563" s="58"/>
      <c r="D563" s="82" t="s">
        <v>548</v>
      </c>
      <c r="E563" s="34">
        <v>18.920000000000002</v>
      </c>
      <c r="F563" s="58"/>
      <c r="G563" s="58"/>
      <c r="H563" s="58"/>
      <c r="I563" s="58"/>
      <c r="J563" s="58"/>
      <c r="K563" s="58"/>
      <c r="L563" s="58"/>
      <c r="M563" s="58"/>
      <c r="N563" s="58"/>
      <c r="O563" s="58"/>
      <c r="P563" s="58"/>
      <c r="Q563" s="58"/>
      <c r="R563" s="58"/>
      <c r="S563" s="58"/>
      <c r="T563" s="58"/>
      <c r="U563" s="58"/>
      <c r="V563" s="58"/>
      <c r="W563" s="58"/>
      <c r="X563" s="58"/>
    </row>
    <row r="564" spans="2:24" s="49" customFormat="1" x14ac:dyDescent="0.2">
      <c r="B564" s="58"/>
      <c r="C564" s="58"/>
      <c r="D564" s="82"/>
      <c r="E564" s="34"/>
      <c r="F564" s="58"/>
      <c r="G564" s="58"/>
      <c r="H564" s="58"/>
      <c r="I564" s="58"/>
      <c r="J564" s="58"/>
      <c r="K564" s="58"/>
      <c r="L564" s="58"/>
      <c r="M564" s="58"/>
      <c r="N564" s="58"/>
      <c r="O564" s="58"/>
      <c r="P564" s="58"/>
      <c r="Q564" s="58"/>
      <c r="R564" s="58"/>
      <c r="S564" s="58"/>
      <c r="T564" s="58"/>
      <c r="U564" s="58"/>
      <c r="V564" s="58"/>
      <c r="W564" s="58"/>
      <c r="X564" s="58"/>
    </row>
    <row r="565" spans="2:24" s="49" customFormat="1" x14ac:dyDescent="0.2">
      <c r="B565" s="58"/>
      <c r="C565" s="58"/>
      <c r="D565" s="53" t="s">
        <v>41</v>
      </c>
      <c r="E565" s="52">
        <f>SUM(E556:E564)</f>
        <v>238.09999999999997</v>
      </c>
      <c r="F565" s="58"/>
      <c r="G565" s="58"/>
      <c r="H565" s="58"/>
      <c r="I565" s="58"/>
      <c r="J565" s="58"/>
      <c r="K565" s="58"/>
      <c r="L565" s="58"/>
      <c r="M565" s="58"/>
      <c r="N565" s="58"/>
      <c r="O565" s="58"/>
      <c r="P565" s="58"/>
      <c r="Q565" s="58"/>
      <c r="R565" s="58"/>
      <c r="S565" s="58"/>
      <c r="T565" s="58"/>
      <c r="U565" s="58"/>
      <c r="V565" s="58"/>
      <c r="W565" s="58"/>
      <c r="X565" s="58"/>
    </row>
    <row r="566" spans="2:24" s="49" customFormat="1" x14ac:dyDescent="0.2">
      <c r="B566" s="58"/>
      <c r="C566" s="58"/>
      <c r="D566" s="53"/>
      <c r="E566" s="52"/>
      <c r="F566" s="58"/>
      <c r="G566" s="58"/>
      <c r="H566" s="58"/>
      <c r="I566" s="58"/>
      <c r="J566" s="58"/>
      <c r="K566" s="58"/>
      <c r="L566" s="58"/>
      <c r="M566" s="58"/>
      <c r="N566" s="58"/>
      <c r="O566" s="58"/>
      <c r="P566" s="58"/>
      <c r="Q566" s="58"/>
      <c r="R566" s="58"/>
      <c r="S566" s="58"/>
      <c r="T566" s="58"/>
      <c r="U566" s="58"/>
      <c r="V566" s="58"/>
      <c r="W566" s="58"/>
      <c r="X566" s="58"/>
    </row>
    <row r="567" spans="2:24" x14ac:dyDescent="0.2">
      <c r="B567" s="70" t="s">
        <v>76</v>
      </c>
      <c r="C567" s="69"/>
      <c r="D567" s="69" t="s">
        <v>61</v>
      </c>
      <c r="E567" s="69"/>
      <c r="F567" s="69"/>
      <c r="G567" s="69"/>
      <c r="H567" s="69"/>
      <c r="I567" s="69"/>
      <c r="J567" s="69"/>
      <c r="K567" s="69"/>
      <c r="L567" s="69"/>
      <c r="M567" s="69"/>
      <c r="N567" s="69"/>
      <c r="O567" s="69"/>
      <c r="P567" s="69"/>
      <c r="Q567" s="69"/>
      <c r="R567" s="69"/>
      <c r="S567" s="69"/>
      <c r="T567" s="69"/>
      <c r="U567" s="69"/>
      <c r="V567" s="69"/>
      <c r="W567" s="69"/>
      <c r="X567" s="68"/>
    </row>
    <row r="568" spans="2:24" x14ac:dyDescent="0.2">
      <c r="B568" s="58"/>
      <c r="C568" s="58"/>
      <c r="D568" s="58"/>
      <c r="E568" s="58"/>
      <c r="F568" s="58"/>
      <c r="G568" s="58"/>
      <c r="H568" s="58"/>
      <c r="I568" s="58"/>
      <c r="J568" s="58"/>
      <c r="K568" s="58"/>
      <c r="L568" s="58"/>
      <c r="M568" s="58"/>
      <c r="N568" s="58"/>
      <c r="O568" s="58"/>
      <c r="P568" s="58"/>
      <c r="Q568" s="58"/>
      <c r="R568" s="58"/>
      <c r="S568" s="58"/>
      <c r="T568" s="58"/>
      <c r="U568" s="58"/>
      <c r="V568" s="58"/>
      <c r="W568" s="58"/>
      <c r="X568" s="58"/>
    </row>
    <row r="569" spans="2:24" x14ac:dyDescent="0.2">
      <c r="B569" s="58" t="s">
        <v>74</v>
      </c>
      <c r="C569" s="57" t="s">
        <v>404</v>
      </c>
      <c r="D569" s="58" t="s">
        <v>401</v>
      </c>
      <c r="E569" s="58"/>
      <c r="F569" s="58"/>
      <c r="G569" s="58"/>
      <c r="H569" s="58"/>
      <c r="I569" s="58"/>
      <c r="J569" s="58"/>
      <c r="K569" s="58"/>
      <c r="L569" s="58"/>
      <c r="M569" s="58"/>
      <c r="N569" s="58"/>
      <c r="O569" s="58"/>
      <c r="P569" s="58"/>
      <c r="Q569" s="58"/>
      <c r="R569" s="58"/>
      <c r="S569" s="58"/>
      <c r="T569" s="58"/>
      <c r="U569" s="58"/>
      <c r="V569" s="58"/>
      <c r="W569" s="58"/>
      <c r="X569" s="58"/>
    </row>
    <row r="570" spans="2:24" x14ac:dyDescent="0.2">
      <c r="B570" s="58"/>
      <c r="C570" s="58"/>
      <c r="D570" s="58"/>
      <c r="E570" s="58"/>
      <c r="F570" s="58"/>
      <c r="G570" s="58"/>
      <c r="H570" s="58"/>
      <c r="I570" s="58"/>
      <c r="J570" s="58"/>
      <c r="K570" s="58"/>
      <c r="L570" s="58"/>
      <c r="M570" s="58"/>
      <c r="N570" s="58"/>
      <c r="O570" s="58"/>
      <c r="P570" s="58"/>
      <c r="Q570" s="58"/>
      <c r="R570" s="58"/>
      <c r="S570" s="58"/>
      <c r="T570" s="58"/>
      <c r="U570" s="58"/>
      <c r="V570" s="58"/>
      <c r="W570" s="58"/>
      <c r="X570" s="58"/>
    </row>
    <row r="571" spans="2:24" x14ac:dyDescent="0.2">
      <c r="B571" s="58"/>
      <c r="C571" s="29" t="s">
        <v>593</v>
      </c>
      <c r="D571" s="58"/>
      <c r="E571" s="58"/>
      <c r="F571" s="58"/>
      <c r="G571" s="58"/>
      <c r="H571" s="58"/>
      <c r="I571" s="58"/>
      <c r="J571" s="58"/>
      <c r="K571" s="58"/>
      <c r="L571" s="58"/>
      <c r="M571" s="58"/>
      <c r="N571" s="58"/>
      <c r="O571" s="58"/>
      <c r="P571" s="58"/>
      <c r="Q571" s="58"/>
      <c r="R571" s="58"/>
      <c r="S571" s="58"/>
      <c r="T571" s="58"/>
      <c r="U571" s="58"/>
      <c r="V571" s="58"/>
      <c r="W571" s="58"/>
      <c r="X571" s="58"/>
    </row>
    <row r="572" spans="2:24" x14ac:dyDescent="0.2">
      <c r="B572" s="58"/>
      <c r="C572" s="58"/>
      <c r="D572" s="58"/>
      <c r="E572" s="58"/>
      <c r="F572" s="58"/>
      <c r="G572" s="58"/>
      <c r="H572" s="58"/>
      <c r="I572" s="58"/>
      <c r="J572" s="58"/>
      <c r="K572" s="58"/>
      <c r="L572" s="58"/>
      <c r="M572" s="58"/>
      <c r="N572" s="58"/>
      <c r="O572" s="58"/>
      <c r="P572" s="58"/>
      <c r="Q572" s="58"/>
      <c r="R572" s="58"/>
      <c r="S572" s="58"/>
      <c r="T572" s="58"/>
      <c r="U572" s="58"/>
      <c r="V572" s="58"/>
      <c r="W572" s="58"/>
      <c r="X572" s="58"/>
    </row>
    <row r="573" spans="2:24" x14ac:dyDescent="0.2">
      <c r="B573" s="58" t="s">
        <v>72</v>
      </c>
      <c r="C573" s="57" t="s">
        <v>403</v>
      </c>
      <c r="D573" s="58" t="s">
        <v>619</v>
      </c>
      <c r="E573" s="58"/>
      <c r="F573" s="58"/>
      <c r="G573" s="58"/>
      <c r="H573" s="58"/>
      <c r="I573" s="58"/>
      <c r="J573" s="58"/>
      <c r="K573" s="58"/>
      <c r="L573" s="58"/>
      <c r="M573" s="58"/>
      <c r="N573" s="58"/>
      <c r="O573" s="58"/>
      <c r="P573" s="58"/>
      <c r="Q573" s="58"/>
      <c r="R573" s="58"/>
      <c r="S573" s="58"/>
      <c r="T573" s="58"/>
      <c r="U573" s="58"/>
      <c r="V573" s="58"/>
      <c r="W573" s="58"/>
      <c r="X573" s="58"/>
    </row>
    <row r="574" spans="2:24" x14ac:dyDescent="0.2">
      <c r="B574" s="58"/>
      <c r="C574" s="58"/>
      <c r="D574" s="58"/>
      <c r="E574" s="58"/>
      <c r="F574" s="58"/>
      <c r="G574" s="58"/>
      <c r="H574" s="58"/>
      <c r="I574" s="58"/>
      <c r="J574" s="58"/>
      <c r="K574" s="58"/>
      <c r="L574" s="58"/>
      <c r="M574" s="58"/>
      <c r="N574" s="58"/>
      <c r="O574" s="58"/>
      <c r="P574" s="58"/>
      <c r="Q574" s="58"/>
      <c r="R574" s="58"/>
      <c r="S574" s="58"/>
      <c r="T574" s="58"/>
      <c r="U574" s="58"/>
      <c r="V574" s="58"/>
      <c r="W574" s="58"/>
      <c r="X574" s="58"/>
    </row>
    <row r="575" spans="2:24" x14ac:dyDescent="0.2">
      <c r="B575" s="58"/>
      <c r="C575" s="29" t="s">
        <v>402</v>
      </c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58"/>
      <c r="Q575" s="58"/>
      <c r="R575" s="58"/>
      <c r="S575" s="58"/>
      <c r="T575" s="58"/>
      <c r="U575" s="58"/>
      <c r="V575" s="58"/>
      <c r="W575" s="58"/>
      <c r="X575" s="58"/>
    </row>
    <row r="576" spans="2:24" x14ac:dyDescent="0.2">
      <c r="B576" s="58"/>
      <c r="C576" s="58"/>
      <c r="D576" s="58"/>
      <c r="E576" s="58"/>
      <c r="F576" s="58"/>
      <c r="G576" s="58"/>
      <c r="H576" s="58"/>
      <c r="I576" s="58"/>
      <c r="J576" s="58"/>
      <c r="K576" s="58"/>
      <c r="L576" s="58"/>
      <c r="M576" s="58"/>
      <c r="N576" s="58"/>
      <c r="O576" s="58"/>
      <c r="P576" s="58"/>
      <c r="Q576" s="58"/>
      <c r="R576" s="58"/>
      <c r="S576" s="58"/>
      <c r="T576" s="58"/>
      <c r="U576" s="58"/>
      <c r="V576" s="58"/>
      <c r="W576" s="58"/>
      <c r="X576" s="58"/>
    </row>
    <row r="577" spans="2:24" x14ac:dyDescent="0.2">
      <c r="B577" s="70" t="s">
        <v>71</v>
      </c>
      <c r="C577" s="69"/>
      <c r="D577" s="69" t="s">
        <v>60</v>
      </c>
      <c r="E577" s="69"/>
      <c r="F577" s="69"/>
      <c r="G577" s="69"/>
      <c r="H577" s="69"/>
      <c r="I577" s="69"/>
      <c r="J577" s="69"/>
      <c r="K577" s="69"/>
      <c r="L577" s="69"/>
      <c r="M577" s="69"/>
      <c r="N577" s="69"/>
      <c r="O577" s="69"/>
      <c r="P577" s="69"/>
      <c r="Q577" s="69"/>
      <c r="R577" s="69"/>
      <c r="S577" s="69"/>
      <c r="T577" s="69"/>
      <c r="U577" s="69"/>
      <c r="V577" s="69"/>
      <c r="W577" s="69"/>
      <c r="X577" s="68"/>
    </row>
    <row r="578" spans="2:24" x14ac:dyDescent="0.2">
      <c r="B578" s="58"/>
      <c r="C578" s="58"/>
      <c r="D578" s="58"/>
      <c r="E578" s="58"/>
      <c r="F578" s="58"/>
      <c r="G578" s="58"/>
      <c r="H578" s="58"/>
      <c r="I578" s="58"/>
      <c r="J578" s="58"/>
      <c r="K578" s="58"/>
      <c r="L578" s="58"/>
      <c r="M578" s="58"/>
      <c r="N578" s="58"/>
      <c r="O578" s="58"/>
      <c r="P578" s="58"/>
      <c r="Q578" s="58"/>
      <c r="R578" s="58"/>
      <c r="S578" s="58"/>
      <c r="T578" s="58"/>
      <c r="U578" s="58"/>
      <c r="V578" s="58"/>
      <c r="W578" s="58"/>
      <c r="X578" s="58"/>
    </row>
    <row r="579" spans="2:24" x14ac:dyDescent="0.2">
      <c r="B579" s="58" t="s">
        <v>391</v>
      </c>
      <c r="C579" s="57" t="s">
        <v>425</v>
      </c>
      <c r="D579" s="58" t="s">
        <v>424</v>
      </c>
      <c r="E579" s="58"/>
      <c r="F579" s="58"/>
      <c r="G579" s="58"/>
      <c r="H579" s="58"/>
      <c r="I579" s="58"/>
      <c r="J579" s="58"/>
      <c r="K579" s="58"/>
      <c r="L579" s="58"/>
      <c r="M579" s="58"/>
      <c r="N579" s="58"/>
      <c r="O579" s="58"/>
      <c r="P579" s="58"/>
      <c r="Q579" s="58"/>
      <c r="R579" s="58"/>
      <c r="S579" s="58"/>
      <c r="T579" s="58"/>
      <c r="U579" s="58"/>
      <c r="V579" s="58"/>
      <c r="W579" s="58"/>
      <c r="X579" s="58"/>
    </row>
    <row r="580" spans="2:24" x14ac:dyDescent="0.2">
      <c r="B580" s="58"/>
      <c r="C580" s="58"/>
      <c r="D580" s="58"/>
      <c r="E580" s="58"/>
      <c r="F580" s="58"/>
      <c r="G580" s="58"/>
      <c r="H580" s="58"/>
      <c r="I580" s="58"/>
      <c r="J580" s="58"/>
      <c r="K580" s="58"/>
      <c r="L580" s="58"/>
      <c r="M580" s="58"/>
      <c r="N580" s="58"/>
      <c r="O580" s="58"/>
      <c r="P580" s="58"/>
      <c r="Q580" s="58"/>
      <c r="R580" s="58"/>
      <c r="S580" s="58"/>
      <c r="T580" s="58"/>
      <c r="U580" s="58"/>
      <c r="V580" s="58"/>
      <c r="W580" s="58"/>
      <c r="X580" s="58"/>
    </row>
    <row r="581" spans="2:24" x14ac:dyDescent="0.2">
      <c r="B581" s="58"/>
      <c r="C581" s="58"/>
      <c r="D581" s="73" t="s">
        <v>43</v>
      </c>
      <c r="E581" s="59" t="s">
        <v>56</v>
      </c>
      <c r="F581" s="64"/>
      <c r="G581" s="78" t="s">
        <v>54</v>
      </c>
      <c r="H581" s="44"/>
      <c r="I581" s="59" t="s">
        <v>45</v>
      </c>
      <c r="J581" s="44"/>
      <c r="K581" s="59" t="s">
        <v>59</v>
      </c>
      <c r="L581" s="59"/>
      <c r="M581" s="59" t="s">
        <v>58</v>
      </c>
      <c r="N581" s="58"/>
      <c r="O581" s="58"/>
      <c r="P581" s="58"/>
      <c r="Q581" s="58"/>
      <c r="R581" s="58"/>
      <c r="S581" s="58"/>
      <c r="T581" s="58"/>
      <c r="U581" s="58"/>
      <c r="V581" s="58"/>
      <c r="W581" s="58"/>
      <c r="X581" s="58"/>
    </row>
    <row r="582" spans="2:24" x14ac:dyDescent="0.2">
      <c r="B582" s="58"/>
      <c r="C582" s="58"/>
      <c r="D582" s="71" t="s">
        <v>431</v>
      </c>
      <c r="E582" s="34">
        <f>5.01+6.03+5.01+6.03</f>
        <v>22.08</v>
      </c>
      <c r="F582" s="51"/>
      <c r="G582" s="34">
        <v>2.96</v>
      </c>
      <c r="H582" s="51"/>
      <c r="I582" s="61">
        <f t="shared" ref="I582:I588" si="15">SUM(E582*G582)</f>
        <v>65.356799999999993</v>
      </c>
      <c r="J582" s="51"/>
      <c r="K582" s="61">
        <v>3.36</v>
      </c>
      <c r="L582" s="63"/>
      <c r="M582" s="61">
        <f t="shared" ref="M582:M588" si="16">SUM(I582-K582)</f>
        <v>61.996799999999993</v>
      </c>
      <c r="N582" s="58"/>
      <c r="O582" s="58"/>
      <c r="P582" s="58"/>
      <c r="Q582" s="58"/>
      <c r="R582" s="58"/>
      <c r="S582" s="58"/>
      <c r="T582" s="58"/>
      <c r="U582" s="58"/>
      <c r="V582" s="58"/>
      <c r="W582" s="58"/>
      <c r="X582" s="58"/>
    </row>
    <row r="583" spans="2:24" x14ac:dyDescent="0.2">
      <c r="B583" s="58"/>
      <c r="C583" s="58"/>
      <c r="D583" s="71" t="s">
        <v>432</v>
      </c>
      <c r="E583" s="34">
        <f>6+5+6+5</f>
        <v>22</v>
      </c>
      <c r="F583" s="51"/>
      <c r="G583" s="34">
        <v>2.98</v>
      </c>
      <c r="H583" s="51"/>
      <c r="I583" s="61">
        <f t="shared" si="15"/>
        <v>65.56</v>
      </c>
      <c r="J583" s="51"/>
      <c r="K583" s="61">
        <v>3.36</v>
      </c>
      <c r="L583" s="63"/>
      <c r="M583" s="61">
        <f t="shared" si="16"/>
        <v>62.2</v>
      </c>
      <c r="N583" s="58"/>
      <c r="O583" s="58"/>
      <c r="P583" s="58"/>
      <c r="Q583" s="58"/>
      <c r="R583" s="58"/>
      <c r="S583" s="58"/>
      <c r="T583" s="58"/>
      <c r="U583" s="58"/>
      <c r="V583" s="58"/>
      <c r="W583" s="58"/>
      <c r="X583" s="58"/>
    </row>
    <row r="584" spans="2:24" x14ac:dyDescent="0.2">
      <c r="B584" s="58"/>
      <c r="C584" s="58"/>
      <c r="D584" s="99" t="s">
        <v>433</v>
      </c>
      <c r="E584" s="34">
        <f>5+8.05+5+8.05</f>
        <v>26.1</v>
      </c>
      <c r="F584" s="51"/>
      <c r="G584" s="34">
        <v>2.96</v>
      </c>
      <c r="H584" s="51"/>
      <c r="I584" s="61">
        <f t="shared" si="15"/>
        <v>77.256</v>
      </c>
      <c r="J584" s="51"/>
      <c r="K584" s="61">
        <f>2.1+0.42</f>
        <v>2.52</v>
      </c>
      <c r="L584" s="63"/>
      <c r="M584" s="61">
        <f t="shared" si="16"/>
        <v>74.736000000000004</v>
      </c>
      <c r="N584" s="58"/>
      <c r="O584" s="58"/>
      <c r="P584" s="58"/>
      <c r="Q584" s="58"/>
      <c r="R584" s="58"/>
      <c r="S584" s="58"/>
      <c r="T584" s="58"/>
      <c r="U584" s="58"/>
      <c r="V584" s="58"/>
      <c r="W584" s="58"/>
      <c r="X584" s="58"/>
    </row>
    <row r="585" spans="2:24" x14ac:dyDescent="0.2">
      <c r="B585" s="58"/>
      <c r="C585" s="58"/>
      <c r="D585" s="99" t="s">
        <v>434</v>
      </c>
      <c r="E585" s="34">
        <f>7.55+4.82+7.55+4.82</f>
        <v>24.740000000000002</v>
      </c>
      <c r="F585" s="51"/>
      <c r="G585" s="34">
        <v>2.93</v>
      </c>
      <c r="H585" s="51"/>
      <c r="I585" s="61">
        <f t="shared" si="15"/>
        <v>72.488200000000006</v>
      </c>
      <c r="J585" s="51"/>
      <c r="K585" s="61">
        <v>1.68</v>
      </c>
      <c r="L585" s="63"/>
      <c r="M585" s="61">
        <f t="shared" si="16"/>
        <v>70.808199999999999</v>
      </c>
      <c r="N585" s="58"/>
      <c r="O585" s="58"/>
      <c r="P585" s="58"/>
      <c r="Q585" s="58"/>
      <c r="R585" s="58"/>
      <c r="S585" s="58"/>
      <c r="T585" s="58"/>
      <c r="U585" s="58"/>
      <c r="V585" s="58"/>
      <c r="W585" s="58"/>
      <c r="X585" s="58"/>
    </row>
    <row r="586" spans="2:24" x14ac:dyDescent="0.2">
      <c r="B586" s="58"/>
      <c r="C586" s="58"/>
      <c r="D586" s="99" t="s">
        <v>435</v>
      </c>
      <c r="E586" s="34">
        <f>8.02+4.03+8.02+4.03</f>
        <v>24.1</v>
      </c>
      <c r="F586" s="51"/>
      <c r="G586" s="34">
        <v>2.93</v>
      </c>
      <c r="H586" s="51"/>
      <c r="I586" s="61">
        <f t="shared" si="15"/>
        <v>70.613000000000014</v>
      </c>
      <c r="J586" s="51"/>
      <c r="K586" s="61">
        <f>2.1+0.31</f>
        <v>2.41</v>
      </c>
      <c r="L586" s="63"/>
      <c r="M586" s="61">
        <f t="shared" si="16"/>
        <v>68.203000000000017</v>
      </c>
      <c r="N586" s="58"/>
      <c r="O586" s="58"/>
      <c r="P586" s="58"/>
      <c r="Q586" s="58"/>
      <c r="R586" s="58"/>
      <c r="S586" s="58"/>
      <c r="T586" s="58"/>
      <c r="U586" s="58"/>
      <c r="V586" s="58"/>
      <c r="W586" s="58"/>
      <c r="X586" s="58"/>
    </row>
    <row r="587" spans="2:24" x14ac:dyDescent="0.2">
      <c r="B587" s="58"/>
      <c r="C587" s="58"/>
      <c r="D587" s="99" t="s">
        <v>456</v>
      </c>
      <c r="E587" s="34">
        <f>2.08+1.2+3.16+3.62+2.6+3.08+3.92+2.08+1.13+0.95+0.95+1.13+0.15+0.35+0.16+0.1</f>
        <v>26.66</v>
      </c>
      <c r="F587" s="51"/>
      <c r="G587" s="34">
        <v>2.2200000000000002</v>
      </c>
      <c r="H587" s="51"/>
      <c r="I587" s="61">
        <f t="shared" si="15"/>
        <v>59.185200000000009</v>
      </c>
      <c r="J587" s="51"/>
      <c r="K587" s="61">
        <v>0</v>
      </c>
      <c r="L587" s="63"/>
      <c r="M587" s="61">
        <f t="shared" si="16"/>
        <v>59.185200000000009</v>
      </c>
      <c r="N587" s="58"/>
      <c r="O587" s="58"/>
      <c r="P587" s="58"/>
      <c r="Q587" s="58"/>
      <c r="R587" s="58"/>
      <c r="S587" s="58"/>
      <c r="T587" s="58"/>
      <c r="U587" s="58"/>
      <c r="V587" s="58"/>
      <c r="W587" s="58"/>
      <c r="X587" s="58"/>
    </row>
    <row r="588" spans="2:24" x14ac:dyDescent="0.2">
      <c r="B588" s="58"/>
      <c r="C588" s="58"/>
      <c r="D588" s="76" t="s">
        <v>548</v>
      </c>
      <c r="E588" s="34">
        <f>3.7+5.76+3.7+5.76</f>
        <v>18.920000000000002</v>
      </c>
      <c r="F588" s="51"/>
      <c r="G588" s="34">
        <v>2.98</v>
      </c>
      <c r="H588" s="51"/>
      <c r="I588" s="61">
        <f t="shared" si="15"/>
        <v>56.381600000000006</v>
      </c>
      <c r="J588" s="51"/>
      <c r="K588" s="61">
        <f>1.1+1.1+0.9+1.07+0.9*2.1</f>
        <v>6.0600000000000005</v>
      </c>
      <c r="L588" s="63"/>
      <c r="M588" s="61">
        <f t="shared" si="16"/>
        <v>50.321600000000004</v>
      </c>
      <c r="N588" s="58"/>
      <c r="O588" s="58"/>
      <c r="P588" s="58"/>
      <c r="Q588" s="58"/>
      <c r="R588" s="58"/>
      <c r="S588" s="58"/>
      <c r="T588" s="58"/>
      <c r="U588" s="58"/>
      <c r="V588" s="58"/>
      <c r="W588" s="58"/>
      <c r="X588" s="58"/>
    </row>
    <row r="589" spans="2:24" x14ac:dyDescent="0.2">
      <c r="B589" s="58"/>
      <c r="C589" s="58"/>
      <c r="D589" s="76"/>
      <c r="E589" s="34"/>
      <c r="F589" s="51"/>
      <c r="G589" s="34"/>
      <c r="H589" s="51"/>
      <c r="I589" s="61"/>
      <c r="J589" s="51"/>
      <c r="K589" s="61"/>
      <c r="L589" s="63"/>
      <c r="M589" s="61"/>
      <c r="N589" s="58"/>
      <c r="O589" s="58"/>
      <c r="P589" s="58"/>
      <c r="Q589" s="58"/>
      <c r="R589" s="58"/>
      <c r="S589" s="58"/>
      <c r="T589" s="58"/>
      <c r="U589" s="58"/>
      <c r="V589" s="58"/>
      <c r="W589" s="58"/>
      <c r="X589" s="58"/>
    </row>
    <row r="590" spans="2:24" x14ac:dyDescent="0.2">
      <c r="B590" s="37"/>
      <c r="C590" s="54"/>
      <c r="D590" s="51"/>
      <c r="E590" s="51"/>
      <c r="F590" s="37"/>
      <c r="G590" s="55"/>
      <c r="H590" s="55"/>
      <c r="I590" s="63"/>
      <c r="J590" s="63"/>
      <c r="K590" s="53"/>
      <c r="L590" s="53" t="s">
        <v>41</v>
      </c>
      <c r="M590" s="62">
        <f>SUM(M582:M588)</f>
        <v>447.45080000000002</v>
      </c>
      <c r="N590" s="58"/>
      <c r="O590" s="58"/>
      <c r="P590" s="58"/>
      <c r="Q590" s="58"/>
      <c r="R590" s="58"/>
      <c r="S590" s="58"/>
      <c r="T590" s="58"/>
      <c r="U590" s="58"/>
      <c r="V590" s="58"/>
      <c r="W590" s="58"/>
      <c r="X590" s="58"/>
    </row>
    <row r="591" spans="2:24" x14ac:dyDescent="0.2">
      <c r="B591" s="58"/>
      <c r="C591" s="58"/>
      <c r="D591" s="58"/>
      <c r="E591" s="58"/>
      <c r="F591" s="58"/>
      <c r="G591" s="58"/>
      <c r="H591" s="58"/>
      <c r="I591" s="58"/>
      <c r="J591" s="58"/>
      <c r="K591" s="58"/>
      <c r="L591" s="58"/>
      <c r="M591" s="58"/>
      <c r="N591" s="58"/>
      <c r="O591" s="58"/>
      <c r="P591" s="58"/>
      <c r="Q591" s="58"/>
      <c r="R591" s="58"/>
      <c r="S591" s="58"/>
      <c r="T591" s="58"/>
      <c r="U591" s="58"/>
      <c r="V591" s="58"/>
      <c r="W591" s="58"/>
      <c r="X591" s="58"/>
    </row>
    <row r="592" spans="2:24" x14ac:dyDescent="0.2">
      <c r="B592" s="58" t="s">
        <v>392</v>
      </c>
      <c r="C592" s="57" t="s">
        <v>414</v>
      </c>
      <c r="D592" s="58" t="s">
        <v>413</v>
      </c>
      <c r="E592" s="58"/>
      <c r="F592" s="58"/>
      <c r="G592" s="58"/>
      <c r="H592" s="58"/>
      <c r="I592" s="58"/>
      <c r="J592" s="58"/>
      <c r="K592" s="58"/>
      <c r="L592" s="58"/>
      <c r="M592" s="58"/>
      <c r="N592" s="58"/>
      <c r="O592" s="58"/>
      <c r="P592" s="58"/>
      <c r="Q592" s="58"/>
      <c r="R592" s="58"/>
      <c r="S592" s="58"/>
      <c r="T592" s="58"/>
      <c r="U592" s="58"/>
      <c r="V592" s="58"/>
      <c r="W592" s="58"/>
      <c r="X592" s="58"/>
    </row>
    <row r="593" spans="2:24" x14ac:dyDescent="0.2">
      <c r="B593" s="58"/>
      <c r="C593" s="58"/>
      <c r="D593" s="58"/>
      <c r="E593" s="58"/>
      <c r="F593" s="58"/>
      <c r="G593" s="58"/>
      <c r="H593" s="58"/>
      <c r="I593" s="58"/>
      <c r="J593" s="58"/>
      <c r="K593" s="58"/>
      <c r="L593" s="58"/>
      <c r="M593" s="58"/>
      <c r="N593" s="58"/>
      <c r="O593" s="58"/>
      <c r="P593" s="58"/>
      <c r="Q593" s="58"/>
      <c r="R593" s="58"/>
      <c r="S593" s="58"/>
      <c r="T593" s="58"/>
      <c r="U593" s="58"/>
      <c r="V593" s="58"/>
      <c r="W593" s="58"/>
      <c r="X593" s="58"/>
    </row>
    <row r="594" spans="2:24" x14ac:dyDescent="0.2">
      <c r="B594" s="58"/>
      <c r="C594" s="58"/>
      <c r="D594" s="73" t="s">
        <v>43</v>
      </c>
      <c r="E594" s="59" t="s">
        <v>56</v>
      </c>
      <c r="F594" s="64"/>
      <c r="G594" s="78" t="s">
        <v>54</v>
      </c>
      <c r="H594" s="44"/>
      <c r="I594" s="72" t="s">
        <v>45</v>
      </c>
      <c r="J594" s="44"/>
      <c r="K594" s="59" t="s">
        <v>59</v>
      </c>
      <c r="L594" s="59"/>
      <c r="M594" s="59" t="s">
        <v>58</v>
      </c>
      <c r="N594" s="44"/>
      <c r="O594" s="59" t="s">
        <v>57</v>
      </c>
      <c r="P594" s="59"/>
      <c r="Q594" s="44"/>
      <c r="R594" s="59" t="s">
        <v>52</v>
      </c>
      <c r="S594" s="58"/>
      <c r="T594" s="58"/>
      <c r="U594" s="58"/>
      <c r="V594" s="58"/>
      <c r="W594" s="58"/>
      <c r="X594" s="58"/>
    </row>
    <row r="595" spans="2:24" x14ac:dyDescent="0.2">
      <c r="B595" s="58"/>
      <c r="C595" s="58"/>
      <c r="D595" s="71" t="s">
        <v>431</v>
      </c>
      <c r="E595" s="34">
        <f>5.01+6.03+5.01+6.03</f>
        <v>22.08</v>
      </c>
      <c r="F595" s="51"/>
      <c r="G595" s="34">
        <v>2.96</v>
      </c>
      <c r="H595" s="51"/>
      <c r="I595" s="61">
        <f t="shared" ref="I595:I602" si="17">SUM(E595*G595)</f>
        <v>65.356799999999993</v>
      </c>
      <c r="J595" s="51"/>
      <c r="K595" s="61">
        <v>3.36</v>
      </c>
      <c r="L595" s="63"/>
      <c r="M595" s="61">
        <f t="shared" ref="M595:M602" si="18">SUM(I595-K595)</f>
        <v>61.996799999999993</v>
      </c>
      <c r="N595" s="51"/>
      <c r="O595" s="51">
        <v>1</v>
      </c>
      <c r="P595" s="61"/>
      <c r="Q595" s="29"/>
      <c r="R595" s="61">
        <f t="shared" ref="R595:R602" si="19">SUM(M595*O595)</f>
        <v>61.996799999999993</v>
      </c>
      <c r="S595" s="58"/>
      <c r="T595" s="83"/>
      <c r="U595" s="58"/>
      <c r="V595" s="58"/>
      <c r="W595" s="58"/>
      <c r="X595" s="58"/>
    </row>
    <row r="596" spans="2:24" x14ac:dyDescent="0.2">
      <c r="B596" s="58"/>
      <c r="C596" s="58"/>
      <c r="D596" s="71" t="s">
        <v>432</v>
      </c>
      <c r="E596" s="34">
        <f>6+5+6+5</f>
        <v>22</v>
      </c>
      <c r="F596" s="51"/>
      <c r="G596" s="34">
        <v>2.98</v>
      </c>
      <c r="H596" s="51"/>
      <c r="I596" s="61">
        <f t="shared" si="17"/>
        <v>65.56</v>
      </c>
      <c r="J596" s="51"/>
      <c r="K596" s="61">
        <v>3.36</v>
      </c>
      <c r="L596" s="63"/>
      <c r="M596" s="61">
        <f t="shared" si="18"/>
        <v>62.2</v>
      </c>
      <c r="N596" s="51"/>
      <c r="O596" s="51">
        <v>1</v>
      </c>
      <c r="P596" s="61"/>
      <c r="Q596" s="29"/>
      <c r="R596" s="61">
        <f t="shared" si="19"/>
        <v>62.2</v>
      </c>
      <c r="S596" s="58"/>
      <c r="T596" s="58"/>
      <c r="U596" s="58"/>
      <c r="V596" s="58"/>
      <c r="W596" s="58"/>
      <c r="X596" s="58"/>
    </row>
    <row r="597" spans="2:24" x14ac:dyDescent="0.2">
      <c r="B597" s="58"/>
      <c r="C597" s="58"/>
      <c r="D597" s="99" t="s">
        <v>433</v>
      </c>
      <c r="E597" s="34">
        <f>5+8.05+5+8.05</f>
        <v>26.1</v>
      </c>
      <c r="F597" s="51"/>
      <c r="G597" s="34">
        <v>2.96</v>
      </c>
      <c r="H597" s="51"/>
      <c r="I597" s="61">
        <f t="shared" si="17"/>
        <v>77.256</v>
      </c>
      <c r="J597" s="51"/>
      <c r="K597" s="61">
        <f>2.1+0.42</f>
        <v>2.52</v>
      </c>
      <c r="L597" s="63"/>
      <c r="M597" s="61">
        <f t="shared" si="18"/>
        <v>74.736000000000004</v>
      </c>
      <c r="N597" s="51"/>
      <c r="O597" s="51">
        <v>1</v>
      </c>
      <c r="P597" s="61"/>
      <c r="Q597" s="29"/>
      <c r="R597" s="61">
        <f t="shared" si="19"/>
        <v>74.736000000000004</v>
      </c>
      <c r="S597" s="83"/>
      <c r="T597" s="58"/>
      <c r="U597" s="58"/>
      <c r="V597" s="58"/>
      <c r="W597" s="58"/>
      <c r="X597" s="58"/>
    </row>
    <row r="598" spans="2:24" x14ac:dyDescent="0.2">
      <c r="B598" s="58"/>
      <c r="C598" s="58"/>
      <c r="D598" s="99" t="s">
        <v>434</v>
      </c>
      <c r="E598" s="34">
        <f>7.55+4.82+7.55+4.82</f>
        <v>24.740000000000002</v>
      </c>
      <c r="F598" s="51"/>
      <c r="G598" s="34">
        <v>2.93</v>
      </c>
      <c r="H598" s="51"/>
      <c r="I598" s="61">
        <f t="shared" si="17"/>
        <v>72.488200000000006</v>
      </c>
      <c r="J598" s="51"/>
      <c r="K598" s="61">
        <v>1.68</v>
      </c>
      <c r="L598" s="63"/>
      <c r="M598" s="61">
        <f t="shared" si="18"/>
        <v>70.808199999999999</v>
      </c>
      <c r="N598" s="51"/>
      <c r="O598" s="51">
        <v>1</v>
      </c>
      <c r="P598" s="61"/>
      <c r="Q598" s="29"/>
      <c r="R598" s="61">
        <f t="shared" si="19"/>
        <v>70.808199999999999</v>
      </c>
      <c r="S598" s="58"/>
      <c r="T598" s="58"/>
      <c r="U598" s="58"/>
      <c r="V598" s="58"/>
      <c r="W598" s="58"/>
      <c r="X598" s="58"/>
    </row>
    <row r="599" spans="2:24" x14ac:dyDescent="0.2">
      <c r="B599" s="58"/>
      <c r="C599" s="58"/>
      <c r="D599" s="99" t="s">
        <v>435</v>
      </c>
      <c r="E599" s="34">
        <f>8.02+4.03+8.02+4.03</f>
        <v>24.1</v>
      </c>
      <c r="F599" s="51"/>
      <c r="G599" s="34">
        <v>2.93</v>
      </c>
      <c r="H599" s="51"/>
      <c r="I599" s="61">
        <f t="shared" si="17"/>
        <v>70.613000000000014</v>
      </c>
      <c r="J599" s="51"/>
      <c r="K599" s="61">
        <f>2.1+0.31</f>
        <v>2.41</v>
      </c>
      <c r="L599" s="63"/>
      <c r="M599" s="61">
        <f t="shared" si="18"/>
        <v>68.203000000000017</v>
      </c>
      <c r="N599" s="51"/>
      <c r="O599" s="51">
        <v>1</v>
      </c>
      <c r="P599" s="61"/>
      <c r="Q599" s="29"/>
      <c r="R599" s="61">
        <f t="shared" si="19"/>
        <v>68.203000000000017</v>
      </c>
      <c r="S599" s="58"/>
      <c r="T599" s="58"/>
      <c r="U599" s="58"/>
      <c r="V599" s="58"/>
      <c r="W599" s="58"/>
      <c r="X599" s="58"/>
    </row>
    <row r="600" spans="2:24" x14ac:dyDescent="0.2">
      <c r="B600" s="58"/>
      <c r="C600" s="200"/>
      <c r="D600" s="99" t="s">
        <v>467</v>
      </c>
      <c r="E600" s="34">
        <f>2.08+1.2+3.16+3.62+2.6+3.08+3.92+2.08+1.13+0.95+0.95+1.13+0.15+0.35+0.16+0.1</f>
        <v>26.66</v>
      </c>
      <c r="F600" s="51"/>
      <c r="G600" s="34">
        <v>2.2200000000000002</v>
      </c>
      <c r="H600" s="51"/>
      <c r="I600" s="61">
        <f t="shared" si="17"/>
        <v>59.185200000000009</v>
      </c>
      <c r="J600" s="51"/>
      <c r="K600" s="61">
        <v>0</v>
      </c>
      <c r="L600" s="63"/>
      <c r="M600" s="61">
        <f t="shared" si="18"/>
        <v>59.185200000000009</v>
      </c>
      <c r="N600" s="51"/>
      <c r="O600" s="51">
        <v>1</v>
      </c>
      <c r="P600" s="61"/>
      <c r="Q600" s="29"/>
      <c r="R600" s="61">
        <f t="shared" si="19"/>
        <v>59.185200000000009</v>
      </c>
      <c r="S600" s="58"/>
      <c r="T600" s="58"/>
      <c r="U600" s="58"/>
      <c r="V600" s="58"/>
      <c r="W600" s="58"/>
      <c r="X600" s="58"/>
    </row>
    <row r="601" spans="2:24" x14ac:dyDescent="0.2">
      <c r="B601" s="58"/>
      <c r="C601" s="58"/>
      <c r="D601" s="99" t="s">
        <v>468</v>
      </c>
      <c r="E601" s="34">
        <f>26.32+1.48+26.32+1.48</f>
        <v>55.6</v>
      </c>
      <c r="F601" s="51"/>
      <c r="G601" s="34">
        <v>2.27</v>
      </c>
      <c r="H601" s="51"/>
      <c r="I601" s="61">
        <f t="shared" si="17"/>
        <v>126.212</v>
      </c>
      <c r="J601" s="51"/>
      <c r="K601" s="61">
        <f>1.89+1.89+1.68+1.68+1.68+1.68+1.89</f>
        <v>12.39</v>
      </c>
      <c r="L601" s="63"/>
      <c r="M601" s="61">
        <f t="shared" si="18"/>
        <v>113.822</v>
      </c>
      <c r="N601" s="51"/>
      <c r="O601" s="51">
        <v>1</v>
      </c>
      <c r="P601" s="61"/>
      <c r="Q601" s="29"/>
      <c r="R601" s="61">
        <f t="shared" si="19"/>
        <v>113.822</v>
      </c>
      <c r="S601" s="58"/>
      <c r="T601" s="58"/>
      <c r="U601" s="58"/>
      <c r="V601" s="58"/>
      <c r="W601" s="58"/>
      <c r="X601" s="58"/>
    </row>
    <row r="602" spans="2:24" x14ac:dyDescent="0.2">
      <c r="B602" s="58"/>
      <c r="C602" s="58"/>
      <c r="D602" s="76" t="s">
        <v>548</v>
      </c>
      <c r="E602" s="34">
        <f>3.7+5.76+3.7+5.76</f>
        <v>18.920000000000002</v>
      </c>
      <c r="F602" s="51"/>
      <c r="G602" s="34">
        <v>2.98</v>
      </c>
      <c r="H602" s="51"/>
      <c r="I602" s="61">
        <f t="shared" si="17"/>
        <v>56.381600000000006</v>
      </c>
      <c r="J602" s="51"/>
      <c r="K602" s="61">
        <f>1.1+1.1+0.9+1.07+0.9*2.1</f>
        <v>6.0600000000000005</v>
      </c>
      <c r="L602" s="63"/>
      <c r="M602" s="61">
        <f t="shared" si="18"/>
        <v>50.321600000000004</v>
      </c>
      <c r="N602" s="51"/>
      <c r="O602" s="51">
        <v>1</v>
      </c>
      <c r="P602" s="61"/>
      <c r="Q602" s="29"/>
      <c r="R602" s="61">
        <f t="shared" si="19"/>
        <v>50.321600000000004</v>
      </c>
      <c r="S602" s="58"/>
      <c r="T602" s="58"/>
      <c r="U602" s="58"/>
      <c r="V602" s="58"/>
      <c r="W602" s="58"/>
      <c r="X602" s="58"/>
    </row>
    <row r="603" spans="2:24" x14ac:dyDescent="0.2">
      <c r="B603" s="58"/>
      <c r="C603" s="58"/>
      <c r="D603" s="76"/>
      <c r="E603" s="34"/>
      <c r="F603" s="51"/>
      <c r="G603" s="34"/>
      <c r="H603" s="51"/>
      <c r="I603" s="61"/>
      <c r="J603" s="51"/>
      <c r="K603" s="61"/>
      <c r="L603" s="63"/>
      <c r="M603" s="61"/>
      <c r="N603" s="51"/>
      <c r="O603" s="51"/>
      <c r="P603" s="61"/>
      <c r="Q603" s="29"/>
      <c r="R603" s="61"/>
      <c r="S603" s="58"/>
      <c r="T603" s="58"/>
      <c r="U603" s="58"/>
      <c r="V603" s="58"/>
      <c r="W603" s="58"/>
      <c r="X603" s="58"/>
    </row>
    <row r="604" spans="2:24" x14ac:dyDescent="0.2">
      <c r="B604" s="58"/>
      <c r="C604" s="58"/>
      <c r="D604" s="51"/>
      <c r="E604" s="51"/>
      <c r="F604" s="29"/>
      <c r="G604" s="29"/>
      <c r="H604" s="29"/>
      <c r="I604" s="29"/>
      <c r="J604" s="63"/>
      <c r="K604" s="63"/>
      <c r="L604" s="53"/>
      <c r="M604" s="62"/>
      <c r="N604" s="29"/>
      <c r="O604" s="53"/>
      <c r="P604" s="67"/>
      <c r="Q604" s="67"/>
      <c r="R604" s="88">
        <f>SUM(R595:R602)</f>
        <v>561.27280000000007</v>
      </c>
      <c r="S604" s="58" t="s">
        <v>624</v>
      </c>
      <c r="T604" s="58"/>
      <c r="U604" s="58"/>
      <c r="V604" s="58"/>
      <c r="W604" s="58"/>
      <c r="X604" s="58"/>
    </row>
    <row r="605" spans="2:24" x14ac:dyDescent="0.2">
      <c r="B605" s="58"/>
      <c r="C605" s="58"/>
      <c r="D605" s="51"/>
      <c r="E605" s="51"/>
      <c r="F605" s="29"/>
      <c r="G605" s="29"/>
      <c r="H605" s="29"/>
      <c r="I605" s="29"/>
      <c r="J605" s="51"/>
      <c r="K605" s="51"/>
      <c r="L605" s="53"/>
      <c r="M605" s="62"/>
      <c r="N605" s="29"/>
      <c r="O605" s="53" t="s">
        <v>41</v>
      </c>
      <c r="P605" s="67"/>
      <c r="Q605" s="67"/>
      <c r="R605" s="88">
        <f>R604*40%</f>
        <v>224.50912000000005</v>
      </c>
      <c r="S605" s="58"/>
      <c r="T605" s="58"/>
      <c r="U605" s="58"/>
      <c r="V605" s="58"/>
      <c r="W605" s="58"/>
      <c r="X605" s="58"/>
    </row>
    <row r="606" spans="2:24" x14ac:dyDescent="0.2">
      <c r="B606" s="58" t="s">
        <v>393</v>
      </c>
      <c r="C606" s="57" t="s">
        <v>416</v>
      </c>
      <c r="D606" s="58" t="s">
        <v>415</v>
      </c>
      <c r="E606" s="58"/>
      <c r="F606" s="58"/>
      <c r="G606" s="58"/>
      <c r="H606" s="58"/>
      <c r="I606" s="58"/>
      <c r="J606" s="58"/>
      <c r="K606" s="58"/>
      <c r="L606" s="58"/>
      <c r="M606" s="58"/>
      <c r="N606" s="58"/>
      <c r="O606" s="58"/>
      <c r="P606" s="58"/>
      <c r="Q606" s="58"/>
      <c r="R606" s="83"/>
      <c r="S606" s="58"/>
      <c r="T606" s="58"/>
      <c r="U606" s="58"/>
      <c r="V606" s="58"/>
      <c r="W606" s="58"/>
      <c r="X606" s="58"/>
    </row>
    <row r="607" spans="2:24" x14ac:dyDescent="0.2">
      <c r="B607" s="58"/>
      <c r="C607" s="58"/>
      <c r="D607" s="58"/>
      <c r="E607" s="58"/>
      <c r="F607" s="58"/>
      <c r="G607" s="58"/>
      <c r="H607" s="58"/>
      <c r="I607" s="58"/>
      <c r="J607" s="58"/>
      <c r="K607" s="58"/>
      <c r="L607" s="58"/>
      <c r="M607" s="58"/>
      <c r="N607" s="58"/>
      <c r="O607" s="58"/>
      <c r="P607" s="58"/>
      <c r="Q607" s="58"/>
      <c r="R607" s="58"/>
      <c r="S607" s="58"/>
      <c r="T607" s="58"/>
      <c r="U607" s="58"/>
      <c r="V607" s="58"/>
      <c r="W607" s="58"/>
      <c r="X607" s="58"/>
    </row>
    <row r="608" spans="2:24" x14ac:dyDescent="0.2">
      <c r="B608" s="58"/>
      <c r="C608" s="58"/>
      <c r="D608" s="59" t="s">
        <v>43</v>
      </c>
      <c r="E608" s="59" t="s">
        <v>45</v>
      </c>
      <c r="F608" s="44"/>
      <c r="G608" s="58"/>
      <c r="H608" s="58"/>
      <c r="I608" s="58"/>
      <c r="J608" s="58"/>
      <c r="K608" s="58"/>
      <c r="L608" s="58"/>
      <c r="M608" s="58"/>
      <c r="N608" s="58"/>
      <c r="O608" s="58"/>
      <c r="P608" s="58"/>
      <c r="Q608" s="58"/>
      <c r="R608" s="58"/>
      <c r="S608" s="58"/>
      <c r="T608" s="58"/>
      <c r="U608" s="58"/>
      <c r="V608" s="58"/>
      <c r="W608" s="58"/>
      <c r="X608" s="58"/>
    </row>
    <row r="609" spans="2:24" x14ac:dyDescent="0.2">
      <c r="B609" s="58"/>
      <c r="C609" s="58"/>
      <c r="D609" s="71" t="s">
        <v>431</v>
      </c>
      <c r="E609" s="61">
        <f>SUM(6.03*5.01)</f>
        <v>30.2103</v>
      </c>
      <c r="F609" s="29"/>
      <c r="G609" s="58"/>
      <c r="H609" s="58"/>
      <c r="I609" s="58"/>
      <c r="J609" s="58"/>
      <c r="K609" s="58"/>
      <c r="L609" s="58"/>
      <c r="M609" s="58"/>
      <c r="N609" s="58"/>
      <c r="O609" s="58"/>
      <c r="P609" s="58"/>
      <c r="Q609" s="58"/>
      <c r="R609" s="58"/>
      <c r="S609" s="58"/>
      <c r="T609" s="58"/>
      <c r="U609" s="58"/>
      <c r="V609" s="58"/>
      <c r="W609" s="58"/>
      <c r="X609" s="58"/>
    </row>
    <row r="610" spans="2:24" x14ac:dyDescent="0.2">
      <c r="B610" s="58"/>
      <c r="C610" s="58"/>
      <c r="D610" s="71" t="s">
        <v>432</v>
      </c>
      <c r="E610" s="61">
        <f>SUM(6*5)</f>
        <v>30</v>
      </c>
      <c r="F610" s="58"/>
      <c r="G610" s="58"/>
      <c r="H610" s="58"/>
      <c r="I610" s="58"/>
      <c r="J610" s="58"/>
      <c r="K610" s="58"/>
      <c r="L610" s="58"/>
      <c r="M610" s="58"/>
      <c r="N610" s="58"/>
      <c r="O610" s="58"/>
      <c r="P610" s="58"/>
      <c r="Q610" s="58"/>
      <c r="R610" s="58"/>
      <c r="S610" s="58"/>
      <c r="T610" s="58"/>
      <c r="U610" s="58"/>
      <c r="V610" s="58"/>
      <c r="W610" s="58"/>
      <c r="X610" s="58"/>
    </row>
    <row r="611" spans="2:24" x14ac:dyDescent="0.2">
      <c r="B611" s="58"/>
      <c r="C611" s="58"/>
      <c r="D611" s="99" t="s">
        <v>433</v>
      </c>
      <c r="E611" s="61">
        <f>SUM(5*8.05)</f>
        <v>40.25</v>
      </c>
      <c r="F611" s="58"/>
      <c r="G611" s="58"/>
      <c r="H611" s="58"/>
      <c r="I611" s="58"/>
      <c r="J611" s="58"/>
      <c r="K611" s="58"/>
      <c r="L611" s="58"/>
      <c r="M611" s="58"/>
      <c r="N611" s="58"/>
      <c r="O611" s="58"/>
      <c r="P611" s="58"/>
      <c r="Q611" s="58"/>
      <c r="R611" s="58"/>
      <c r="S611" s="58"/>
      <c r="T611" s="58"/>
      <c r="U611" s="58"/>
      <c r="V611" s="58"/>
      <c r="W611" s="58"/>
      <c r="X611" s="58"/>
    </row>
    <row r="612" spans="2:24" x14ac:dyDescent="0.2">
      <c r="B612" s="58"/>
      <c r="C612" s="58"/>
      <c r="D612" s="99" t="s">
        <v>434</v>
      </c>
      <c r="E612" s="61">
        <f>SUM(7.55*4.82)</f>
        <v>36.390999999999998</v>
      </c>
      <c r="F612" s="58"/>
      <c r="G612" s="58"/>
      <c r="H612" s="58"/>
      <c r="I612" s="58"/>
      <c r="J612" s="58"/>
      <c r="K612" s="58"/>
      <c r="L612" s="58"/>
      <c r="M612" s="58"/>
      <c r="N612" s="58"/>
      <c r="O612" s="58"/>
      <c r="P612" s="58"/>
      <c r="Q612" s="58"/>
      <c r="R612" s="58"/>
      <c r="S612" s="58"/>
      <c r="T612" s="58"/>
      <c r="U612" s="58"/>
      <c r="V612" s="58"/>
      <c r="W612" s="58"/>
      <c r="X612" s="58"/>
    </row>
    <row r="613" spans="2:24" x14ac:dyDescent="0.2">
      <c r="B613" s="58"/>
      <c r="C613" s="58"/>
      <c r="D613" s="99" t="s">
        <v>435</v>
      </c>
      <c r="E613" s="61">
        <f>SUM(4.03*8.02)</f>
        <v>32.320599999999999</v>
      </c>
      <c r="F613" s="58"/>
      <c r="G613" s="58"/>
      <c r="H613" s="58"/>
      <c r="I613" s="195" t="s">
        <v>625</v>
      </c>
      <c r="J613" s="58"/>
      <c r="K613" s="58"/>
      <c r="L613" s="58"/>
      <c r="M613" s="58"/>
      <c r="N613" s="209"/>
      <c r="O613" s="58"/>
      <c r="P613" s="58"/>
      <c r="Q613" s="58"/>
      <c r="R613" s="58"/>
      <c r="S613" s="58"/>
      <c r="T613" s="58"/>
      <c r="U613" s="58"/>
      <c r="V613" s="58"/>
      <c r="W613" s="58"/>
      <c r="X613" s="58"/>
    </row>
    <row r="614" spans="2:24" x14ac:dyDescent="0.2">
      <c r="B614" s="58"/>
      <c r="C614" s="58"/>
      <c r="D614" s="99" t="s">
        <v>457</v>
      </c>
      <c r="E614" s="61">
        <f>SUM(5.96*6.01)</f>
        <v>35.819600000000001</v>
      </c>
      <c r="F614" s="58"/>
      <c r="G614" s="58"/>
      <c r="H614" s="58"/>
      <c r="I614" s="58"/>
      <c r="J614" s="58"/>
      <c r="K614" s="58"/>
      <c r="L614" s="58"/>
      <c r="M614" s="58"/>
      <c r="N614" s="58"/>
      <c r="O614" s="58"/>
      <c r="P614" s="58"/>
      <c r="Q614" s="58"/>
      <c r="R614" s="58"/>
      <c r="S614" s="58"/>
      <c r="T614" s="58"/>
      <c r="U614" s="58"/>
      <c r="V614" s="58"/>
      <c r="W614" s="58"/>
      <c r="X614" s="58"/>
    </row>
    <row r="615" spans="2:24" x14ac:dyDescent="0.2">
      <c r="B615" s="58"/>
      <c r="C615" s="58"/>
      <c r="D615" s="99" t="s">
        <v>436</v>
      </c>
      <c r="E615" s="61">
        <f>SUM(8*6)</f>
        <v>48</v>
      </c>
      <c r="F615" s="58"/>
      <c r="G615" s="58"/>
      <c r="H615" s="58"/>
      <c r="I615" s="58"/>
      <c r="J615" s="58"/>
      <c r="K615" s="58"/>
      <c r="L615" s="58"/>
      <c r="M615" s="58"/>
      <c r="N615" s="58"/>
      <c r="O615" s="58"/>
      <c r="P615" s="58"/>
      <c r="Q615" s="58"/>
      <c r="R615" s="58"/>
      <c r="S615" s="58"/>
      <c r="T615" s="58"/>
      <c r="U615" s="58"/>
      <c r="V615" s="58"/>
      <c r="W615" s="58"/>
      <c r="X615" s="58"/>
    </row>
    <row r="616" spans="2:24" x14ac:dyDescent="0.2">
      <c r="B616" s="58"/>
      <c r="C616" s="58"/>
      <c r="D616" s="99"/>
      <c r="E616" s="61"/>
      <c r="F616" s="58"/>
      <c r="G616" s="58"/>
      <c r="H616" s="58"/>
      <c r="I616" s="58"/>
      <c r="J616" s="58"/>
      <c r="K616" s="58"/>
      <c r="L616" s="58"/>
      <c r="M616" s="58"/>
      <c r="N616" s="58"/>
      <c r="O616" s="58"/>
      <c r="P616" s="58"/>
      <c r="Q616" s="58"/>
      <c r="R616" s="58"/>
      <c r="S616" s="58"/>
      <c r="T616" s="58"/>
      <c r="U616" s="58"/>
      <c r="V616" s="58"/>
      <c r="W616" s="58"/>
      <c r="X616" s="58"/>
    </row>
    <row r="617" spans="2:24" x14ac:dyDescent="0.2">
      <c r="B617" s="58"/>
      <c r="C617" s="58"/>
      <c r="D617" s="212" t="s">
        <v>41</v>
      </c>
      <c r="E617" s="61">
        <f>SUM(E609:E615)</f>
        <v>252.9915</v>
      </c>
      <c r="F617" s="213">
        <v>0.1</v>
      </c>
      <c r="G617" s="83"/>
      <c r="H617" s="58"/>
      <c r="I617" s="58"/>
      <c r="J617" s="58"/>
      <c r="K617" s="58"/>
      <c r="L617" s="58"/>
      <c r="M617" s="58"/>
      <c r="N617" s="58"/>
      <c r="O617" s="209"/>
      <c r="P617" s="58"/>
      <c r="Q617" s="58"/>
      <c r="R617" s="58"/>
      <c r="S617" s="58"/>
      <c r="T617" s="58"/>
      <c r="U617" s="58"/>
      <c r="V617" s="58"/>
      <c r="W617" s="58"/>
      <c r="X617" s="58"/>
    </row>
    <row r="618" spans="2:24" x14ac:dyDescent="0.2">
      <c r="B618" s="58"/>
      <c r="C618" s="58"/>
      <c r="D618" s="53" t="s">
        <v>41</v>
      </c>
      <c r="E618" s="62">
        <f>E617*1.1</f>
        <v>278.29065000000003</v>
      </c>
      <c r="F618" s="58"/>
      <c r="G618" s="58"/>
      <c r="H618" s="58"/>
      <c r="I618" s="58"/>
      <c r="J618" s="58"/>
      <c r="K618" s="58"/>
      <c r="L618" s="58"/>
      <c r="M618" s="58"/>
      <c r="N618" s="58"/>
      <c r="O618" s="58"/>
      <c r="P618" s="58"/>
      <c r="Q618" s="58"/>
      <c r="R618" s="58"/>
      <c r="S618" s="58"/>
      <c r="T618" s="58"/>
      <c r="U618" s="58"/>
      <c r="V618" s="58"/>
      <c r="W618" s="58"/>
      <c r="X618" s="58"/>
    </row>
    <row r="619" spans="2:24" x14ac:dyDescent="0.2">
      <c r="B619" s="58"/>
      <c r="C619" s="58"/>
      <c r="D619" s="58"/>
      <c r="E619" s="58"/>
      <c r="F619" s="58"/>
      <c r="G619" s="58"/>
      <c r="H619" s="58"/>
      <c r="I619" s="58"/>
      <c r="J619" s="58"/>
      <c r="K619" s="58"/>
      <c r="L619" s="58"/>
      <c r="M619" s="58"/>
      <c r="N619" s="58"/>
      <c r="O619" s="58"/>
      <c r="P619" s="58"/>
      <c r="Q619" s="58"/>
      <c r="R619" s="58"/>
      <c r="S619" s="58"/>
      <c r="T619" s="58"/>
      <c r="U619" s="58"/>
      <c r="V619" s="58"/>
      <c r="W619" s="58"/>
      <c r="X619" s="58"/>
    </row>
    <row r="620" spans="2:24" x14ac:dyDescent="0.2">
      <c r="B620" s="58" t="s">
        <v>419</v>
      </c>
      <c r="C620" s="57" t="s">
        <v>418</v>
      </c>
      <c r="D620" s="58" t="s">
        <v>417</v>
      </c>
      <c r="E620" s="58"/>
      <c r="F620" s="58"/>
      <c r="G620" s="58"/>
      <c r="H620" s="58"/>
      <c r="I620" s="58"/>
      <c r="J620" s="58"/>
      <c r="K620" s="58"/>
      <c r="L620" s="58"/>
      <c r="M620" s="58"/>
      <c r="N620" s="58"/>
      <c r="O620" s="58"/>
      <c r="P620" s="58"/>
      <c r="Q620" s="58"/>
      <c r="R620" s="58"/>
      <c r="S620" s="58"/>
      <c r="T620" s="58"/>
      <c r="U620" s="58"/>
      <c r="V620" s="58"/>
      <c r="W620" s="58"/>
      <c r="X620" s="58"/>
    </row>
    <row r="621" spans="2:24" x14ac:dyDescent="0.2">
      <c r="B621" s="58"/>
      <c r="C621" s="58"/>
      <c r="D621" s="58"/>
      <c r="E621" s="58"/>
      <c r="F621" s="58"/>
      <c r="G621" s="58"/>
      <c r="H621" s="58"/>
      <c r="I621" s="58"/>
      <c r="J621" s="58"/>
      <c r="K621" s="58"/>
      <c r="L621" s="58"/>
      <c r="M621" s="58"/>
      <c r="N621" s="58"/>
      <c r="O621" s="58"/>
      <c r="P621" s="58"/>
      <c r="Q621" s="58"/>
      <c r="R621" s="58"/>
      <c r="S621" s="58"/>
      <c r="T621" s="58"/>
      <c r="U621" s="58"/>
      <c r="V621" s="58"/>
      <c r="W621" s="58"/>
      <c r="X621" s="58"/>
    </row>
    <row r="622" spans="2:24" x14ac:dyDescent="0.2">
      <c r="B622" s="58"/>
      <c r="C622" s="58"/>
      <c r="D622" s="73" t="s">
        <v>43</v>
      </c>
      <c r="E622" s="59" t="s">
        <v>56</v>
      </c>
      <c r="F622" s="64"/>
      <c r="G622" s="78" t="s">
        <v>54</v>
      </c>
      <c r="H622" s="44"/>
      <c r="I622" s="59" t="s">
        <v>45</v>
      </c>
      <c r="J622" s="44"/>
      <c r="K622" s="59" t="s">
        <v>59</v>
      </c>
      <c r="L622" s="59"/>
      <c r="M622" s="59" t="s">
        <v>58</v>
      </c>
      <c r="N622" s="44"/>
      <c r="O622" s="59" t="s">
        <v>57</v>
      </c>
      <c r="P622" s="59"/>
      <c r="Q622" s="44"/>
      <c r="R622" s="59" t="s">
        <v>52</v>
      </c>
      <c r="S622" s="58"/>
      <c r="T622" s="58"/>
      <c r="U622" s="58"/>
      <c r="V622" s="58"/>
      <c r="W622" s="58"/>
      <c r="X622" s="58"/>
    </row>
    <row r="623" spans="2:24" x14ac:dyDescent="0.2">
      <c r="B623" s="58"/>
      <c r="C623" s="58"/>
      <c r="D623" s="71" t="s">
        <v>431</v>
      </c>
      <c r="E623" s="34">
        <f>5.01+6.03+5.01+6.03</f>
        <v>22.08</v>
      </c>
      <c r="F623" s="51"/>
      <c r="G623" s="34">
        <v>2.96</v>
      </c>
      <c r="H623" s="51"/>
      <c r="I623" s="61">
        <f t="shared" ref="I623:I630" si="20">SUM(E623*G623)</f>
        <v>65.356799999999993</v>
      </c>
      <c r="J623" s="51"/>
      <c r="K623" s="61">
        <v>3.36</v>
      </c>
      <c r="L623" s="63"/>
      <c r="M623" s="61">
        <f t="shared" ref="M623:M630" si="21">SUM(I623-K623)</f>
        <v>61.996799999999993</v>
      </c>
      <c r="N623" s="51"/>
      <c r="O623" s="51">
        <v>1</v>
      </c>
      <c r="P623" s="61"/>
      <c r="Q623" s="29"/>
      <c r="R623" s="61">
        <f t="shared" ref="R623:R630" si="22">SUM(M623*O623)</f>
        <v>61.996799999999993</v>
      </c>
      <c r="S623" s="58"/>
      <c r="T623" s="58"/>
      <c r="U623" s="58"/>
      <c r="V623" s="58"/>
      <c r="W623" s="58"/>
      <c r="X623" s="58"/>
    </row>
    <row r="624" spans="2:24" x14ac:dyDescent="0.2">
      <c r="B624" s="58"/>
      <c r="C624" s="58"/>
      <c r="D624" s="71" t="s">
        <v>432</v>
      </c>
      <c r="E624" s="34">
        <f>6+5+6+5</f>
        <v>22</v>
      </c>
      <c r="F624" s="51"/>
      <c r="G624" s="34">
        <v>2.98</v>
      </c>
      <c r="H624" s="51"/>
      <c r="I624" s="61">
        <f t="shared" si="20"/>
        <v>65.56</v>
      </c>
      <c r="J624" s="51"/>
      <c r="K624" s="61">
        <v>3.36</v>
      </c>
      <c r="L624" s="63"/>
      <c r="M624" s="61">
        <f t="shared" si="21"/>
        <v>62.2</v>
      </c>
      <c r="N624" s="51"/>
      <c r="O624" s="51">
        <v>1</v>
      </c>
      <c r="P624" s="61"/>
      <c r="Q624" s="29"/>
      <c r="R624" s="61">
        <f t="shared" si="22"/>
        <v>62.2</v>
      </c>
      <c r="S624" s="58"/>
      <c r="T624" s="58"/>
      <c r="U624" s="58"/>
      <c r="V624" s="58"/>
      <c r="W624" s="58"/>
      <c r="X624" s="58"/>
    </row>
    <row r="625" spans="2:24" x14ac:dyDescent="0.2">
      <c r="B625" s="58"/>
      <c r="C625" s="58"/>
      <c r="D625" s="99" t="s">
        <v>433</v>
      </c>
      <c r="E625" s="34">
        <f>5+8.05+5+8.05</f>
        <v>26.1</v>
      </c>
      <c r="F625" s="51"/>
      <c r="G625" s="34">
        <v>2.96</v>
      </c>
      <c r="H625" s="51"/>
      <c r="I625" s="61">
        <f t="shared" si="20"/>
        <v>77.256</v>
      </c>
      <c r="J625" s="51"/>
      <c r="K625" s="61">
        <f>2.1+0.42</f>
        <v>2.52</v>
      </c>
      <c r="L625" s="63"/>
      <c r="M625" s="61">
        <f t="shared" si="21"/>
        <v>74.736000000000004</v>
      </c>
      <c r="N625" s="51"/>
      <c r="O625" s="51">
        <v>1</v>
      </c>
      <c r="P625" s="61"/>
      <c r="Q625" s="29"/>
      <c r="R625" s="61">
        <f t="shared" si="22"/>
        <v>74.736000000000004</v>
      </c>
      <c r="S625" s="58"/>
      <c r="T625" s="58"/>
      <c r="U625" s="58"/>
      <c r="V625" s="58"/>
      <c r="W625" s="58"/>
      <c r="X625" s="58"/>
    </row>
    <row r="626" spans="2:24" x14ac:dyDescent="0.2">
      <c r="B626" s="58"/>
      <c r="C626" s="58"/>
      <c r="D626" s="99" t="s">
        <v>434</v>
      </c>
      <c r="E626" s="34">
        <f>7.55+4.82+7.55+4.82</f>
        <v>24.740000000000002</v>
      </c>
      <c r="F626" s="51"/>
      <c r="G626" s="34">
        <v>2.93</v>
      </c>
      <c r="H626" s="51"/>
      <c r="I626" s="61">
        <f t="shared" si="20"/>
        <v>72.488200000000006</v>
      </c>
      <c r="J626" s="51"/>
      <c r="K626" s="61">
        <v>1.68</v>
      </c>
      <c r="L626" s="63"/>
      <c r="M626" s="61">
        <f t="shared" si="21"/>
        <v>70.808199999999999</v>
      </c>
      <c r="N626" s="51"/>
      <c r="O626" s="51">
        <v>1</v>
      </c>
      <c r="P626" s="61"/>
      <c r="Q626" s="29"/>
      <c r="R626" s="61">
        <f t="shared" si="22"/>
        <v>70.808199999999999</v>
      </c>
      <c r="S626" s="83"/>
      <c r="T626" s="58"/>
      <c r="U626" s="58"/>
      <c r="V626" s="58"/>
      <c r="W626" s="58"/>
      <c r="X626" s="58"/>
    </row>
    <row r="627" spans="2:24" x14ac:dyDescent="0.2">
      <c r="B627" s="58"/>
      <c r="C627" s="58"/>
      <c r="D627" s="99" t="s">
        <v>435</v>
      </c>
      <c r="E627" s="34">
        <f>8.02+4.03+8.02+4.03</f>
        <v>24.1</v>
      </c>
      <c r="F627" s="51"/>
      <c r="G627" s="34">
        <v>2.93</v>
      </c>
      <c r="H627" s="51"/>
      <c r="I627" s="61">
        <f t="shared" si="20"/>
        <v>70.613000000000014</v>
      </c>
      <c r="J627" s="51"/>
      <c r="K627" s="61">
        <f>2.1+0.31</f>
        <v>2.41</v>
      </c>
      <c r="L627" s="63"/>
      <c r="M627" s="61">
        <f t="shared" si="21"/>
        <v>68.203000000000017</v>
      </c>
      <c r="N627" s="51"/>
      <c r="O627" s="51">
        <v>1</v>
      </c>
      <c r="P627" s="61"/>
      <c r="Q627" s="29"/>
      <c r="R627" s="61">
        <f t="shared" si="22"/>
        <v>68.203000000000017</v>
      </c>
      <c r="S627" s="58"/>
      <c r="T627" s="58"/>
      <c r="U627" s="58"/>
      <c r="V627" s="58"/>
      <c r="W627" s="58"/>
      <c r="X627" s="58"/>
    </row>
    <row r="628" spans="2:24" x14ac:dyDescent="0.2">
      <c r="B628" s="58"/>
      <c r="C628" s="58"/>
      <c r="D628" s="99" t="s">
        <v>456</v>
      </c>
      <c r="E628" s="34">
        <f>2.08+1.2+3.16+3.62+2.6+3.08+3.92+2.08+1.13+0.95+0.95+1.13+0.15+0.35+0.16+0.1</f>
        <v>26.66</v>
      </c>
      <c r="F628" s="51"/>
      <c r="G628" s="34">
        <v>2.2200000000000002</v>
      </c>
      <c r="H628" s="51"/>
      <c r="I628" s="61">
        <f t="shared" si="20"/>
        <v>59.185200000000009</v>
      </c>
      <c r="J628" s="51"/>
      <c r="K628" s="61">
        <v>0</v>
      </c>
      <c r="L628" s="63"/>
      <c r="M628" s="61">
        <f t="shared" si="21"/>
        <v>59.185200000000009</v>
      </c>
      <c r="N628" s="51"/>
      <c r="O628" s="51">
        <v>1</v>
      </c>
      <c r="P628" s="61"/>
      <c r="Q628" s="29"/>
      <c r="R628" s="61">
        <f t="shared" si="22"/>
        <v>59.185200000000009</v>
      </c>
      <c r="S628" s="58"/>
      <c r="T628" s="58"/>
      <c r="U628" s="58"/>
      <c r="V628" s="58"/>
      <c r="W628" s="58"/>
      <c r="X628" s="58"/>
    </row>
    <row r="629" spans="2:24" x14ac:dyDescent="0.2">
      <c r="B629" s="58"/>
      <c r="C629" s="58"/>
      <c r="D629" s="99" t="s">
        <v>468</v>
      </c>
      <c r="E629" s="34">
        <f>26.32+1.48+26.32+1.48</f>
        <v>55.6</v>
      </c>
      <c r="F629" s="51"/>
      <c r="G629" s="34">
        <v>2.27</v>
      </c>
      <c r="H629" s="51"/>
      <c r="I629" s="61">
        <f t="shared" si="20"/>
        <v>126.212</v>
      </c>
      <c r="J629" s="51"/>
      <c r="K629" s="61">
        <f>1.89+1.89+1.68+1.68+1.68+1.68+1.89</f>
        <v>12.39</v>
      </c>
      <c r="L629" s="63"/>
      <c r="M629" s="61">
        <f t="shared" si="21"/>
        <v>113.822</v>
      </c>
      <c r="N629" s="51"/>
      <c r="O629" s="51">
        <v>1</v>
      </c>
      <c r="P629" s="61"/>
      <c r="Q629" s="29"/>
      <c r="R629" s="61">
        <f t="shared" si="22"/>
        <v>113.822</v>
      </c>
      <c r="S629" s="58"/>
      <c r="T629" s="58"/>
      <c r="U629" s="58"/>
      <c r="V629" s="58"/>
      <c r="W629" s="58"/>
      <c r="X629" s="58"/>
    </row>
    <row r="630" spans="2:24" x14ac:dyDescent="0.2">
      <c r="B630" s="58"/>
      <c r="C630" s="58"/>
      <c r="D630" s="76" t="s">
        <v>548</v>
      </c>
      <c r="E630" s="34">
        <f>3.7+5.76+3.7+5.76</f>
        <v>18.920000000000002</v>
      </c>
      <c r="F630" s="51"/>
      <c r="G630" s="34">
        <v>2.98</v>
      </c>
      <c r="H630" s="51"/>
      <c r="I630" s="61">
        <f t="shared" si="20"/>
        <v>56.381600000000006</v>
      </c>
      <c r="J630" s="51"/>
      <c r="K630" s="61">
        <f>1.1+1.1+0.9+1.07+0.9*2.1</f>
        <v>6.0600000000000005</v>
      </c>
      <c r="L630" s="63"/>
      <c r="M630" s="61">
        <f t="shared" si="21"/>
        <v>50.321600000000004</v>
      </c>
      <c r="N630" s="51"/>
      <c r="O630" s="51">
        <v>1</v>
      </c>
      <c r="P630" s="61"/>
      <c r="Q630" s="29"/>
      <c r="R630" s="61">
        <f t="shared" si="22"/>
        <v>50.321600000000004</v>
      </c>
      <c r="S630" s="58"/>
      <c r="T630" s="58"/>
      <c r="U630" s="58"/>
      <c r="V630" s="58"/>
      <c r="W630" s="58"/>
      <c r="X630" s="58"/>
    </row>
    <row r="631" spans="2:24" x14ac:dyDescent="0.2">
      <c r="B631" s="58"/>
      <c r="C631" s="58"/>
      <c r="D631" s="82"/>
      <c r="E631" s="34"/>
      <c r="F631" s="51"/>
      <c r="G631" s="34"/>
      <c r="H631" s="51"/>
      <c r="I631" s="61"/>
      <c r="J631" s="51"/>
      <c r="K631" s="61"/>
      <c r="L631" s="63"/>
      <c r="M631" s="61"/>
      <c r="N631" s="51"/>
      <c r="O631" s="51"/>
      <c r="P631" s="61"/>
      <c r="Q631" s="29"/>
      <c r="R631" s="61"/>
      <c r="S631" s="58"/>
      <c r="T631" s="58"/>
      <c r="U631" s="58"/>
      <c r="V631" s="58"/>
      <c r="W631" s="58"/>
      <c r="X631" s="58"/>
    </row>
    <row r="632" spans="2:24" x14ac:dyDescent="0.2">
      <c r="B632" s="58"/>
      <c r="C632" s="58"/>
      <c r="D632" s="51"/>
      <c r="E632" s="51"/>
      <c r="F632" s="29"/>
      <c r="G632" s="29"/>
      <c r="H632" s="29"/>
      <c r="I632" s="29"/>
      <c r="J632" s="63"/>
      <c r="K632" s="63"/>
      <c r="L632" s="53"/>
      <c r="M632" s="62"/>
      <c r="N632" s="29"/>
      <c r="O632" s="53" t="s">
        <v>41</v>
      </c>
      <c r="P632" s="67"/>
      <c r="Q632" s="67"/>
      <c r="R632" s="88">
        <f>SUM(R623:R630)</f>
        <v>561.27280000000007</v>
      </c>
      <c r="S632" s="58"/>
      <c r="T632" s="58"/>
      <c r="U632" s="58"/>
      <c r="V632" s="58"/>
      <c r="W632" s="58"/>
      <c r="X632" s="58"/>
    </row>
    <row r="633" spans="2:24" x14ac:dyDescent="0.2">
      <c r="B633" s="58"/>
      <c r="C633" s="58"/>
      <c r="D633" s="51"/>
      <c r="E633" s="51"/>
      <c r="F633" s="29"/>
      <c r="G633" s="29"/>
      <c r="H633" s="29"/>
      <c r="I633" s="29"/>
      <c r="J633" s="51"/>
      <c r="K633" s="67"/>
      <c r="L633" s="67"/>
      <c r="M633" s="66"/>
      <c r="N633" s="29"/>
      <c r="O633" s="53"/>
      <c r="P633" s="67"/>
      <c r="Q633" s="67"/>
      <c r="R633" s="66"/>
      <c r="S633" s="58"/>
      <c r="T633" s="58"/>
      <c r="U633" s="58"/>
      <c r="V633" s="58"/>
      <c r="W633" s="58"/>
      <c r="X633" s="58"/>
    </row>
    <row r="634" spans="2:24" x14ac:dyDescent="0.2">
      <c r="B634" s="58" t="s">
        <v>394</v>
      </c>
      <c r="C634" s="57" t="s">
        <v>421</v>
      </c>
      <c r="D634" s="58" t="s">
        <v>420</v>
      </c>
      <c r="E634" s="58"/>
      <c r="F634" s="58"/>
      <c r="G634" s="58"/>
      <c r="H634" s="58"/>
      <c r="I634" s="58"/>
      <c r="J634" s="58"/>
      <c r="K634" s="57"/>
      <c r="L634" s="58"/>
      <c r="M634" s="58"/>
      <c r="N634" s="58"/>
      <c r="O634" s="58"/>
      <c r="P634" s="58"/>
      <c r="Q634" s="29"/>
      <c r="R634" s="61"/>
      <c r="S634" s="58"/>
      <c r="T634" s="58"/>
      <c r="U634" s="58"/>
      <c r="V634" s="58"/>
      <c r="W634" s="58"/>
      <c r="X634" s="58"/>
    </row>
    <row r="635" spans="2:24" x14ac:dyDescent="0.2">
      <c r="B635" s="29"/>
      <c r="C635" s="54"/>
      <c r="D635" s="54"/>
      <c r="E635" s="51"/>
      <c r="F635" s="29"/>
      <c r="G635" s="29"/>
      <c r="H635" s="29"/>
      <c r="I635" s="29"/>
      <c r="J635" s="51"/>
      <c r="K635" s="51"/>
      <c r="L635" s="53"/>
      <c r="M635" s="62"/>
      <c r="N635" s="29"/>
      <c r="O635" s="62"/>
      <c r="P635" s="29"/>
      <c r="Q635" s="29"/>
      <c r="R635" s="61"/>
      <c r="S635" s="58"/>
      <c r="T635" s="58"/>
      <c r="U635" s="58"/>
      <c r="V635" s="58"/>
      <c r="W635" s="58"/>
      <c r="X635" s="58"/>
    </row>
    <row r="636" spans="2:24" x14ac:dyDescent="0.2">
      <c r="B636" s="29"/>
      <c r="C636" s="54"/>
      <c r="D636" s="59" t="s">
        <v>43</v>
      </c>
      <c r="E636" s="59" t="s">
        <v>45</v>
      </c>
      <c r="F636" s="44"/>
      <c r="G636" s="63"/>
      <c r="H636" s="29"/>
      <c r="I636" s="29"/>
      <c r="J636" s="51"/>
      <c r="K636" s="51"/>
      <c r="L636" s="63"/>
      <c r="M636" s="62"/>
      <c r="N636" s="63"/>
      <c r="O636" s="62"/>
      <c r="P636" s="29"/>
      <c r="Q636" s="29"/>
      <c r="R636" s="61"/>
      <c r="S636" s="58"/>
      <c r="T636" s="58"/>
      <c r="U636" s="58"/>
      <c r="V636" s="58"/>
      <c r="W636" s="58"/>
      <c r="X636" s="58"/>
    </row>
    <row r="637" spans="2:24" x14ac:dyDescent="0.2">
      <c r="B637" s="29"/>
      <c r="C637" s="54"/>
      <c r="D637" s="71" t="s">
        <v>431</v>
      </c>
      <c r="E637" s="61">
        <f>SUM(6.03*5.01)</f>
        <v>30.2103</v>
      </c>
      <c r="F637" s="29"/>
      <c r="G637" s="34"/>
      <c r="H637" s="29"/>
      <c r="I637" s="29"/>
      <c r="J637" s="51"/>
      <c r="K637" s="51"/>
      <c r="L637" s="76"/>
      <c r="M637" s="61"/>
      <c r="N637" s="61"/>
      <c r="O637" s="34"/>
      <c r="P637" s="29"/>
      <c r="Q637" s="29"/>
      <c r="R637" s="61"/>
      <c r="S637" s="58"/>
      <c r="T637" s="58"/>
      <c r="U637" s="58"/>
      <c r="V637" s="58"/>
      <c r="W637" s="58"/>
      <c r="X637" s="58"/>
    </row>
    <row r="638" spans="2:24" x14ac:dyDescent="0.2">
      <c r="B638" s="29"/>
      <c r="C638" s="54"/>
      <c r="D638" s="71" t="s">
        <v>432</v>
      </c>
      <c r="E638" s="61">
        <f>SUM(6*5)</f>
        <v>30</v>
      </c>
      <c r="F638" s="61"/>
      <c r="G638" s="34"/>
      <c r="H638" s="29"/>
      <c r="I638" s="29"/>
      <c r="J638" s="51"/>
      <c r="K638" s="51"/>
      <c r="L638" s="76"/>
      <c r="M638" s="61"/>
      <c r="N638" s="61"/>
      <c r="O638" s="34"/>
      <c r="P638" s="29"/>
      <c r="Q638" s="29"/>
      <c r="R638" s="61"/>
      <c r="S638" s="58"/>
      <c r="T638" s="58"/>
      <c r="U638" s="58"/>
      <c r="V638" s="58"/>
      <c r="W638" s="58"/>
      <c r="X638" s="58"/>
    </row>
    <row r="639" spans="2:24" x14ac:dyDescent="0.2">
      <c r="B639" s="29"/>
      <c r="C639" s="54"/>
      <c r="D639" s="99" t="s">
        <v>433</v>
      </c>
      <c r="E639" s="61">
        <f>SUM(5*8.05)</f>
        <v>40.25</v>
      </c>
      <c r="F639" s="61"/>
      <c r="G639" s="34"/>
      <c r="H639" s="29"/>
      <c r="I639" s="29"/>
      <c r="J639" s="51"/>
      <c r="K639" s="51"/>
      <c r="L639" s="76"/>
      <c r="M639" s="61"/>
      <c r="N639" s="61"/>
      <c r="O639" s="34"/>
      <c r="P639" s="29"/>
      <c r="Q639" s="29"/>
      <c r="R639" s="61"/>
      <c r="S639" s="58"/>
      <c r="T639" s="58"/>
      <c r="U639" s="58"/>
      <c r="V639" s="58"/>
      <c r="W639" s="58"/>
      <c r="X639" s="58"/>
    </row>
    <row r="640" spans="2:24" x14ac:dyDescent="0.2">
      <c r="B640" s="29"/>
      <c r="C640" s="54"/>
      <c r="D640" s="99" t="s">
        <v>434</v>
      </c>
      <c r="E640" s="61">
        <f>SUM(7.55*4.82)</f>
        <v>36.390999999999998</v>
      </c>
      <c r="F640" s="61"/>
      <c r="G640" s="34"/>
      <c r="H640" s="29"/>
      <c r="I640" s="29"/>
      <c r="J640" s="51"/>
      <c r="K640" s="51"/>
      <c r="L640" s="76"/>
      <c r="M640" s="61"/>
      <c r="N640" s="61"/>
      <c r="O640" s="34"/>
      <c r="P640" s="29"/>
      <c r="Q640" s="29"/>
      <c r="R640" s="61"/>
      <c r="S640" s="58"/>
      <c r="T640" s="58"/>
      <c r="U640" s="58"/>
      <c r="V640" s="58"/>
      <c r="W640" s="58"/>
      <c r="X640" s="58"/>
    </row>
    <row r="641" spans="2:25" x14ac:dyDescent="0.2">
      <c r="B641" s="29"/>
      <c r="C641" s="54"/>
      <c r="D641" s="99" t="s">
        <v>435</v>
      </c>
      <c r="E641" s="61">
        <f>SUM(4.03*8.02)</f>
        <v>32.320599999999999</v>
      </c>
      <c r="F641" s="61"/>
      <c r="G641" s="34"/>
      <c r="H641" s="29"/>
      <c r="I641" s="29"/>
      <c r="J641" s="51"/>
      <c r="K641" s="51"/>
      <c r="L641" s="76"/>
      <c r="M641" s="61"/>
      <c r="N641" s="61"/>
      <c r="O641" s="34"/>
      <c r="P641" s="29"/>
      <c r="Q641" s="29"/>
      <c r="R641" s="61"/>
      <c r="S641" s="58"/>
      <c r="T641" s="58"/>
      <c r="U641" s="58"/>
      <c r="V641" s="58"/>
      <c r="W641" s="58"/>
      <c r="X641" s="58"/>
    </row>
    <row r="642" spans="2:25" x14ac:dyDescent="0.2">
      <c r="B642" s="29"/>
      <c r="C642" s="54"/>
      <c r="D642" s="99" t="s">
        <v>467</v>
      </c>
      <c r="E642" s="61">
        <f>SUM(2.08*21.7)</f>
        <v>45.136000000000003</v>
      </c>
      <c r="F642" s="61"/>
      <c r="G642" s="34"/>
      <c r="H642" s="29"/>
      <c r="I642" s="29"/>
      <c r="J642" s="51"/>
      <c r="K642" s="51"/>
      <c r="L642" s="76"/>
      <c r="M642" s="61"/>
      <c r="N642" s="61"/>
      <c r="O642" s="34"/>
      <c r="P642" s="29"/>
      <c r="Q642" s="29"/>
      <c r="R642" s="61"/>
      <c r="S642" s="58"/>
      <c r="T642" s="58"/>
      <c r="U642" s="58"/>
      <c r="V642" s="58"/>
      <c r="W642" s="58"/>
      <c r="X642" s="58"/>
    </row>
    <row r="643" spans="2:25" x14ac:dyDescent="0.2">
      <c r="B643" s="29"/>
      <c r="C643" s="54"/>
      <c r="D643" s="199" t="s">
        <v>468</v>
      </c>
      <c r="E643" s="61">
        <f>SUM(1.48*26.32)</f>
        <v>38.953600000000002</v>
      </c>
      <c r="F643" s="61"/>
      <c r="G643" s="34"/>
      <c r="H643" s="29"/>
      <c r="I643" s="29"/>
      <c r="J643" s="51"/>
      <c r="K643" s="51"/>
      <c r="L643" s="76"/>
      <c r="M643" s="61"/>
      <c r="N643" s="61"/>
      <c r="O643" s="34"/>
      <c r="P643" s="29"/>
      <c r="Q643" s="29"/>
      <c r="R643" s="61"/>
      <c r="S643" s="58"/>
      <c r="T643" s="58"/>
      <c r="U643" s="58"/>
      <c r="V643" s="58"/>
      <c r="W643" s="58"/>
      <c r="X643" s="58"/>
    </row>
    <row r="644" spans="2:25" x14ac:dyDescent="0.2">
      <c r="B644" s="29"/>
      <c r="C644" s="54"/>
      <c r="D644" s="99" t="s">
        <v>457</v>
      </c>
      <c r="E644" s="61">
        <f>SUM(5.96*6.01)</f>
        <v>35.819600000000001</v>
      </c>
      <c r="F644" s="61"/>
      <c r="G644" s="34"/>
      <c r="H644" s="29"/>
      <c r="I644" s="29"/>
      <c r="J644" s="51"/>
      <c r="K644" s="51"/>
      <c r="L644" s="76"/>
      <c r="M644" s="61"/>
      <c r="N644" s="61"/>
      <c r="O644" s="34"/>
      <c r="P644" s="29"/>
      <c r="Q644" s="29"/>
      <c r="R644" s="61"/>
      <c r="S644" s="58"/>
      <c r="T644" s="58"/>
      <c r="U644" s="58"/>
      <c r="V644" s="58"/>
      <c r="W644" s="58"/>
      <c r="X644" s="58"/>
    </row>
    <row r="645" spans="2:25" x14ac:dyDescent="0.2">
      <c r="B645" s="29"/>
      <c r="C645" s="54"/>
      <c r="D645" s="99" t="s">
        <v>436</v>
      </c>
      <c r="E645" s="61">
        <f>SUM(8*6)</f>
        <v>48</v>
      </c>
      <c r="F645" s="61"/>
      <c r="G645" s="34"/>
      <c r="H645" s="29"/>
      <c r="I645" s="29"/>
      <c r="J645" s="51"/>
      <c r="K645" s="51"/>
      <c r="L645" s="76"/>
      <c r="M645" s="61"/>
      <c r="N645" s="61"/>
      <c r="O645" s="34"/>
      <c r="P645" s="29"/>
      <c r="Q645" s="29"/>
      <c r="R645" s="61"/>
      <c r="S645" s="58"/>
      <c r="T645" s="58"/>
      <c r="U645" s="58"/>
      <c r="V645" s="58"/>
      <c r="W645" s="58"/>
      <c r="X645" s="58"/>
    </row>
    <row r="646" spans="2:25" x14ac:dyDescent="0.2">
      <c r="B646" s="29"/>
      <c r="C646" s="54"/>
      <c r="D646" s="51" t="s">
        <v>548</v>
      </c>
      <c r="E646" s="61">
        <f>5.76*3.7</f>
        <v>21.312000000000001</v>
      </c>
      <c r="F646" s="61"/>
      <c r="G646" s="34"/>
      <c r="H646" s="29"/>
      <c r="I646" s="29"/>
      <c r="J646" s="51"/>
      <c r="K646" s="51"/>
      <c r="L646" s="51"/>
      <c r="M646" s="61"/>
      <c r="N646" s="61"/>
      <c r="O646" s="34"/>
      <c r="P646" s="29"/>
      <c r="Q646" s="29"/>
      <c r="R646" s="61"/>
      <c r="S646" s="58"/>
      <c r="T646" s="58"/>
      <c r="U646" s="58"/>
      <c r="V646" s="58"/>
      <c r="W646" s="58"/>
      <c r="X646" s="58"/>
    </row>
    <row r="647" spans="2:25" x14ac:dyDescent="0.2">
      <c r="B647" s="29"/>
      <c r="C647" s="54"/>
      <c r="D647" s="51"/>
      <c r="E647" s="61"/>
      <c r="F647" s="61"/>
      <c r="G647" s="34"/>
      <c r="H647" s="29"/>
      <c r="I647" s="29"/>
      <c r="J647" s="51"/>
      <c r="K647" s="51"/>
      <c r="L647" s="51"/>
      <c r="M647" s="61"/>
      <c r="N647" s="61"/>
      <c r="O647" s="34"/>
      <c r="P647" s="29"/>
      <c r="Q647" s="29"/>
      <c r="R647" s="61"/>
      <c r="S647" s="58"/>
      <c r="T647" s="58"/>
      <c r="U647" s="58"/>
      <c r="V647" s="58"/>
      <c r="W647" s="58"/>
      <c r="X647" s="58"/>
    </row>
    <row r="648" spans="2:25" x14ac:dyDescent="0.2">
      <c r="B648" s="37"/>
      <c r="C648" s="54"/>
      <c r="D648" s="53" t="s">
        <v>41</v>
      </c>
      <c r="E648" s="62">
        <f>SUM(E637:E646)</f>
        <v>358.3931</v>
      </c>
      <c r="F648" s="51"/>
      <c r="G648" s="67"/>
      <c r="H648" s="67"/>
      <c r="I648" s="66"/>
      <c r="J648" s="63"/>
      <c r="K648" s="63"/>
      <c r="L648" s="53"/>
      <c r="M648" s="62"/>
      <c r="N648" s="62"/>
      <c r="O648" s="51"/>
      <c r="P648" s="61"/>
      <c r="Q648" s="29"/>
      <c r="R648" s="61"/>
      <c r="S648" s="58"/>
      <c r="T648" s="58"/>
      <c r="U648" s="58"/>
      <c r="V648" s="58"/>
      <c r="W648" s="58"/>
      <c r="X648" s="58"/>
    </row>
    <row r="649" spans="2:25" x14ac:dyDescent="0.2">
      <c r="B649" s="58"/>
      <c r="C649" s="58"/>
      <c r="D649" s="76"/>
      <c r="E649" s="34"/>
      <c r="F649" s="51"/>
      <c r="G649" s="34"/>
      <c r="H649" s="201"/>
      <c r="I649" s="61"/>
      <c r="J649" s="51"/>
      <c r="K649" s="61"/>
      <c r="L649" s="63"/>
      <c r="M649" s="61"/>
      <c r="N649" s="58"/>
      <c r="O649" s="53"/>
      <c r="P649" s="67"/>
      <c r="Q649" s="67"/>
      <c r="R649" s="66"/>
      <c r="S649" s="58"/>
      <c r="T649" s="58"/>
      <c r="U649" s="58"/>
      <c r="V649" s="58"/>
      <c r="W649" s="58"/>
      <c r="X649" s="58"/>
    </row>
    <row r="650" spans="2:25" x14ac:dyDescent="0.2">
      <c r="B650" s="58" t="s">
        <v>395</v>
      </c>
      <c r="C650" s="57" t="s">
        <v>423</v>
      </c>
      <c r="D650" s="58" t="s">
        <v>422</v>
      </c>
      <c r="E650" s="58"/>
      <c r="F650" s="58"/>
      <c r="G650" s="81"/>
      <c r="H650" s="29"/>
      <c r="I650" s="29"/>
      <c r="J650" s="51"/>
      <c r="K650" s="58"/>
      <c r="L650" s="58"/>
      <c r="M650" s="58"/>
      <c r="N650" s="58"/>
      <c r="O650" s="58"/>
      <c r="P650" s="58"/>
      <c r="Q650" s="58"/>
      <c r="R650" s="58"/>
      <c r="S650" s="58"/>
      <c r="T650" s="58"/>
      <c r="U650" s="58"/>
      <c r="V650" s="58"/>
      <c r="W650" s="58"/>
      <c r="X650" s="58"/>
      <c r="Y650" s="58"/>
    </row>
    <row r="651" spans="2:25" x14ac:dyDescent="0.2">
      <c r="B651" s="58"/>
      <c r="C651" s="57"/>
      <c r="D651" s="58"/>
      <c r="E651" s="58"/>
      <c r="F651" s="58"/>
      <c r="G651" s="58"/>
      <c r="H651" s="29"/>
      <c r="I651" s="29"/>
      <c r="J651" s="51"/>
      <c r="K651" s="58"/>
      <c r="L651" s="58"/>
      <c r="M651" s="58"/>
      <c r="N651" s="58"/>
      <c r="O651" s="58"/>
      <c r="P651" s="58"/>
      <c r="Q651" s="58"/>
      <c r="R651" s="58"/>
      <c r="S651" s="58"/>
      <c r="T651" s="58"/>
      <c r="U651" s="58"/>
      <c r="V651" s="58"/>
      <c r="W651" s="58"/>
      <c r="X651" s="58"/>
      <c r="Y651" s="58"/>
    </row>
    <row r="652" spans="2:25" x14ac:dyDescent="0.2">
      <c r="B652" s="58"/>
      <c r="C652" s="57"/>
      <c r="D652" s="73" t="s">
        <v>55</v>
      </c>
      <c r="E652" s="59" t="s">
        <v>44</v>
      </c>
      <c r="F652" s="64"/>
      <c r="G652" s="78" t="s">
        <v>42</v>
      </c>
      <c r="H652" s="64"/>
      <c r="I652" s="59" t="s">
        <v>54</v>
      </c>
      <c r="J652" s="44"/>
      <c r="K652" s="59" t="s">
        <v>52</v>
      </c>
      <c r="L652" s="77"/>
      <c r="M652" s="59" t="s">
        <v>53</v>
      </c>
      <c r="N652" s="59"/>
      <c r="O652" s="59" t="s">
        <v>52</v>
      </c>
      <c r="P652" s="58"/>
      <c r="Q652" s="58"/>
      <c r="R652" s="58"/>
      <c r="S652" s="58"/>
      <c r="T652" s="58"/>
      <c r="U652" s="58"/>
      <c r="V652" s="58"/>
      <c r="W652" s="58"/>
      <c r="X652" s="58"/>
      <c r="Y652" s="58"/>
    </row>
    <row r="653" spans="2:25" ht="12.75" customHeight="1" x14ac:dyDescent="0.2">
      <c r="B653" s="58"/>
      <c r="C653" s="57"/>
      <c r="D653" s="76" t="s">
        <v>458</v>
      </c>
      <c r="E653" s="75">
        <v>6</v>
      </c>
      <c r="F653" s="61" t="s">
        <v>51</v>
      </c>
      <c r="G653" s="34">
        <v>0.8</v>
      </c>
      <c r="H653" s="74" t="s">
        <v>51</v>
      </c>
      <c r="I653" s="34">
        <v>2.1</v>
      </c>
      <c r="J653" s="51" t="s">
        <v>50</v>
      </c>
      <c r="K653" s="61">
        <f>E653*G653*I653</f>
        <v>10.080000000000002</v>
      </c>
      <c r="L653" s="74" t="s">
        <v>51</v>
      </c>
      <c r="M653" s="33">
        <v>3</v>
      </c>
      <c r="N653" s="74" t="s">
        <v>50</v>
      </c>
      <c r="O653" s="61">
        <f>K653*M653</f>
        <v>30.240000000000006</v>
      </c>
      <c r="P653" s="58"/>
      <c r="Q653" s="29"/>
      <c r="R653" s="29"/>
      <c r="S653" s="29"/>
      <c r="T653" s="29"/>
      <c r="U653" s="29"/>
      <c r="V653" s="29"/>
      <c r="W653" s="29"/>
      <c r="X653" s="58"/>
      <c r="Y653" s="58"/>
    </row>
    <row r="654" spans="2:25" x14ac:dyDescent="0.2">
      <c r="B654" s="58"/>
      <c r="C654" s="57"/>
      <c r="D654" s="76" t="s">
        <v>459</v>
      </c>
      <c r="E654" s="75">
        <v>2</v>
      </c>
      <c r="F654" s="61" t="s">
        <v>51</v>
      </c>
      <c r="G654" s="34">
        <v>1</v>
      </c>
      <c r="H654" s="74" t="s">
        <v>51</v>
      </c>
      <c r="I654" s="34">
        <v>2.1</v>
      </c>
      <c r="J654" s="51" t="s">
        <v>50</v>
      </c>
      <c r="K654" s="61">
        <f>E654*G654*I654</f>
        <v>4.2</v>
      </c>
      <c r="L654" s="74" t="s">
        <v>51</v>
      </c>
      <c r="M654" s="33">
        <v>3</v>
      </c>
      <c r="N654" s="74" t="s">
        <v>50</v>
      </c>
      <c r="O654" s="61">
        <f>K654*M654</f>
        <v>12.600000000000001</v>
      </c>
      <c r="P654" s="58"/>
      <c r="Q654" s="29"/>
      <c r="R654" s="58"/>
      <c r="S654" s="58"/>
      <c r="T654" s="58"/>
      <c r="U654" s="58"/>
      <c r="V654" s="58"/>
      <c r="W654" s="58"/>
      <c r="X654" s="58"/>
      <c r="Y654" s="58"/>
    </row>
    <row r="655" spans="2:25" x14ac:dyDescent="0.2">
      <c r="B655" s="58"/>
      <c r="C655" s="57"/>
      <c r="D655" s="51" t="s">
        <v>559</v>
      </c>
      <c r="E655" s="75">
        <v>2</v>
      </c>
      <c r="F655" s="61" t="s">
        <v>51</v>
      </c>
      <c r="G655" s="34">
        <v>0.9</v>
      </c>
      <c r="H655" s="74" t="s">
        <v>51</v>
      </c>
      <c r="I655" s="34">
        <v>2.1</v>
      </c>
      <c r="J655" s="51" t="s">
        <v>50</v>
      </c>
      <c r="K655" s="61">
        <f>E655*G655*I655</f>
        <v>3.7800000000000002</v>
      </c>
      <c r="L655" s="74" t="s">
        <v>51</v>
      </c>
      <c r="M655" s="33">
        <v>3</v>
      </c>
      <c r="N655" s="74" t="s">
        <v>50</v>
      </c>
      <c r="O655" s="61">
        <f>K655*M655</f>
        <v>11.34</v>
      </c>
      <c r="P655" s="58"/>
      <c r="Q655" s="58"/>
      <c r="R655" s="58"/>
      <c r="S655" s="58"/>
      <c r="T655" s="58"/>
      <c r="U655" s="58"/>
      <c r="V655" s="58"/>
      <c r="W655" s="58"/>
      <c r="X655" s="58"/>
      <c r="Y655" s="58"/>
    </row>
    <row r="656" spans="2:25" x14ac:dyDescent="0.2">
      <c r="B656" s="58"/>
      <c r="C656" s="57"/>
      <c r="D656" s="51"/>
      <c r="E656" s="75"/>
      <c r="F656" s="61"/>
      <c r="G656" s="34"/>
      <c r="H656" s="74"/>
      <c r="I656" s="34"/>
      <c r="J656" s="51"/>
      <c r="K656" s="61"/>
      <c r="L656" s="58"/>
      <c r="M656" s="58"/>
      <c r="N656" s="58"/>
      <c r="O656" s="58"/>
      <c r="P656" s="58"/>
      <c r="Q656" s="58"/>
      <c r="R656" s="58"/>
      <c r="S656" s="58"/>
      <c r="T656" s="58"/>
      <c r="U656" s="58"/>
      <c r="V656" s="58"/>
      <c r="W656" s="58"/>
      <c r="X656" s="58"/>
      <c r="Y656" s="58"/>
    </row>
    <row r="657" spans="2:25" x14ac:dyDescent="0.2">
      <c r="B657" s="58"/>
      <c r="C657" s="57"/>
      <c r="D657" s="80"/>
      <c r="E657" s="79"/>
      <c r="F657" s="58"/>
      <c r="G657" s="58"/>
      <c r="H657" s="80"/>
      <c r="I657" s="79"/>
      <c r="J657" s="51"/>
      <c r="K657" s="58"/>
      <c r="L657" s="53"/>
      <c r="M657" s="62" t="s">
        <v>41</v>
      </c>
      <c r="N657" s="53"/>
      <c r="O657" s="62">
        <f>SUM(O653:O655)</f>
        <v>54.180000000000007</v>
      </c>
      <c r="P657" s="58"/>
      <c r="Q657" s="58"/>
      <c r="R657" s="58"/>
      <c r="S657" s="58"/>
      <c r="T657" s="58"/>
      <c r="U657" s="58"/>
      <c r="V657" s="58"/>
      <c r="W657" s="58"/>
      <c r="X657" s="58"/>
      <c r="Y657" s="58"/>
    </row>
    <row r="658" spans="2:25" x14ac:dyDescent="0.2">
      <c r="B658" s="58"/>
      <c r="C658" s="58"/>
      <c r="D658" s="58"/>
      <c r="E658" s="58"/>
      <c r="F658" s="58"/>
      <c r="G658" s="58"/>
      <c r="H658" s="58"/>
      <c r="I658" s="58"/>
      <c r="J658" s="58"/>
      <c r="K658" s="58"/>
      <c r="L658" s="58"/>
      <c r="M658" s="58"/>
      <c r="N658" s="58"/>
      <c r="O658" s="58"/>
      <c r="P658" s="58"/>
      <c r="Q658" s="58"/>
      <c r="R658" s="58"/>
      <c r="S658" s="58"/>
      <c r="T658" s="58"/>
      <c r="U658" s="58"/>
      <c r="V658" s="58"/>
      <c r="W658" s="58"/>
      <c r="X658" s="58"/>
    </row>
    <row r="659" spans="2:25" x14ac:dyDescent="0.2">
      <c r="B659" s="70" t="s">
        <v>70</v>
      </c>
      <c r="C659" s="69"/>
      <c r="D659" s="69" t="s">
        <v>49</v>
      </c>
      <c r="E659" s="69"/>
      <c r="F659" s="69"/>
      <c r="G659" s="69"/>
      <c r="H659" s="69"/>
      <c r="I659" s="69"/>
      <c r="J659" s="69"/>
      <c r="K659" s="69"/>
      <c r="L659" s="69"/>
      <c r="M659" s="69"/>
      <c r="N659" s="69"/>
      <c r="O659" s="69"/>
      <c r="P659" s="69"/>
      <c r="Q659" s="69"/>
      <c r="R659" s="69"/>
      <c r="S659" s="69"/>
      <c r="T659" s="69"/>
      <c r="U659" s="69"/>
      <c r="V659" s="69"/>
      <c r="W659" s="69"/>
      <c r="X659" s="68"/>
    </row>
    <row r="660" spans="2:25" s="49" customFormat="1" x14ac:dyDescent="0.2">
      <c r="B660" s="58"/>
      <c r="C660" s="58"/>
      <c r="D660" s="58"/>
      <c r="E660" s="58"/>
      <c r="F660" s="58"/>
      <c r="G660" s="58"/>
      <c r="H660" s="58"/>
      <c r="I660" s="58"/>
      <c r="J660" s="58"/>
      <c r="K660" s="58"/>
      <c r="L660" s="58"/>
      <c r="M660" s="58"/>
      <c r="N660" s="58"/>
      <c r="O660" s="58"/>
      <c r="P660" s="58"/>
      <c r="Q660" s="58"/>
      <c r="R660" s="58"/>
      <c r="S660" s="58"/>
      <c r="T660" s="58"/>
      <c r="U660" s="58"/>
      <c r="V660" s="58"/>
      <c r="W660" s="58"/>
      <c r="X660" s="58"/>
    </row>
    <row r="661" spans="2:25" x14ac:dyDescent="0.2">
      <c r="B661" s="58" t="s">
        <v>69</v>
      </c>
      <c r="C661" s="57" t="s">
        <v>427</v>
      </c>
      <c r="D661" s="58" t="s">
        <v>426</v>
      </c>
      <c r="E661" s="58"/>
      <c r="F661" s="58"/>
      <c r="G661" s="58"/>
      <c r="H661" s="58"/>
      <c r="I661" s="58"/>
      <c r="J661" s="58"/>
      <c r="K661" s="58"/>
      <c r="L661" s="63"/>
      <c r="M661" s="61"/>
      <c r="N661" s="29"/>
      <c r="O661" s="61"/>
      <c r="P661" s="29"/>
      <c r="Q661" s="29"/>
      <c r="R661" s="29"/>
      <c r="S661" s="29"/>
      <c r="T661" s="29"/>
      <c r="U661" s="29"/>
      <c r="V661" s="29"/>
      <c r="W661" s="29"/>
      <c r="X661" s="37"/>
    </row>
    <row r="662" spans="2:25" x14ac:dyDescent="0.2">
      <c r="B662" s="58"/>
      <c r="C662" s="57"/>
      <c r="D662" s="58"/>
      <c r="E662" s="58"/>
      <c r="F662" s="58"/>
      <c r="G662" s="58"/>
      <c r="H662" s="58"/>
      <c r="I662" s="58"/>
      <c r="J662" s="58"/>
      <c r="K662" s="58"/>
      <c r="L662" s="63"/>
      <c r="M662" s="61"/>
      <c r="N662" s="29"/>
      <c r="O662" s="61"/>
      <c r="P662" s="29"/>
      <c r="Q662" s="29"/>
      <c r="R662" s="29"/>
      <c r="S662" s="29"/>
      <c r="T662" s="29"/>
      <c r="U662" s="29"/>
      <c r="V662" s="29"/>
      <c r="W662" s="29"/>
      <c r="X662" s="37"/>
    </row>
    <row r="663" spans="2:25" x14ac:dyDescent="0.2">
      <c r="B663" s="37"/>
      <c r="C663" s="60"/>
      <c r="D663" s="59" t="s">
        <v>43</v>
      </c>
      <c r="E663" s="59" t="s">
        <v>45</v>
      </c>
      <c r="F663" s="51"/>
      <c r="G663" s="34"/>
      <c r="H663" s="51"/>
      <c r="I663" s="61"/>
      <c r="J663" s="51"/>
      <c r="K663" s="34"/>
      <c r="L663" s="63"/>
      <c r="M663" s="61"/>
      <c r="N663" s="29"/>
      <c r="O663" s="61"/>
      <c r="P663" s="29"/>
      <c r="Q663" s="29"/>
      <c r="R663" s="29"/>
      <c r="S663" s="29"/>
      <c r="T663" s="29"/>
      <c r="U663" s="29"/>
      <c r="V663" s="29"/>
      <c r="W663" s="29"/>
      <c r="X663" s="37"/>
    </row>
    <row r="664" spans="2:25" x14ac:dyDescent="0.2">
      <c r="B664" s="37"/>
      <c r="C664" s="60"/>
      <c r="D664" s="198" t="s">
        <v>461</v>
      </c>
      <c r="E664" s="61">
        <f>SUM(5.96*6.01)</f>
        <v>35.819600000000001</v>
      </c>
      <c r="F664" s="51"/>
      <c r="G664" s="34"/>
      <c r="H664" s="51"/>
      <c r="I664" s="61"/>
      <c r="J664" s="51"/>
      <c r="K664" s="34"/>
      <c r="L664" s="63"/>
      <c r="M664" s="61"/>
      <c r="N664" s="29"/>
      <c r="O664" s="61"/>
      <c r="P664" s="29"/>
      <c r="Q664" s="29"/>
      <c r="R664" s="29"/>
      <c r="S664" s="29"/>
      <c r="T664" s="29"/>
      <c r="U664" s="29"/>
      <c r="V664" s="29"/>
      <c r="W664" s="29"/>
      <c r="X664" s="37"/>
    </row>
    <row r="665" spans="2:25" x14ac:dyDescent="0.2">
      <c r="B665" s="37"/>
      <c r="C665" s="60"/>
      <c r="D665" s="198" t="s">
        <v>460</v>
      </c>
      <c r="E665" s="61">
        <f>SUM(8*6)</f>
        <v>48</v>
      </c>
      <c r="F665" s="51"/>
      <c r="G665" s="34"/>
      <c r="H665" s="51"/>
      <c r="I665" s="61"/>
      <c r="J665" s="51"/>
      <c r="K665" s="34"/>
      <c r="L665" s="63"/>
      <c r="M665" s="61"/>
      <c r="N665" s="29"/>
      <c r="O665" s="61"/>
      <c r="P665" s="29"/>
      <c r="Q665" s="29"/>
      <c r="R665" s="29"/>
      <c r="S665" s="29"/>
      <c r="T665" s="29"/>
      <c r="U665" s="29"/>
      <c r="V665" s="29"/>
      <c r="W665" s="29"/>
      <c r="X665" s="37"/>
    </row>
    <row r="666" spans="2:25" x14ac:dyDescent="0.2">
      <c r="B666" s="37"/>
      <c r="C666" s="60"/>
      <c r="D666" s="82" t="s">
        <v>515</v>
      </c>
      <c r="E666" s="34">
        <f t="shared" ref="E666:E673" si="23">E534</f>
        <v>30.2103</v>
      </c>
      <c r="F666" s="51"/>
      <c r="G666" s="34"/>
      <c r="H666" s="51"/>
      <c r="I666" s="61"/>
      <c r="J666" s="51"/>
      <c r="K666" s="34"/>
      <c r="L666" s="63"/>
      <c r="M666" s="61"/>
      <c r="N666" s="29"/>
      <c r="O666" s="61"/>
      <c r="P666" s="29"/>
      <c r="Q666" s="29"/>
      <c r="R666" s="29"/>
      <c r="S666" s="29"/>
      <c r="T666" s="29"/>
      <c r="U666" s="29"/>
      <c r="V666" s="29"/>
      <c r="W666" s="29"/>
      <c r="X666" s="37"/>
    </row>
    <row r="667" spans="2:25" x14ac:dyDescent="0.2">
      <c r="B667" s="37"/>
      <c r="C667" s="60"/>
      <c r="D667" s="82" t="s">
        <v>516</v>
      </c>
      <c r="E667" s="34">
        <f t="shared" si="23"/>
        <v>36.390999999999998</v>
      </c>
      <c r="F667" s="51"/>
      <c r="G667" s="34"/>
      <c r="H667" s="51"/>
      <c r="I667" s="61"/>
      <c r="J667" s="51"/>
      <c r="K667" s="34"/>
      <c r="L667" s="63"/>
      <c r="M667" s="61"/>
      <c r="N667" s="29"/>
      <c r="O667" s="61"/>
      <c r="P667" s="29"/>
      <c r="Q667" s="29"/>
      <c r="R667" s="29"/>
      <c r="S667" s="29"/>
      <c r="T667" s="29"/>
      <c r="U667" s="29"/>
      <c r="V667" s="29"/>
      <c r="W667" s="29"/>
      <c r="X667" s="37"/>
    </row>
    <row r="668" spans="2:25" x14ac:dyDescent="0.2">
      <c r="B668" s="37"/>
      <c r="C668" s="60"/>
      <c r="D668" s="82" t="s">
        <v>565</v>
      </c>
      <c r="E668" s="208">
        <f t="shared" si="23"/>
        <v>30</v>
      </c>
      <c r="F668" s="51"/>
      <c r="G668" s="34"/>
      <c r="H668" s="51"/>
      <c r="I668" s="61"/>
      <c r="J668" s="51"/>
      <c r="K668" s="34"/>
      <c r="L668" s="63"/>
      <c r="M668" s="61"/>
      <c r="N668" s="29"/>
      <c r="O668" s="61"/>
      <c r="P668" s="29"/>
      <c r="Q668" s="29"/>
      <c r="R668" s="29"/>
      <c r="S668" s="29"/>
      <c r="T668" s="29"/>
      <c r="U668" s="29"/>
      <c r="V668" s="29"/>
      <c r="W668" s="29"/>
      <c r="X668" s="37"/>
    </row>
    <row r="669" spans="2:25" x14ac:dyDescent="0.2">
      <c r="B669" s="37"/>
      <c r="C669" s="60"/>
      <c r="D669" s="82" t="s">
        <v>561</v>
      </c>
      <c r="E669" s="208">
        <f t="shared" si="23"/>
        <v>40.25</v>
      </c>
      <c r="F669" s="51"/>
      <c r="G669" s="34"/>
      <c r="H669" s="51"/>
      <c r="I669" s="61"/>
      <c r="J669" s="51"/>
      <c r="K669" s="34"/>
      <c r="L669" s="63"/>
      <c r="M669" s="61"/>
      <c r="N669" s="29"/>
      <c r="O669" s="61"/>
      <c r="P669" s="29"/>
      <c r="Q669" s="29"/>
      <c r="R669" s="29"/>
      <c r="S669" s="29"/>
      <c r="T669" s="29"/>
      <c r="U669" s="29"/>
      <c r="V669" s="29"/>
      <c r="W669" s="29"/>
      <c r="X669" s="37"/>
    </row>
    <row r="670" spans="2:25" x14ac:dyDescent="0.2">
      <c r="B670" s="37"/>
      <c r="C670" s="60"/>
      <c r="D670" s="82" t="s">
        <v>562</v>
      </c>
      <c r="E670" s="208">
        <f t="shared" si="23"/>
        <v>32.320599999999999</v>
      </c>
      <c r="F670" s="51"/>
      <c r="G670" s="34"/>
      <c r="H670" s="51"/>
      <c r="I670" s="61"/>
      <c r="J670" s="51"/>
      <c r="K670" s="34"/>
      <c r="L670" s="63"/>
      <c r="M670" s="61"/>
      <c r="N670" s="29"/>
      <c r="O670" s="61"/>
      <c r="P670" s="29"/>
      <c r="Q670" s="29"/>
      <c r="R670" s="29"/>
      <c r="S670" s="29"/>
      <c r="T670" s="29"/>
      <c r="U670" s="29"/>
      <c r="V670" s="29"/>
      <c r="W670" s="29"/>
      <c r="X670" s="37"/>
    </row>
    <row r="671" spans="2:25" x14ac:dyDescent="0.2">
      <c r="B671" s="37"/>
      <c r="C671" s="60"/>
      <c r="D671" s="82" t="s">
        <v>563</v>
      </c>
      <c r="E671" s="208">
        <f t="shared" si="23"/>
        <v>47.414499999999997</v>
      </c>
      <c r="F671" s="51"/>
      <c r="G671" s="34"/>
      <c r="H671" s="51"/>
      <c r="I671" s="61"/>
      <c r="J671" s="51"/>
      <c r="K671" s="34"/>
      <c r="L671" s="63"/>
      <c r="M671" s="61"/>
      <c r="N671" s="29"/>
      <c r="O671" s="61"/>
      <c r="P671" s="29"/>
      <c r="Q671" s="29"/>
      <c r="R671" s="29"/>
      <c r="S671" s="29"/>
      <c r="T671" s="29"/>
      <c r="U671" s="29"/>
      <c r="V671" s="29"/>
      <c r="W671" s="29"/>
      <c r="X671" s="37"/>
    </row>
    <row r="672" spans="2:25" x14ac:dyDescent="0.2">
      <c r="B672" s="37"/>
      <c r="C672" s="60"/>
      <c r="D672" s="82" t="s">
        <v>564</v>
      </c>
      <c r="E672" s="208">
        <f t="shared" si="23"/>
        <v>39.216799999999999</v>
      </c>
      <c r="F672" s="51"/>
      <c r="G672" s="34"/>
      <c r="H672" s="51"/>
      <c r="I672" s="61"/>
      <c r="J672" s="51"/>
      <c r="K672" s="34"/>
      <c r="L672" s="63"/>
      <c r="M672" s="61"/>
      <c r="N672" s="29"/>
      <c r="O672" s="61"/>
      <c r="P672" s="29"/>
      <c r="Q672" s="29"/>
      <c r="R672" s="29"/>
      <c r="S672" s="29"/>
      <c r="T672" s="29"/>
      <c r="U672" s="29"/>
      <c r="V672" s="29"/>
      <c r="W672" s="29"/>
      <c r="X672" s="37"/>
    </row>
    <row r="673" spans="2:24" x14ac:dyDescent="0.2">
      <c r="B673" s="37"/>
      <c r="C673" s="60"/>
      <c r="D673" s="82" t="s">
        <v>548</v>
      </c>
      <c r="E673" s="61">
        <f t="shared" si="23"/>
        <v>21.312000000000001</v>
      </c>
      <c r="F673" s="51"/>
      <c r="G673" s="34"/>
      <c r="H673" s="51"/>
      <c r="I673" s="61"/>
      <c r="J673" s="51"/>
      <c r="K673" s="34"/>
      <c r="L673" s="63"/>
      <c r="M673" s="61"/>
      <c r="N673" s="29"/>
      <c r="O673" s="61"/>
      <c r="P673" s="29"/>
      <c r="Q673" s="29"/>
      <c r="R673" s="29"/>
      <c r="S673" s="29"/>
      <c r="T673" s="29"/>
      <c r="U673" s="29"/>
      <c r="V673" s="29"/>
      <c r="W673" s="29"/>
      <c r="X673" s="37"/>
    </row>
    <row r="674" spans="2:24" x14ac:dyDescent="0.2">
      <c r="B674" s="37"/>
      <c r="C674" s="60"/>
      <c r="D674" s="82"/>
      <c r="E674" s="34"/>
      <c r="F674" s="51"/>
      <c r="G674" s="34"/>
      <c r="H674" s="51"/>
      <c r="I674" s="61"/>
      <c r="J674" s="51"/>
      <c r="K674" s="34"/>
      <c r="L674" s="63"/>
      <c r="M674" s="61"/>
      <c r="N674" s="29"/>
      <c r="O674" s="61"/>
      <c r="P674" s="29"/>
      <c r="Q674" s="29"/>
      <c r="R674" s="29"/>
      <c r="S674" s="29"/>
      <c r="T674" s="29"/>
      <c r="U674" s="29"/>
      <c r="V674" s="29"/>
      <c r="W674" s="29"/>
      <c r="X674" s="37"/>
    </row>
    <row r="675" spans="2:24" x14ac:dyDescent="0.2">
      <c r="B675" s="37"/>
      <c r="C675" s="60"/>
      <c r="D675" s="53" t="s">
        <v>41</v>
      </c>
      <c r="E675" s="62">
        <f>SUM(E664:E673)</f>
        <v>360.9348</v>
      </c>
      <c r="F675" s="51"/>
      <c r="G675" s="34"/>
      <c r="H675" s="51"/>
      <c r="I675" s="61"/>
      <c r="J675" s="51"/>
      <c r="K675" s="34"/>
      <c r="L675" s="63"/>
      <c r="M675" s="61"/>
      <c r="N675" s="29"/>
      <c r="O675" s="61"/>
      <c r="P675" s="29"/>
      <c r="Q675" s="29"/>
      <c r="R675" s="29"/>
      <c r="S675" s="29"/>
      <c r="T675" s="29"/>
      <c r="U675" s="29"/>
      <c r="V675" s="29"/>
      <c r="W675" s="29"/>
      <c r="X675" s="37"/>
    </row>
    <row r="676" spans="2:24" x14ac:dyDescent="0.2">
      <c r="B676" s="37"/>
      <c r="C676" s="60"/>
      <c r="D676" s="53"/>
      <c r="E676" s="62"/>
      <c r="F676" s="51"/>
      <c r="G676" s="34"/>
      <c r="H676" s="51"/>
      <c r="I676" s="61"/>
      <c r="J676" s="51"/>
      <c r="K676" s="34"/>
      <c r="L676" s="63"/>
      <c r="M676" s="61"/>
      <c r="N676" s="29"/>
      <c r="O676" s="61"/>
      <c r="P676" s="29"/>
      <c r="Q676" s="29"/>
      <c r="R676" s="29"/>
      <c r="S676" s="29"/>
      <c r="T676" s="29"/>
      <c r="U676" s="29"/>
      <c r="V676" s="29"/>
      <c r="W676" s="29"/>
      <c r="X676" s="37"/>
    </row>
    <row r="677" spans="2:24" x14ac:dyDescent="0.2">
      <c r="B677" s="58" t="s">
        <v>68</v>
      </c>
      <c r="C677" s="57" t="s">
        <v>569</v>
      </c>
      <c r="D677" s="58" t="s">
        <v>570</v>
      </c>
      <c r="E677" s="62"/>
      <c r="F677" s="51"/>
      <c r="G677" s="34"/>
      <c r="H677" s="51"/>
      <c r="I677" s="61"/>
      <c r="J677" s="51"/>
      <c r="K677" s="34"/>
      <c r="L677" s="63"/>
      <c r="M677" s="61"/>
      <c r="N677" s="29"/>
      <c r="O677" s="61"/>
      <c r="P677" s="29"/>
      <c r="Q677" s="29"/>
      <c r="R677" s="29"/>
      <c r="S677" s="29"/>
      <c r="T677" s="29"/>
      <c r="U677" s="29"/>
      <c r="V677" s="29"/>
      <c r="W677" s="29"/>
      <c r="X677" s="37"/>
    </row>
    <row r="678" spans="2:24" x14ac:dyDescent="0.2">
      <c r="B678" s="37"/>
      <c r="C678" s="60"/>
      <c r="D678" s="53"/>
      <c r="E678" s="62"/>
      <c r="F678" s="51"/>
      <c r="G678" s="34"/>
      <c r="H678" s="51"/>
      <c r="I678" s="61"/>
      <c r="J678" s="51"/>
      <c r="K678" s="34"/>
      <c r="L678" s="63"/>
      <c r="M678" s="61"/>
      <c r="N678" s="29"/>
      <c r="O678" s="61"/>
      <c r="P678" s="29"/>
      <c r="Q678" s="29"/>
      <c r="R678" s="29"/>
      <c r="S678" s="29"/>
      <c r="T678" s="29"/>
      <c r="U678" s="29"/>
      <c r="V678" s="29"/>
      <c r="W678" s="29"/>
      <c r="X678" s="37"/>
    </row>
    <row r="679" spans="2:24" x14ac:dyDescent="0.2">
      <c r="B679" s="37"/>
      <c r="C679" s="60"/>
      <c r="D679" s="73" t="s">
        <v>43</v>
      </c>
      <c r="E679" s="59" t="s">
        <v>56</v>
      </c>
      <c r="F679" s="64"/>
      <c r="G679" s="78" t="s">
        <v>54</v>
      </c>
      <c r="H679" s="44"/>
      <c r="I679" s="72" t="s">
        <v>45</v>
      </c>
      <c r="J679" s="44"/>
      <c r="K679" s="59" t="s">
        <v>59</v>
      </c>
      <c r="L679" s="59"/>
      <c r="M679" s="59" t="s">
        <v>58</v>
      </c>
      <c r="N679" s="44"/>
      <c r="O679" s="59" t="s">
        <v>57</v>
      </c>
      <c r="P679" s="59"/>
      <c r="Q679" s="44"/>
      <c r="R679" s="59" t="s">
        <v>52</v>
      </c>
      <c r="S679" s="29"/>
      <c r="T679" s="29"/>
      <c r="U679" s="29"/>
      <c r="V679" s="29"/>
      <c r="W679" s="29"/>
      <c r="X679" s="37"/>
    </row>
    <row r="680" spans="2:24" x14ac:dyDescent="0.2">
      <c r="B680" s="37"/>
      <c r="C680" s="60"/>
      <c r="D680" s="71" t="s">
        <v>576</v>
      </c>
      <c r="E680" s="34">
        <f>4.84+4.84+4.84+4.84+6+6</f>
        <v>31.36</v>
      </c>
      <c r="F680" s="37"/>
      <c r="G680" s="61">
        <v>2.97</v>
      </c>
      <c r="H680" s="85"/>
      <c r="I680" s="103">
        <f>SUM(E680*G680)</f>
        <v>93.139200000000002</v>
      </c>
      <c r="J680" s="29"/>
      <c r="K680" s="61">
        <f>3.36+0.31</f>
        <v>3.67</v>
      </c>
      <c r="L680" s="63"/>
      <c r="M680" s="103">
        <f>SUM(I680-K680)</f>
        <v>89.469200000000001</v>
      </c>
      <c r="N680" s="29"/>
      <c r="O680" s="51">
        <v>1</v>
      </c>
      <c r="P680" s="63"/>
      <c r="Q680" s="29"/>
      <c r="R680" s="103">
        <f>SUM(M680*O680)</f>
        <v>89.469200000000001</v>
      </c>
      <c r="S680" s="29"/>
      <c r="T680" s="29"/>
      <c r="U680" s="29"/>
      <c r="V680" s="29"/>
      <c r="W680" s="29"/>
      <c r="X680" s="37"/>
    </row>
    <row r="681" spans="2:24" x14ac:dyDescent="0.2">
      <c r="B681" s="37"/>
      <c r="C681" s="60"/>
      <c r="D681" s="71" t="s">
        <v>577</v>
      </c>
      <c r="E681" s="34">
        <f>8+6+6+8+6.15+6.15</f>
        <v>40.299999999999997</v>
      </c>
      <c r="F681" s="51"/>
      <c r="G681" s="34">
        <v>2.94</v>
      </c>
      <c r="H681" s="29"/>
      <c r="I681" s="61">
        <f>SUM(E681*G681)</f>
        <v>118.48199999999999</v>
      </c>
      <c r="J681" s="29"/>
      <c r="K681" s="61">
        <v>0.61</v>
      </c>
      <c r="L681" s="63"/>
      <c r="M681" s="103">
        <f>SUM(I681-K681)</f>
        <v>117.87199999999999</v>
      </c>
      <c r="N681" s="29"/>
      <c r="O681" s="51">
        <v>1</v>
      </c>
      <c r="P681" s="63"/>
      <c r="Q681" s="29"/>
      <c r="R681" s="103">
        <f>SUM(M681*O681)</f>
        <v>117.87199999999999</v>
      </c>
      <c r="S681" s="29"/>
      <c r="T681" s="29"/>
      <c r="U681" s="29"/>
      <c r="V681" s="29"/>
      <c r="W681" s="29"/>
      <c r="X681" s="37"/>
    </row>
    <row r="682" spans="2:24" x14ac:dyDescent="0.2">
      <c r="B682" s="37"/>
      <c r="C682" s="60"/>
      <c r="D682" s="71"/>
      <c r="E682" s="34"/>
      <c r="F682" s="37"/>
      <c r="G682" s="62"/>
      <c r="H682" s="29"/>
      <c r="I682" s="61"/>
      <c r="J682" s="29"/>
      <c r="K682" s="63"/>
      <c r="L682" s="63"/>
      <c r="M682" s="63"/>
      <c r="N682" s="29"/>
      <c r="O682" s="63"/>
      <c r="P682" s="63"/>
      <c r="Q682" s="29"/>
      <c r="R682" s="63"/>
      <c r="S682" s="29"/>
      <c r="T682" s="29"/>
      <c r="U682" s="29"/>
      <c r="V682" s="29"/>
      <c r="W682" s="29"/>
      <c r="X682" s="37"/>
    </row>
    <row r="683" spans="2:24" x14ac:dyDescent="0.2">
      <c r="B683" s="37"/>
      <c r="C683" s="60"/>
      <c r="D683" s="85"/>
      <c r="E683" s="88"/>
      <c r="F683" s="37"/>
      <c r="G683" s="62"/>
      <c r="H683" s="85"/>
      <c r="I683" s="88"/>
      <c r="J683" s="29"/>
      <c r="K683" s="63"/>
      <c r="L683" s="63"/>
      <c r="M683" s="63"/>
      <c r="N683" s="29"/>
      <c r="O683" s="63"/>
      <c r="P683" s="329" t="s">
        <v>41</v>
      </c>
      <c r="Q683" s="329"/>
      <c r="R683" s="88">
        <f>SUM(R680:R681)</f>
        <v>207.34119999999999</v>
      </c>
      <c r="S683" s="29"/>
      <c r="T683" s="29"/>
      <c r="U683" s="29"/>
      <c r="V683" s="29"/>
      <c r="W683" s="29"/>
      <c r="X683" s="37"/>
    </row>
    <row r="684" spans="2:24" x14ac:dyDescent="0.2">
      <c r="B684" s="37"/>
      <c r="C684" s="60"/>
      <c r="D684" s="53"/>
      <c r="E684" s="62"/>
      <c r="F684" s="51"/>
      <c r="G684" s="34"/>
      <c r="H684" s="51"/>
      <c r="I684" s="61"/>
      <c r="J684" s="51"/>
      <c r="K684" s="34"/>
      <c r="L684" s="63"/>
      <c r="M684" s="61"/>
      <c r="N684" s="29"/>
      <c r="O684" s="61"/>
      <c r="P684" s="29"/>
      <c r="Q684" s="29"/>
      <c r="R684" s="29"/>
      <c r="S684" s="29"/>
      <c r="T684" s="29"/>
      <c r="U684" s="29"/>
      <c r="V684" s="29"/>
      <c r="W684" s="29"/>
      <c r="X684" s="37"/>
    </row>
    <row r="685" spans="2:24" x14ac:dyDescent="0.2">
      <c r="B685" s="37"/>
      <c r="C685" s="60"/>
      <c r="D685" s="53"/>
      <c r="E685" s="62"/>
      <c r="F685" s="51"/>
      <c r="G685" s="34"/>
      <c r="H685" s="51"/>
      <c r="I685" s="61"/>
      <c r="J685" s="51"/>
      <c r="K685" s="34"/>
      <c r="L685" s="63"/>
      <c r="M685" s="61"/>
      <c r="N685" s="29"/>
      <c r="O685" s="61"/>
      <c r="P685" s="29"/>
      <c r="Q685" s="29"/>
      <c r="R685" s="29"/>
      <c r="S685" s="29"/>
      <c r="T685" s="29"/>
      <c r="U685" s="29"/>
      <c r="V685" s="29"/>
      <c r="W685" s="29"/>
      <c r="X685" s="37"/>
    </row>
    <row r="686" spans="2:24" x14ac:dyDescent="0.2">
      <c r="B686" s="58" t="s">
        <v>571</v>
      </c>
      <c r="C686" s="57" t="s">
        <v>572</v>
      </c>
      <c r="D686" s="58" t="s">
        <v>573</v>
      </c>
      <c r="E686" s="62"/>
      <c r="F686" s="51"/>
      <c r="G686" s="34"/>
      <c r="H686" s="51"/>
      <c r="I686" s="61"/>
      <c r="J686" s="51"/>
      <c r="K686" s="34"/>
      <c r="L686" s="63"/>
      <c r="M686" s="61"/>
      <c r="N686" s="29"/>
      <c r="O686" s="61"/>
      <c r="P686" s="29"/>
      <c r="Q686" s="29"/>
      <c r="R686" s="29"/>
      <c r="S686" s="29"/>
      <c r="T686" s="29"/>
      <c r="U686" s="29"/>
      <c r="V686" s="29"/>
      <c r="W686" s="29"/>
      <c r="X686" s="37"/>
    </row>
    <row r="687" spans="2:24" x14ac:dyDescent="0.2">
      <c r="B687" s="37"/>
      <c r="C687" s="60"/>
      <c r="D687" s="53"/>
      <c r="E687" s="62"/>
      <c r="F687" s="51"/>
      <c r="G687" s="34"/>
      <c r="H687" s="51"/>
      <c r="I687" s="61"/>
      <c r="J687" s="51"/>
      <c r="K687" s="34"/>
      <c r="L687" s="63"/>
      <c r="M687" s="61"/>
      <c r="N687" s="29"/>
      <c r="O687" s="61"/>
      <c r="P687" s="29"/>
      <c r="Q687" s="29"/>
      <c r="R687" s="29"/>
      <c r="S687" s="29"/>
      <c r="T687" s="29"/>
      <c r="U687" s="29"/>
      <c r="V687" s="29"/>
      <c r="W687" s="29"/>
      <c r="X687" s="37"/>
    </row>
    <row r="688" spans="2:24" x14ac:dyDescent="0.2">
      <c r="B688" s="37"/>
      <c r="C688" s="60"/>
      <c r="D688" s="72" t="s">
        <v>574</v>
      </c>
      <c r="E688" s="63"/>
      <c r="F688" s="51"/>
      <c r="G688" s="34"/>
      <c r="H688" s="51"/>
      <c r="I688" s="61"/>
      <c r="J688" s="51"/>
      <c r="K688" s="34"/>
      <c r="L688" s="63"/>
      <c r="M688" s="61"/>
      <c r="N688" s="29"/>
      <c r="O688" s="61"/>
      <c r="P688" s="29"/>
      <c r="Q688" s="29"/>
      <c r="R688" s="29"/>
      <c r="S688" s="29"/>
      <c r="T688" s="29"/>
      <c r="U688" s="29"/>
      <c r="V688" s="29"/>
      <c r="W688" s="29"/>
      <c r="X688" s="37"/>
    </row>
    <row r="689" spans="2:24" x14ac:dyDescent="0.2">
      <c r="B689" s="37"/>
      <c r="C689" s="60"/>
      <c r="D689" s="75">
        <v>20</v>
      </c>
      <c r="E689" s="62"/>
      <c r="F689" s="51"/>
      <c r="G689" s="34"/>
      <c r="H689" s="51"/>
      <c r="I689" s="61"/>
      <c r="J689" s="51"/>
      <c r="K689" s="34"/>
      <c r="L689" s="63"/>
      <c r="M689" s="61"/>
      <c r="N689" s="29"/>
      <c r="O689" s="61"/>
      <c r="P689" s="29"/>
      <c r="Q689" s="29"/>
      <c r="R689" s="29"/>
      <c r="S689" s="29"/>
      <c r="T689" s="29"/>
      <c r="U689" s="29"/>
      <c r="V689" s="29"/>
      <c r="W689" s="29"/>
      <c r="X689" s="37"/>
    </row>
    <row r="690" spans="2:24" x14ac:dyDescent="0.2">
      <c r="B690" s="37"/>
      <c r="C690" s="60"/>
      <c r="D690" s="53"/>
      <c r="E690" s="62"/>
      <c r="F690" s="51"/>
      <c r="G690" s="34"/>
      <c r="H690" s="51"/>
      <c r="I690" s="61"/>
      <c r="J690" s="51"/>
      <c r="K690" s="34"/>
      <c r="L690" s="63"/>
      <c r="M690" s="61"/>
      <c r="N690" s="29"/>
      <c r="O690" s="61"/>
      <c r="P690" s="29"/>
      <c r="Q690" s="29"/>
      <c r="R690" s="29"/>
      <c r="S690" s="29"/>
      <c r="T690" s="29"/>
      <c r="U690" s="29"/>
      <c r="V690" s="29"/>
      <c r="W690" s="29"/>
      <c r="X690" s="37"/>
    </row>
    <row r="691" spans="2:24" x14ac:dyDescent="0.2">
      <c r="B691" s="37"/>
      <c r="C691" s="60"/>
      <c r="D691" s="53"/>
      <c r="E691" s="62"/>
      <c r="F691" s="51"/>
      <c r="G691" s="34"/>
      <c r="H691" s="51"/>
      <c r="I691" s="61"/>
      <c r="J691" s="51"/>
      <c r="K691" s="34"/>
      <c r="L691" s="63"/>
      <c r="M691" s="61"/>
      <c r="N691" s="29"/>
      <c r="O691" s="61"/>
      <c r="P691" s="29"/>
      <c r="Q691" s="29"/>
      <c r="R691" s="29"/>
      <c r="S691" s="29"/>
      <c r="T691" s="29"/>
      <c r="U691" s="29"/>
      <c r="V691" s="29"/>
      <c r="W691" s="29"/>
      <c r="X691" s="37"/>
    </row>
    <row r="692" spans="2:24" x14ac:dyDescent="0.2">
      <c r="B692" s="58" t="s">
        <v>575</v>
      </c>
      <c r="C692" s="57" t="s">
        <v>48</v>
      </c>
      <c r="D692" s="58" t="s">
        <v>47</v>
      </c>
      <c r="E692" s="58"/>
      <c r="F692" s="58"/>
      <c r="G692" s="58"/>
      <c r="H692" s="58"/>
      <c r="I692" s="58"/>
      <c r="J692" s="51"/>
      <c r="K692" s="34"/>
      <c r="L692" s="63"/>
      <c r="M692" s="61"/>
      <c r="N692" s="51"/>
      <c r="O692" s="51"/>
      <c r="P692" s="61"/>
      <c r="Q692" s="29"/>
      <c r="R692" s="61"/>
      <c r="S692" s="29"/>
      <c r="T692" s="29"/>
      <c r="U692" s="29"/>
      <c r="V692" s="29"/>
      <c r="W692" s="29"/>
      <c r="X692" s="37"/>
    </row>
    <row r="693" spans="2:24" x14ac:dyDescent="0.2">
      <c r="B693" s="37"/>
      <c r="C693" s="60"/>
      <c r="D693" s="60"/>
      <c r="E693" s="34"/>
      <c r="F693" s="51"/>
      <c r="G693" s="34"/>
      <c r="H693" s="51"/>
      <c r="I693" s="61"/>
      <c r="J693" s="51"/>
      <c r="K693" s="34"/>
      <c r="L693" s="63"/>
      <c r="M693" s="61"/>
      <c r="N693" s="51"/>
      <c r="O693" s="51"/>
      <c r="P693" s="61"/>
      <c r="Q693" s="29"/>
      <c r="R693" s="61"/>
      <c r="S693" s="29"/>
      <c r="T693" s="29"/>
      <c r="U693" s="29"/>
      <c r="V693" s="29"/>
      <c r="W693" s="29"/>
      <c r="X693" s="37"/>
    </row>
    <row r="694" spans="2:24" x14ac:dyDescent="0.2">
      <c r="B694" s="37"/>
      <c r="C694" s="60"/>
      <c r="D694" s="59" t="s">
        <v>43</v>
      </c>
      <c r="E694" s="59" t="s">
        <v>44</v>
      </c>
      <c r="F694" s="37"/>
      <c r="G694" s="62"/>
      <c r="H694" s="29"/>
      <c r="I694" s="37"/>
      <c r="J694" s="51"/>
      <c r="K694" s="34"/>
      <c r="L694" s="63"/>
      <c r="M694" s="61"/>
      <c r="N694" s="51"/>
      <c r="O694" s="51"/>
      <c r="P694" s="61"/>
      <c r="Q694" s="29"/>
      <c r="R694" s="61"/>
      <c r="S694" s="29"/>
      <c r="T694" s="29"/>
      <c r="U694" s="29"/>
      <c r="V694" s="29"/>
      <c r="W694" s="29"/>
      <c r="X694" s="37"/>
    </row>
    <row r="695" spans="2:24" x14ac:dyDescent="0.2">
      <c r="B695" s="37"/>
      <c r="C695" s="54"/>
      <c r="D695" s="51" t="s">
        <v>46</v>
      </c>
      <c r="E695" s="33">
        <v>1</v>
      </c>
      <c r="F695" s="51"/>
      <c r="G695" s="34"/>
      <c r="H695" s="51"/>
      <c r="I695" s="61"/>
      <c r="J695" s="51"/>
      <c r="K695" s="34"/>
      <c r="L695" s="63"/>
      <c r="M695" s="61"/>
      <c r="N695" s="29"/>
      <c r="O695" s="63"/>
      <c r="P695" s="61"/>
      <c r="Q695" s="29"/>
      <c r="R695" s="29"/>
      <c r="S695" s="29"/>
      <c r="T695" s="29"/>
      <c r="U695" s="29"/>
      <c r="V695" s="29"/>
      <c r="W695" s="29"/>
      <c r="X695" s="37"/>
    </row>
    <row r="696" spans="2:24" x14ac:dyDescent="0.2">
      <c r="B696" s="37"/>
      <c r="C696" s="54"/>
      <c r="D696" s="54"/>
      <c r="E696" s="51"/>
      <c r="F696" s="51"/>
      <c r="G696" s="34"/>
      <c r="H696" s="51"/>
      <c r="I696" s="61"/>
      <c r="J696" s="51"/>
      <c r="K696" s="51"/>
      <c r="L696" s="53"/>
      <c r="M696" s="62"/>
      <c r="N696" s="29"/>
      <c r="O696" s="53"/>
      <c r="P696" s="329"/>
      <c r="Q696" s="329"/>
      <c r="R696" s="66"/>
      <c r="S696" s="29"/>
      <c r="T696" s="29"/>
      <c r="U696" s="29"/>
      <c r="V696" s="29"/>
      <c r="W696" s="29"/>
      <c r="X696" s="65"/>
    </row>
    <row r="697" spans="2:24" ht="95.25" customHeight="1" x14ac:dyDescent="0.2">
      <c r="B697" s="37"/>
      <c r="C697" s="54"/>
      <c r="D697" s="53"/>
      <c r="E697" s="52"/>
      <c r="F697" s="51"/>
      <c r="G697" s="34"/>
      <c r="H697" s="50"/>
      <c r="I697" s="49"/>
      <c r="J697" s="49"/>
      <c r="K697" s="49"/>
      <c r="L697" s="49"/>
      <c r="M697" s="49"/>
      <c r="N697" s="49"/>
      <c r="O697" s="49"/>
      <c r="P697" s="49"/>
      <c r="Q697" s="49"/>
      <c r="R697" s="49"/>
      <c r="S697" s="49"/>
      <c r="T697" s="49"/>
      <c r="U697" s="49"/>
      <c r="V697" s="49"/>
      <c r="W697" s="49"/>
      <c r="X697" s="49"/>
    </row>
    <row r="698" spans="2:24" x14ac:dyDescent="0.2">
      <c r="B698" s="36"/>
      <c r="C698" s="35"/>
      <c r="D698" s="34"/>
      <c r="E698" s="33"/>
      <c r="F698" s="33"/>
      <c r="G698" s="33"/>
      <c r="H698" s="32"/>
      <c r="I698" s="29"/>
      <c r="J698" s="31"/>
      <c r="K698" s="30"/>
      <c r="L698" s="30"/>
      <c r="M698" s="30"/>
      <c r="N698" s="30"/>
      <c r="O698" s="29"/>
      <c r="P698" s="29"/>
      <c r="Q698" s="29"/>
      <c r="R698" s="29"/>
      <c r="S698" s="29"/>
      <c r="T698" s="29"/>
      <c r="U698" s="29"/>
      <c r="V698" s="29"/>
      <c r="W698" s="29"/>
      <c r="X698" s="29"/>
    </row>
    <row r="699" spans="2:24" x14ac:dyDescent="0.2">
      <c r="B699" s="135"/>
      <c r="C699" s="48" t="s">
        <v>210</v>
      </c>
      <c r="D699" s="44"/>
      <c r="E699" s="33"/>
      <c r="F699" s="40"/>
      <c r="G699" s="47"/>
      <c r="H699" s="46"/>
      <c r="I699" s="46"/>
      <c r="J699" s="46"/>
      <c r="K699" s="46"/>
      <c r="L699" s="46"/>
      <c r="M699" s="46"/>
      <c r="N699" s="46"/>
      <c r="O699" s="29"/>
      <c r="P699" s="29"/>
      <c r="Q699" s="29"/>
      <c r="R699" s="44" t="s">
        <v>867</v>
      </c>
      <c r="S699" s="44"/>
      <c r="T699" s="45"/>
      <c r="U699" s="44"/>
      <c r="V699" s="44"/>
      <c r="W699" s="29"/>
      <c r="X699" s="29"/>
    </row>
    <row r="700" spans="2:24" x14ac:dyDescent="0.2">
      <c r="B700" s="43"/>
      <c r="C700" s="36" t="s">
        <v>3</v>
      </c>
      <c r="D700" s="29"/>
      <c r="E700" s="33"/>
      <c r="F700" s="32"/>
      <c r="G700" s="33"/>
      <c r="H700" s="327" t="s">
        <v>6</v>
      </c>
      <c r="I700" s="327"/>
      <c r="J700" s="327"/>
      <c r="K700" s="327"/>
      <c r="L700" s="327"/>
      <c r="M700" s="327"/>
      <c r="N700" s="30"/>
      <c r="O700" s="29"/>
      <c r="P700" s="29"/>
      <c r="Q700" s="29"/>
      <c r="R700" s="39"/>
      <c r="S700" s="38" t="s">
        <v>5</v>
      </c>
      <c r="T700" s="29"/>
      <c r="U700" s="29"/>
      <c r="V700" s="29"/>
      <c r="W700" s="29"/>
      <c r="X700" s="29"/>
    </row>
    <row r="701" spans="2:24" x14ac:dyDescent="0.2">
      <c r="B701" s="42"/>
      <c r="C701" s="29"/>
      <c r="D701" s="33"/>
      <c r="E701" s="41"/>
      <c r="F701" s="40"/>
      <c r="G701" s="29"/>
      <c r="H701" s="326" t="s">
        <v>31</v>
      </c>
      <c r="I701" s="326"/>
      <c r="J701" s="326"/>
      <c r="K701" s="326"/>
      <c r="L701" s="326"/>
      <c r="M701" s="326"/>
      <c r="N701" s="29"/>
      <c r="O701" s="29"/>
      <c r="P701" s="29"/>
      <c r="Q701" s="29"/>
      <c r="R701" s="36"/>
      <c r="S701" s="35"/>
      <c r="T701" s="34"/>
      <c r="U701" s="29"/>
      <c r="V701" s="29"/>
      <c r="W701" s="29"/>
      <c r="X701" s="29"/>
    </row>
    <row r="702" spans="2:24" x14ac:dyDescent="0.2">
      <c r="B702" s="29"/>
      <c r="C702" s="29"/>
      <c r="D702" s="34"/>
      <c r="E702" s="33"/>
      <c r="F702" s="34"/>
      <c r="G702" s="33"/>
      <c r="H702" s="325" t="s">
        <v>184</v>
      </c>
      <c r="I702" s="325"/>
      <c r="J702" s="325"/>
      <c r="K702" s="325"/>
      <c r="L702" s="325"/>
      <c r="M702" s="325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</row>
    <row r="703" spans="2:24" x14ac:dyDescent="0.2">
      <c r="B703" s="39"/>
      <c r="C703" s="38"/>
      <c r="D703" s="29"/>
      <c r="E703" s="29"/>
      <c r="F703" s="29"/>
      <c r="G703" s="29"/>
      <c r="H703" s="324"/>
      <c r="I703" s="324"/>
      <c r="J703" s="324"/>
      <c r="K703" s="324"/>
      <c r="L703" s="324"/>
      <c r="M703" s="324"/>
      <c r="N703" s="30"/>
      <c r="O703" s="29"/>
      <c r="P703" s="29"/>
      <c r="Q703" s="29"/>
      <c r="R703" s="29"/>
      <c r="S703" s="37"/>
      <c r="T703" s="29"/>
      <c r="U703" s="29"/>
      <c r="V703" s="29"/>
      <c r="W703" s="29"/>
      <c r="X703" s="29"/>
    </row>
    <row r="704" spans="2:24" x14ac:dyDescent="0.2">
      <c r="B704" s="36"/>
      <c r="C704" s="35"/>
      <c r="D704" s="34"/>
      <c r="E704" s="33"/>
      <c r="F704" s="33"/>
      <c r="G704" s="33"/>
      <c r="H704" s="32"/>
      <c r="I704" s="29"/>
      <c r="J704" s="31"/>
      <c r="K704" s="30"/>
      <c r="L704" s="30"/>
      <c r="M704" s="30"/>
      <c r="N704" s="30"/>
      <c r="O704" s="29"/>
      <c r="P704" s="29"/>
      <c r="Q704" s="29"/>
      <c r="R704" s="29"/>
      <c r="S704" s="29"/>
      <c r="T704" s="29"/>
      <c r="U704" s="29"/>
      <c r="V704" s="29"/>
      <c r="W704" s="29"/>
      <c r="X704" s="29"/>
    </row>
  </sheetData>
  <mergeCells count="20">
    <mergeCell ref="H703:M703"/>
    <mergeCell ref="H702:M702"/>
    <mergeCell ref="H701:M701"/>
    <mergeCell ref="H700:M700"/>
    <mergeCell ref="B13:X13"/>
    <mergeCell ref="B14:W14"/>
    <mergeCell ref="P486:Q486"/>
    <mergeCell ref="P469:Q469"/>
    <mergeCell ref="P461:Q461"/>
    <mergeCell ref="P477:Q477"/>
    <mergeCell ref="P696:Q696"/>
    <mergeCell ref="P683:Q683"/>
    <mergeCell ref="B2:X2"/>
    <mergeCell ref="B3:X3"/>
    <mergeCell ref="B4:X4"/>
    <mergeCell ref="B6:X6"/>
    <mergeCell ref="B11:X11"/>
    <mergeCell ref="B5:X5"/>
    <mergeCell ref="I8:X8"/>
    <mergeCell ref="B8:H8"/>
  </mergeCells>
  <phoneticPr fontId="33" type="noConversion"/>
  <pageMargins left="0.70866141732283472" right="0.70866141732283472" top="0.74803149606299213" bottom="0.74803149606299213" header="0.31496062992125984" footer="0.31496062992125984"/>
  <pageSetup paperSize="9" scale="42" fitToHeight="0" orientation="portrait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9</vt:i4>
      </vt:variant>
    </vt:vector>
  </HeadingPairs>
  <TitlesOfParts>
    <vt:vector size="15" baseType="lpstr">
      <vt:lpstr>Orçamento</vt:lpstr>
      <vt:lpstr>Comp Próprias</vt:lpstr>
      <vt:lpstr>Cotações</vt:lpstr>
      <vt:lpstr>BDI</vt:lpstr>
      <vt:lpstr>Cronograma FF</vt:lpstr>
      <vt:lpstr>M. C. ANALÍTICO</vt:lpstr>
      <vt:lpstr>BDI!Area_de_impressao</vt:lpstr>
      <vt:lpstr>Cotações!Area_de_impressao</vt:lpstr>
      <vt:lpstr>'M. C. ANALÍTICO'!Area_de_impressao</vt:lpstr>
      <vt:lpstr>BDI!Titulos_de_impressao</vt:lpstr>
      <vt:lpstr>'Comp Próprias'!Titulos_de_impressao</vt:lpstr>
      <vt:lpstr>Cotações!Titulos_de_impressao</vt:lpstr>
      <vt:lpstr>'Cronograma FF'!Titulos_de_impressao</vt:lpstr>
      <vt:lpstr>'M. C. ANALÍTICO'!Titulos_de_impressao</vt:lpstr>
      <vt:lpstr>Orçamento!Titulos_de_impressao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Ana Carolina Caetano de Brito</cp:lastModifiedBy>
  <cp:revision>0</cp:revision>
  <cp:lastPrinted>2025-09-29T16:06:13Z</cp:lastPrinted>
  <dcterms:created xsi:type="dcterms:W3CDTF">2020-10-22T15:11:58Z</dcterms:created>
  <dcterms:modified xsi:type="dcterms:W3CDTF">2026-02-04T12:41:24Z</dcterms:modified>
</cp:coreProperties>
</file>