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ção\Desktop\Planilhas Samu\"/>
    </mc:Choice>
  </mc:AlternateContent>
  <xr:revisionPtr revIDLastSave="0" documentId="8_{D81CE20C-25BC-47C6-B032-477670FBC696}" xr6:coauthVersionLast="47" xr6:coauthVersionMax="47" xr10:uidLastSave="{00000000-0000-0000-0000-000000000000}"/>
  <bookViews>
    <workbookView xWindow="-120" yWindow="-120" windowWidth="29040" windowHeight="15720" tabRatio="743" activeTab="3" xr2:uid="{00000000-000D-0000-FFFF-FFFF00000000}"/>
  </bookViews>
  <sheets>
    <sheet name="CONDUTOR" sheetId="2" r:id="rId1"/>
    <sheet name="ENFERMEIRO" sheetId="3" r:id="rId2"/>
    <sheet name="MÉDICO" sheetId="5" r:id="rId3"/>
    <sheet name="RESP. TÉCNICO " sheetId="4" r:id="rId4"/>
  </sheets>
  <definedNames>
    <definedName name="_xlnm.Print_Area" localSheetId="0">CONDUTOR!$A$1:$G$127</definedName>
  </definedNames>
  <calcPr calcId="191029"/>
  <customWorkbookViews>
    <customWorkbookView name="Filtro 1" guid="{5519FA0A-E910-4C90-A096-E62266EBD289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3" i="5" l="1"/>
  <c r="F115" i="5"/>
  <c r="G100" i="5"/>
  <c r="G99" i="5"/>
  <c r="G94" i="5"/>
  <c r="F84" i="5"/>
  <c r="F80" i="5"/>
  <c r="F74" i="5"/>
  <c r="C72" i="5"/>
  <c r="C70" i="5"/>
  <c r="E67" i="5"/>
  <c r="F54" i="5"/>
  <c r="G54" i="5" s="1"/>
  <c r="G56" i="5" s="1"/>
  <c r="G62" i="5" s="1"/>
  <c r="F42" i="5"/>
  <c r="F50" i="5" s="1"/>
  <c r="C73" i="5" s="1"/>
  <c r="F37" i="5"/>
  <c r="F36" i="5"/>
  <c r="F35" i="5"/>
  <c r="E27" i="5"/>
  <c r="G27" i="5" s="1"/>
  <c r="G28" i="5" s="1"/>
  <c r="G105" i="5" l="1"/>
  <c r="G124" i="5" s="1"/>
  <c r="G30" i="5"/>
  <c r="E26" i="5"/>
  <c r="G120" i="5" l="1"/>
  <c r="D67" i="5"/>
  <c r="D71" i="5"/>
  <c r="E35" i="5"/>
  <c r="G36" i="5" l="1"/>
  <c r="G35" i="5"/>
  <c r="G37" i="5"/>
  <c r="G73" i="5"/>
  <c r="G71" i="5"/>
  <c r="G72" i="5"/>
  <c r="D69" i="5"/>
  <c r="G69" i="5" s="1"/>
  <c r="D68" i="5"/>
  <c r="G68" i="5" s="1"/>
  <c r="G67" i="5"/>
  <c r="G38" i="5" l="1"/>
  <c r="D70" i="5"/>
  <c r="G70" i="5" s="1"/>
  <c r="G60" i="5" l="1"/>
  <c r="E41" i="5"/>
  <c r="G42" i="5" l="1"/>
  <c r="G41" i="5"/>
  <c r="G48" i="5"/>
  <c r="G45" i="5"/>
  <c r="G49" i="5"/>
  <c r="G47" i="5"/>
  <c r="G46" i="5"/>
  <c r="G44" i="5"/>
  <c r="D74" i="5" l="1"/>
  <c r="G74" i="5" s="1"/>
  <c r="G75" i="5" s="1"/>
  <c r="D84" i="5" s="1"/>
  <c r="G84" i="5" s="1"/>
  <c r="G50" i="5"/>
  <c r="G61" i="5" l="1"/>
  <c r="G63" i="5" s="1"/>
  <c r="D81" i="5"/>
  <c r="G122" i="5"/>
  <c r="D80" i="5"/>
  <c r="G80" i="5" s="1"/>
  <c r="G81" i="5" l="1"/>
  <c r="G83" i="5"/>
  <c r="G82" i="5"/>
  <c r="G121" i="5"/>
  <c r="G86" i="5" l="1"/>
  <c r="G93" i="5" s="1"/>
  <c r="G95" i="5" s="1"/>
  <c r="G123" i="5" s="1"/>
  <c r="G125" i="5" s="1"/>
  <c r="E109" i="5" l="1"/>
  <c r="G109" i="5" s="1"/>
  <c r="E110" i="5" l="1"/>
  <c r="G110" i="5" s="1"/>
  <c r="E111" i="5"/>
  <c r="G113" i="5" l="1"/>
  <c r="G112" i="5"/>
  <c r="G111" i="5"/>
  <c r="G114" i="5"/>
  <c r="G116" i="5" l="1"/>
  <c r="G126" i="5" s="1"/>
  <c r="G127" i="5" s="1"/>
  <c r="G128" i="5" s="1"/>
  <c r="G25" i="4" l="1"/>
  <c r="F54" i="3"/>
  <c r="G54" i="3" s="1"/>
  <c r="D53" i="2"/>
  <c r="G25" i="2"/>
  <c r="G100" i="4"/>
  <c r="G99" i="4"/>
  <c r="G105" i="4" s="1"/>
  <c r="G124" i="4" s="1"/>
  <c r="G100" i="3"/>
  <c r="G99" i="3"/>
  <c r="G105" i="3" s="1"/>
  <c r="G124" i="3" s="1"/>
  <c r="G100" i="2"/>
  <c r="G99" i="2"/>
  <c r="F115" i="4"/>
  <c r="G94" i="4"/>
  <c r="F84" i="4"/>
  <c r="F80" i="4"/>
  <c r="F74" i="4"/>
  <c r="C72" i="4"/>
  <c r="C70" i="4"/>
  <c r="E67" i="4"/>
  <c r="F54" i="4"/>
  <c r="G54" i="4" s="1"/>
  <c r="F42" i="4"/>
  <c r="F50" i="4" s="1"/>
  <c r="C73" i="4" s="1"/>
  <c r="F37" i="4"/>
  <c r="F36" i="4"/>
  <c r="F35" i="4"/>
  <c r="E26" i="4"/>
  <c r="F115" i="3"/>
  <c r="G94" i="3"/>
  <c r="F84" i="3"/>
  <c r="F80" i="3"/>
  <c r="F74" i="3"/>
  <c r="C72" i="3"/>
  <c r="C70" i="3"/>
  <c r="E67" i="3"/>
  <c r="F42" i="3"/>
  <c r="F50" i="3" s="1"/>
  <c r="C73" i="3" s="1"/>
  <c r="F37" i="3"/>
  <c r="F36" i="3"/>
  <c r="F35" i="3"/>
  <c r="G25" i="3"/>
  <c r="F80" i="2"/>
  <c r="F74" i="2"/>
  <c r="F54" i="2"/>
  <c r="G54" i="2" s="1"/>
  <c r="F115" i="2"/>
  <c r="G94" i="2"/>
  <c r="F84" i="2"/>
  <c r="C72" i="2"/>
  <c r="C70" i="2"/>
  <c r="E67" i="2"/>
  <c r="F42" i="2"/>
  <c r="F50" i="2" s="1"/>
  <c r="C73" i="2" s="1"/>
  <c r="F37" i="2"/>
  <c r="F36" i="2"/>
  <c r="F35" i="2"/>
  <c r="F53" i="2" l="1"/>
  <c r="G53" i="2" s="1"/>
  <c r="F53" i="3"/>
  <c r="F53" i="4"/>
  <c r="G53" i="4" s="1"/>
  <c r="G56" i="4" s="1"/>
  <c r="G62" i="4" s="1"/>
  <c r="E27" i="4"/>
  <c r="G27" i="4" s="1"/>
  <c r="G30" i="4" s="1"/>
  <c r="E27" i="3"/>
  <c r="E26" i="3"/>
  <c r="G56" i="3"/>
  <c r="G62" i="3" s="1"/>
  <c r="G56" i="2"/>
  <c r="G62" i="2" s="1"/>
  <c r="E27" i="2"/>
  <c r="E26" i="2"/>
  <c r="G105" i="2"/>
  <c r="G27" i="2" l="1"/>
  <c r="G28" i="2" s="1"/>
  <c r="G27" i="3"/>
  <c r="D67" i="4"/>
  <c r="D71" i="4"/>
  <c r="E35" i="4"/>
  <c r="G120" i="4"/>
  <c r="G124" i="2"/>
  <c r="G28" i="3" l="1"/>
  <c r="G30" i="3" s="1"/>
  <c r="G30" i="2"/>
  <c r="G73" i="4"/>
  <c r="G72" i="4"/>
  <c r="G71" i="4"/>
  <c r="G35" i="4"/>
  <c r="G37" i="4"/>
  <c r="G36" i="4"/>
  <c r="D69" i="4"/>
  <c r="G69" i="4" s="1"/>
  <c r="D68" i="4"/>
  <c r="G68" i="4" s="1"/>
  <c r="G67" i="4"/>
  <c r="G120" i="3" l="1"/>
  <c r="D67" i="3"/>
  <c r="E35" i="3"/>
  <c r="D71" i="3"/>
  <c r="D71" i="2"/>
  <c r="G120" i="2"/>
  <c r="D67" i="2"/>
  <c r="E35" i="2"/>
  <c r="D70" i="4"/>
  <c r="G70" i="4" s="1"/>
  <c r="G38" i="4"/>
  <c r="G67" i="2" l="1"/>
  <c r="D69" i="2"/>
  <c r="G69" i="2" s="1"/>
  <c r="D68" i="2"/>
  <c r="G36" i="2"/>
  <c r="G35" i="2"/>
  <c r="G37" i="2"/>
  <c r="G71" i="2"/>
  <c r="G73" i="2"/>
  <c r="G72" i="2"/>
  <c r="D69" i="3"/>
  <c r="G69" i="3" s="1"/>
  <c r="D68" i="3"/>
  <c r="G67" i="3"/>
  <c r="G73" i="3"/>
  <c r="G71" i="3"/>
  <c r="G72" i="3"/>
  <c r="G36" i="3"/>
  <c r="G37" i="3"/>
  <c r="G35" i="3"/>
  <c r="G38" i="3" s="1"/>
  <c r="G60" i="3" s="1"/>
  <c r="G60" i="4"/>
  <c r="E41" i="4"/>
  <c r="G68" i="3" l="1"/>
  <c r="D70" i="3"/>
  <c r="G70" i="3" s="1"/>
  <c r="G38" i="2"/>
  <c r="G68" i="2"/>
  <c r="D70" i="2"/>
  <c r="G70" i="2" s="1"/>
  <c r="E41" i="3"/>
  <c r="G44" i="3" s="1"/>
  <c r="G41" i="3"/>
  <c r="G45" i="3"/>
  <c r="G46" i="3"/>
  <c r="G48" i="3"/>
  <c r="G49" i="3"/>
  <c r="D74" i="3" s="1"/>
  <c r="G74" i="3" s="1"/>
  <c r="G75" i="3" s="1"/>
  <c r="G47" i="3"/>
  <c r="G42" i="4"/>
  <c r="G41" i="4"/>
  <c r="G46" i="4"/>
  <c r="G49" i="4"/>
  <c r="G47" i="4"/>
  <c r="G45" i="4"/>
  <c r="G44" i="4"/>
  <c r="G48" i="4"/>
  <c r="E41" i="2" l="1"/>
  <c r="G60" i="2"/>
  <c r="G42" i="3"/>
  <c r="G50" i="3"/>
  <c r="G61" i="3" s="1"/>
  <c r="G63" i="3" s="1"/>
  <c r="D80" i="3"/>
  <c r="G80" i="3" s="1"/>
  <c r="D84" i="3"/>
  <c r="G84" i="3" s="1"/>
  <c r="D74" i="4"/>
  <c r="G74" i="4" s="1"/>
  <c r="G75" i="4" s="1"/>
  <c r="G50" i="4"/>
  <c r="G121" i="3"/>
  <c r="G122" i="3"/>
  <c r="D81" i="3" l="1"/>
  <c r="G41" i="2"/>
  <c r="G47" i="2"/>
  <c r="G49" i="2"/>
  <c r="D74" i="2" s="1"/>
  <c r="G74" i="2" s="1"/>
  <c r="G75" i="2" s="1"/>
  <c r="D80" i="2" s="1"/>
  <c r="G80" i="2" s="1"/>
  <c r="G45" i="2"/>
  <c r="G42" i="2"/>
  <c r="G48" i="2"/>
  <c r="G46" i="2"/>
  <c r="G44" i="2"/>
  <c r="D84" i="4"/>
  <c r="G84" i="4" s="1"/>
  <c r="D80" i="4"/>
  <c r="G80" i="4" s="1"/>
  <c r="G122" i="2"/>
  <c r="G61" i="4"/>
  <c r="G63" i="4" s="1"/>
  <c r="D81" i="4"/>
  <c r="G122" i="4"/>
  <c r="D84" i="2"/>
  <c r="G84" i="2" s="1"/>
  <c r="G50" i="2" l="1"/>
  <c r="G82" i="3"/>
  <c r="G81" i="3"/>
  <c r="G83" i="3"/>
  <c r="G83" i="4"/>
  <c r="G82" i="4"/>
  <c r="G81" i="4"/>
  <c r="G121" i="4"/>
  <c r="G86" i="3" l="1"/>
  <c r="G93" i="3" s="1"/>
  <c r="G95" i="3" s="1"/>
  <c r="G61" i="2"/>
  <c r="G63" i="2" s="1"/>
  <c r="G121" i="2" s="1"/>
  <c r="D81" i="2"/>
  <c r="G86" i="4"/>
  <c r="G93" i="4" s="1"/>
  <c r="G95" i="4" s="1"/>
  <c r="G123" i="4" s="1"/>
  <c r="G125" i="4" s="1"/>
  <c r="G81" i="2" l="1"/>
  <c r="G82" i="2"/>
  <c r="G83" i="2"/>
  <c r="G123" i="3"/>
  <c r="G125" i="3" s="1"/>
  <c r="E109" i="3"/>
  <c r="E109" i="4"/>
  <c r="G109" i="4" s="1"/>
  <c r="G109" i="3" l="1"/>
  <c r="E110" i="3"/>
  <c r="G110" i="3" s="1"/>
  <c r="E111" i="3" s="1"/>
  <c r="G86" i="2"/>
  <c r="G93" i="2" s="1"/>
  <c r="G95" i="2" s="1"/>
  <c r="E110" i="4"/>
  <c r="G110" i="4" s="1"/>
  <c r="E111" i="4" s="1"/>
  <c r="G123" i="2" l="1"/>
  <c r="G125" i="2" s="1"/>
  <c r="E109" i="2"/>
  <c r="G113" i="3"/>
  <c r="G111" i="3"/>
  <c r="G112" i="3"/>
  <c r="G114" i="3"/>
  <c r="G113" i="4"/>
  <c r="G112" i="4"/>
  <c r="G111" i="4"/>
  <c r="G114" i="4"/>
  <c r="G109" i="2" l="1"/>
  <c r="E110" i="2"/>
  <c r="G110" i="2" s="1"/>
  <c r="E111" i="2" s="1"/>
  <c r="G116" i="3"/>
  <c r="G126" i="3" s="1"/>
  <c r="G127" i="3" s="1"/>
  <c r="G128" i="3" s="1"/>
  <c r="G116" i="4"/>
  <c r="G126" i="4" s="1"/>
  <c r="G127" i="4" s="1"/>
  <c r="G128" i="4" s="1"/>
  <c r="G111" i="2" l="1"/>
  <c r="G113" i="2"/>
  <c r="G112" i="2"/>
  <c r="G114" i="2"/>
  <c r="G116" i="2" l="1"/>
  <c r="G126" i="2" s="1"/>
  <c r="G127" i="2" s="1"/>
  <c r="G12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Parobe</author>
    <author/>
  </authors>
  <commentList>
    <comment ref="F19" authorId="0" shapeId="0" xr:uid="{B4769600-B648-405F-B3E8-226B6339D8EA}">
      <text>
        <r>
          <rPr>
            <b/>
            <sz val="9"/>
            <color indexed="81"/>
            <rFont val="Segoe UI"/>
            <charset val="1"/>
          </rPr>
          <t>Média Salarial do Condutor de Ambulância no RS, pesquisa realizada no site: https://www.salario.com.br/profissao/condutor-de-ambulancia-cbo-782320/rs/</t>
        </r>
      </text>
    </comment>
    <comment ref="F21" authorId="0" shapeId="0" xr:uid="{DB65D555-EA68-46AF-98F3-3DDD5E3302AD}">
      <text>
        <r>
          <rPr>
            <b/>
            <sz val="9"/>
            <color indexed="81"/>
            <rFont val="Segoe UI"/>
            <charset val="1"/>
          </rPr>
          <t xml:space="preserve">Data-base da despesa
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G28" authorId="0" shapeId="0" xr:uid="{0DD5F4E5-B72E-419F-B1C8-7B82D58569DC}">
      <text>
        <r>
          <rPr>
            <b/>
            <sz val="9"/>
            <color indexed="81"/>
            <rFont val="Segoe UI"/>
            <charset val="1"/>
          </rPr>
          <t>Considerado 56h noturnas mensais, com plantões iniciados às 07h.</t>
        </r>
      </text>
    </comment>
    <comment ref="D53" authorId="0" shapeId="0" xr:uid="{FD4F15E2-E3E2-438D-9B2A-1285ADC91372}">
      <text>
        <r>
          <rPr>
            <b/>
            <sz val="9"/>
            <color indexed="81"/>
            <rFont val="Segoe UI"/>
            <charset val="1"/>
          </rPr>
          <t>Considerado 8 plantões por mês x 2 (ida e volta).</t>
        </r>
      </text>
    </comment>
    <comment ref="D54" authorId="0" shapeId="0" xr:uid="{37FE6DEE-BCE7-445C-882B-4DD604994D9A}">
      <text>
        <r>
          <rPr>
            <b/>
            <sz val="9"/>
            <color indexed="81"/>
            <rFont val="Segoe UI"/>
            <charset val="1"/>
          </rPr>
          <t>Considerado 8 plantões por mês</t>
        </r>
      </text>
    </comment>
    <comment ref="F111" authorId="1" shapeId="0" xr:uid="{00000000-0006-0000-0100-000001000000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  <comment ref="F112" authorId="1" shapeId="0" xr:uid="{00000000-0006-0000-0100-000002000000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Parobe</author>
    <author/>
  </authors>
  <commentList>
    <comment ref="F19" authorId="0" shapeId="0" xr:uid="{637AE317-4E38-42D1-9B00-B499DBBE1EFF}">
      <text>
        <r>
          <rPr>
            <b/>
            <sz val="9"/>
            <color indexed="81"/>
            <rFont val="Segoe UI"/>
            <charset val="1"/>
          </rPr>
          <t>Piso Nacional da Enfermagem - Lei Federal n. 14434/2022</t>
        </r>
      </text>
    </comment>
    <comment ref="F21" authorId="0" shapeId="0" xr:uid="{4825ED12-37E7-49B5-8CAB-24CAAAD24D12}">
      <text>
        <r>
          <rPr>
            <b/>
            <sz val="9"/>
            <color indexed="81"/>
            <rFont val="Segoe UI"/>
            <charset val="1"/>
          </rPr>
          <t>Data-base de elaboração da planilha</t>
        </r>
      </text>
    </comment>
    <comment ref="G28" authorId="0" shapeId="0" xr:uid="{74E80CDD-9EB6-443F-977D-8D1C46E1F06A}">
      <text>
        <r>
          <rPr>
            <b/>
            <sz val="9"/>
            <color indexed="81"/>
            <rFont val="Segoe UI"/>
            <charset val="1"/>
          </rPr>
          <t>Considerado 56h noturnas mensais, com plantões iniciados às 07h.</t>
        </r>
      </text>
    </comment>
    <comment ref="D53" authorId="0" shapeId="0" xr:uid="{911DF404-7058-4FFF-82B1-1CBDF16BDF52}">
      <text>
        <r>
          <rPr>
            <sz val="9"/>
            <color indexed="81"/>
            <rFont val="Segoe UI"/>
            <charset val="1"/>
          </rPr>
          <t>Considerado 8 plantões por mês x 2 (ida e volta).</t>
        </r>
      </text>
    </comment>
    <comment ref="D54" authorId="0" shapeId="0" xr:uid="{20F3FAAF-CB1B-4DEC-B4BA-3EB2D35A8257}">
      <text>
        <r>
          <rPr>
            <b/>
            <sz val="9"/>
            <color indexed="81"/>
            <rFont val="Segoe UI"/>
            <charset val="1"/>
          </rPr>
          <t>Considerado 8 plantões por mês.</t>
        </r>
      </text>
    </comment>
    <comment ref="F111" authorId="1" shapeId="0" xr:uid="{7D4ACA39-0D88-49FC-8EF2-C2E94A364A08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  <comment ref="F112" authorId="1" shapeId="0" xr:uid="{634A03A9-92EB-4056-A8E3-8CD194C9E930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Parobe</author>
    <author/>
  </authors>
  <commentList>
    <comment ref="F19" authorId="0" shapeId="0" xr:uid="{0B8D572D-3951-46F8-8073-3AD565029725}">
      <text>
        <r>
          <rPr>
            <b/>
            <sz val="9"/>
            <color indexed="81"/>
            <rFont val="Segoe UI"/>
            <charset val="1"/>
          </rPr>
          <t>Piso Salarial do Médico Clínico Geral no RS, pesquisa realizada no site: https://www.salario.com.br/profissao/medico-clinico-geral-cbo-225125/rs/</t>
        </r>
      </text>
    </comment>
    <comment ref="F21" authorId="0" shapeId="0" xr:uid="{C6C8A620-E7BD-44CA-8C42-164D97A10CE7}">
      <text>
        <r>
          <rPr>
            <b/>
            <sz val="9"/>
            <color indexed="81"/>
            <rFont val="Segoe UI"/>
            <charset val="1"/>
          </rPr>
          <t>Data-base da elaboração da planilha</t>
        </r>
      </text>
    </comment>
    <comment ref="G28" authorId="0" shapeId="0" xr:uid="{7A786627-EA17-4DE7-97D3-0C3CDA415226}">
      <text>
        <r>
          <rPr>
            <b/>
            <sz val="9"/>
            <color indexed="81"/>
            <rFont val="Segoe UI"/>
            <charset val="1"/>
          </rPr>
          <t>Considerado 56h noturnas mensais, com plantões iniciados às 07h.</t>
        </r>
      </text>
    </comment>
    <comment ref="F111" authorId="1" shapeId="0" xr:uid="{480BF94E-C4B2-4646-BCC5-6828E8814F05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  <comment ref="F112" authorId="1" shapeId="0" xr:uid="{39C4FB7B-5BA8-483E-8BDD-B0C8489AE78B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Parobe</author>
    <author/>
  </authors>
  <commentList>
    <comment ref="F19" authorId="0" shapeId="0" xr:uid="{A9585CAF-133C-4001-9180-94CA0A56F1D2}">
      <text>
        <r>
          <rPr>
            <b/>
            <sz val="9"/>
            <color indexed="81"/>
            <rFont val="Segoe UI"/>
            <charset val="1"/>
          </rPr>
          <t xml:space="preserve">Piso da Enfermagem - Lei Federal n. 14434/2022. Salário referente a 44h.
</t>
        </r>
      </text>
    </comment>
    <comment ref="F21" authorId="0" shapeId="0" xr:uid="{302376D0-4DDD-4C7C-B375-3E5D87DB7105}">
      <text>
        <r>
          <rPr>
            <b/>
            <sz val="9"/>
            <color indexed="81"/>
            <rFont val="Segoe UI"/>
            <charset val="1"/>
          </rPr>
          <t xml:space="preserve">Data-base da elaboração da planilha
</t>
        </r>
      </text>
    </comment>
    <comment ref="F111" authorId="1" shapeId="0" xr:uid="{91F50ED8-1061-400E-AD3D-0D988668245E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  <comment ref="F112" authorId="1" shapeId="0" xr:uid="{CD10B410-F972-4635-B916-32C4692D09A1}">
      <text>
        <r>
          <rPr>
            <sz val="10"/>
            <color rgb="FF000000"/>
            <rFont val="Calibri"/>
            <family val="2"/>
          </rPr>
          <t>Preencher a célula G13, com o Regime de Tributação.
Para Lucro Real, planilha está com fórmula para "importar" a alíquota média obtida após o preenchimento da planilha específica "ALÍQUOTA MÉDIA LUCRO REAL"</t>
        </r>
      </text>
    </comment>
  </commentList>
</comments>
</file>

<file path=xl/sharedStrings.xml><?xml version="1.0" encoding="utf-8"?>
<sst xmlns="http://schemas.openxmlformats.org/spreadsheetml/2006/main" count="916" uniqueCount="153">
  <si>
    <t>DISCRIMINAÇÃO DOS SERVIÇOS (DADOS REFERENTES À CONTRATAÇÃO)</t>
  </si>
  <si>
    <t>A</t>
  </si>
  <si>
    <t>Data de apresentação da proposta (dia/mês/ano):</t>
  </si>
  <si>
    <t>B</t>
  </si>
  <si>
    <t>Município/UF:</t>
  </si>
  <si>
    <t>C</t>
  </si>
  <si>
    <t>Acordo, Convenção ou Dissídio Coletivo/Sigla da Federação/Sindicato/Nº de Registro/Ano</t>
  </si>
  <si>
    <t>D</t>
  </si>
  <si>
    <t>Regime de Tributação da empresa</t>
  </si>
  <si>
    <t>Lucro Real</t>
  </si>
  <si>
    <t>E</t>
  </si>
  <si>
    <t>Número de meses de execução contratual:</t>
  </si>
  <si>
    <t>IDENTIFICAÇÃO DO SERVIÇO</t>
  </si>
  <si>
    <t>Tipo de Serviço</t>
  </si>
  <si>
    <t>Unidade de Medida</t>
  </si>
  <si>
    <t>Quantidade a contratar</t>
  </si>
  <si>
    <t>Posto de trabalho/mês</t>
  </si>
  <si>
    <t>Mão de obra</t>
  </si>
  <si>
    <t>Mão de obra vinculada à execução contratual</t>
  </si>
  <si>
    <t>Dados para composição dos custos referentes a mão de obra</t>
  </si>
  <si>
    <t>Tipo de Serviço (mesmo serviço com características distintas)</t>
  </si>
  <si>
    <t>Classificação Brasileira de Ocupações (CBO)</t>
  </si>
  <si>
    <t>Salário Normativo da Categoria Profissional</t>
  </si>
  <si>
    <t>Categoria Profissional (vinculada à execução contratual)</t>
  </si>
  <si>
    <t>Data-Base da Categoria (dia/mês/ano)</t>
  </si>
  <si>
    <t>Módulo 1 - Composição da Remuneração</t>
  </si>
  <si>
    <t>Composição da Remuneração</t>
  </si>
  <si>
    <t>Valor (R$)</t>
  </si>
  <si>
    <t>Adicional de Periculosidade</t>
  </si>
  <si>
    <t>Adicional de Insalubridade</t>
  </si>
  <si>
    <t>F</t>
  </si>
  <si>
    <t>Outros (especificar)</t>
  </si>
  <si>
    <t>Total</t>
  </si>
  <si>
    <t>Módulo 2 - Encargos e Benefícios Anuais, Mensais e Diários</t>
  </si>
  <si>
    <t xml:space="preserve"> Submódulo 2.1 - 13º (décimo terceiro) Salário, Férias e Adicional de Férias</t>
  </si>
  <si>
    <t>2.1</t>
  </si>
  <si>
    <t>13º (décimo terceiro) Salário, Férias e Adicional de Férias</t>
  </si>
  <si>
    <t>Base de Cálculo</t>
  </si>
  <si>
    <t>Provisão Mensal</t>
  </si>
  <si>
    <t>Valor (R$)</t>
  </si>
  <si>
    <t>13º (décimo terceiro) Salário</t>
  </si>
  <si>
    <t>Férias</t>
  </si>
  <si>
    <t>Adicional de Férias</t>
  </si>
  <si>
    <t>Submódulo 2.2 - Encargos Previdenciários (GPS), Fundo de Garantia por Tempo de Serviço (FGTS) e outras contribuições</t>
  </si>
  <si>
    <t>2.2</t>
  </si>
  <si>
    <t>GPS, FGTS e outras contribuições</t>
  </si>
  <si>
    <t>Percentual (%)</t>
  </si>
  <si>
    <t>INSS</t>
  </si>
  <si>
    <t>RAT Ajustado (FAP* GIIL-RAT)</t>
  </si>
  <si>
    <t>FAP</t>
  </si>
  <si>
    <t>GILL-RAT</t>
  </si>
  <si>
    <t>Salário Educação</t>
  </si>
  <si>
    <t>SESC ou SESI</t>
  </si>
  <si>
    <t>SENAI - SENAC</t>
  </si>
  <si>
    <t>SEBRAE</t>
  </si>
  <si>
    <t>G</t>
  </si>
  <si>
    <t>INCRA</t>
  </si>
  <si>
    <t>H</t>
  </si>
  <si>
    <t>FGTS</t>
  </si>
  <si>
    <t>Submódulo 2.3 - Benefícios Mensais e Diários</t>
  </si>
  <si>
    <t>2.3</t>
  </si>
  <si>
    <t>Benefícios Mensais e Diários</t>
  </si>
  <si>
    <t>Multiplicador</t>
  </si>
  <si>
    <t>Custo Unit (R$)</t>
  </si>
  <si>
    <t>Contrapartida funcionário</t>
  </si>
  <si>
    <t>Custo Efetivo(R$)</t>
  </si>
  <si>
    <t>Vale Alimentação</t>
  </si>
  <si>
    <t>Quadro-Resumo do Módulo 2 - Encargos e Benefícios anuais, mensais e diários</t>
  </si>
  <si>
    <t>Encargos e Benefícios Anuais, Mensais e Diários</t>
  </si>
  <si>
    <t>13º (décimo terceiro) salário, Férias e Adicional de Férias</t>
  </si>
  <si>
    <t>GPS, FGTS e outras contribuições</t>
  </si>
  <si>
    <t>Módulo 3 - Provisão para Rescisão</t>
  </si>
  <si>
    <t>Provisão para Rescisão</t>
  </si>
  <si>
    <t>Alíquota</t>
  </si>
  <si>
    <t>Provisão mensal</t>
  </si>
  <si>
    <t>Estatísticas de ocorrência</t>
  </si>
  <si>
    <t>API - Aviso prévio indenizado (30 dias)</t>
  </si>
  <si>
    <t>Reflexos do 13º salário sobre o Aviso Prévio Indenizado</t>
  </si>
  <si>
    <t>Reflexos das Férias e Adicional de Férias sobre o Aviso Prévio Indenizado</t>
  </si>
  <si>
    <t>FGTS sobre Aviso Prévio Indenizado e seus reflexos</t>
  </si>
  <si>
    <t>APT - Aviso Prévio Trabalhado (7 dias)</t>
  </si>
  <si>
    <t>FGTS sobre Aviso Prévio Trabalhado</t>
  </si>
  <si>
    <t>Demais encargos sociais e trabalhistas sobre Aviso Prévio Trabalhado</t>
  </si>
  <si>
    <t>Multa sobre FGTS</t>
  </si>
  <si>
    <t>-</t>
  </si>
  <si>
    <t>Módulo 4 - Custo de Reposição do Profissional Ausente</t>
  </si>
  <si>
    <t>Submódulo 4.1 - Substituto nas Ausências Legais</t>
  </si>
  <si>
    <t>Ausências Legais</t>
  </si>
  <si>
    <t>Substituto na cobertura de Férias</t>
  </si>
  <si>
    <t>Substituto na cobertura de ausência justificada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</si>
  <si>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</si>
  <si>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</si>
  <si>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</si>
  <si>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</si>
  <si>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4.2</t>
  </si>
  <si>
    <t>Submódulo 4.2 - Substituto na Intrajornada</t>
  </si>
  <si>
    <t>A. </t>
  </si>
  <si>
    <t>Substituto na cobertura de Intervalo para repouso ou alimentação</t>
  </si>
  <si>
    <t>Quadro-Resumo do Módulo 4 - Custo de Reposição do Profissional Ausente</t>
  </si>
  <si>
    <t>Custo de Reposição do Profissional Ausente</t>
  </si>
  <si>
    <t>4.1</t>
  </si>
  <si>
    <t>Substituto nas Ausências Legais</t>
  </si>
  <si>
    <t>Substituto na Intrajornada</t>
  </si>
  <si>
    <t>Módulo 5 - Insumos Diversos</t>
  </si>
  <si>
    <t>Insumos Diversos</t>
  </si>
  <si>
    <t>Provisão mensal (R$)</t>
  </si>
  <si>
    <t>Módulo 6 - Custos Indiretos, Tributos e Lucro</t>
  </si>
  <si>
    <t>Custos Indiretos, Tributos e Lucro</t>
  </si>
  <si>
    <t>Custos Indiretos</t>
  </si>
  <si>
    <t>Lucro</t>
  </si>
  <si>
    <t>PIS</t>
  </si>
  <si>
    <t>COFINS</t>
  </si>
  <si>
    <t>ISSQN</t>
  </si>
  <si>
    <t>Total de Tributos</t>
  </si>
  <si>
    <t>2. QUADRO-RESUMO DO CUSTO POR EMPREGADO</t>
  </si>
  <si>
    <t>MÓDULO</t>
  </si>
  <si>
    <t>Módulo 1 - Composição da Remuneração</t>
  </si>
  <si>
    <t>Módulo 2 - Encargos e Benefícios Anuais, Mensais e Diários</t>
  </si>
  <si>
    <t>Módulo 3 - Provisão para Rescisão</t>
  </si>
  <si>
    <t>Módulo 4 - Custo de Reposição do Profissional Ausente</t>
  </si>
  <si>
    <t>Módulo 5 - Insumos Diversos</t>
  </si>
  <si>
    <t>Subtotal (A + B +C+ D+E)</t>
  </si>
  <si>
    <t>Módulo 6 – Custos Indiretos, Tributos e Lucro</t>
  </si>
  <si>
    <t>Valor Total por Empregado</t>
  </si>
  <si>
    <t>MODELO DE PREÇOS E PLANILHA DE CUSTOS E FORMAÇÃO DE PREÇOS</t>
  </si>
  <si>
    <t>Transporte (Tarifa do transporte público: R$ 5,50)</t>
  </si>
  <si>
    <t xml:space="preserve">Alíquota </t>
  </si>
  <si>
    <t>Valor Hora</t>
  </si>
  <si>
    <t>Serviço de Atendimento de Urgência</t>
  </si>
  <si>
    <t xml:space="preserve">2235-05 </t>
  </si>
  <si>
    <t>Enfermeiro</t>
  </si>
  <si>
    <t>7823-2</t>
  </si>
  <si>
    <t>Balneário Pinhal/RS</t>
  </si>
  <si>
    <t>Botas de proteção de cano longo (padrão SAMU POA)</t>
  </si>
  <si>
    <t>Jaquetas de Inverno</t>
  </si>
  <si>
    <t>Capa de Chuva</t>
  </si>
  <si>
    <t xml:space="preserve">Óculos de Proteção </t>
  </si>
  <si>
    <t>Macação (padrão Portaria MS 2048/2002)</t>
  </si>
  <si>
    <t>Adicional Noturno (20%)</t>
  </si>
  <si>
    <t xml:space="preserve">Adicional Noturno </t>
  </si>
  <si>
    <t>Condutor de Ambulância</t>
  </si>
  <si>
    <t>xx/xx/2026</t>
  </si>
  <si>
    <t>Salário-Base para jornada de 42 horas</t>
  </si>
  <si>
    <t>Serviços de Condutor de Ambulância: Regime de plantão 24x72</t>
  </si>
  <si>
    <t>Salário-Base para jornada de 30 horas</t>
  </si>
  <si>
    <t>MÃO DE OBRA - BASE SAMU 192 SUPORTE AVANÇADO</t>
  </si>
  <si>
    <t xml:space="preserve">Enfermeiro </t>
  </si>
  <si>
    <t>Serviços de Enfermagem - atendimentos urgência e emergência: Regime de plantão 24x72</t>
  </si>
  <si>
    <t>2235-05</t>
  </si>
  <si>
    <t>2251-25</t>
  </si>
  <si>
    <t xml:space="preserve">Médico Clínico Geral </t>
  </si>
  <si>
    <t>Serviços Médicos – Atendimentos urgência e Emergência: Regime de plantão 24x72</t>
  </si>
  <si>
    <t>Serviços Responsável Técnico: 30h semanais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</si>
</sst>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164" formatCode="_([$R$ -416]* #,##0.00_);_([$R$ -416]* \(#,##0.00\);_([$R$ -416]* &quot;-&quot;??_);_(@_)"/>
    <numFmt numFmtId="165" formatCode="0.0000"/>
    <numFmt numFmtId="166" formatCode="_-&quot;R$&quot;\ * #,##0.00_-;\-&quot;R$&quot;\ * #,##0.00_-;_-&quot;R$&quot;\ * &quot;-&quot;??_-;_-@"/>
    <numFmt numFmtId="167" formatCode="0.0000%"/>
    <numFmt numFmtId="168" formatCode="d\.m"/>
    <numFmt numFmtId="169" formatCode="0_ "/>
    <numFmt numFmtId="170" formatCode="0.00_ "/>
  </numFmts>
  <fonts count="11" x14ac:knownFonts="1">
    <font>
      <sz val="10"/>
      <color rgb="FF000000"/>
      <name val="Calibri"/>
    </font>
    <font>
      <b/>
      <sz val="11"/>
      <name val="Calibri"/>
      <family val="2"/>
    </font>
    <font>
      <sz val="1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sz val="10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9"/>
      <color indexed="81"/>
      <name val="Segoe UI"/>
      <charset val="1"/>
    </font>
    <font>
      <sz val="9"/>
      <color indexed="81"/>
      <name val="Segoe UI"/>
      <charset val="1"/>
    </font>
  </fonts>
  <fills count="9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theme="2" tint="-0.249977111117893"/>
        <bgColor rgb="FF93C47D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rgb="FFB6D7A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FFFF00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4" fontId="1" fillId="0" borderId="32" xfId="0" applyNumberFormat="1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164" fontId="4" fillId="0" borderId="40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164" fontId="4" fillId="0" borderId="12" xfId="0" applyNumberFormat="1" applyFont="1" applyBorder="1" applyAlignment="1">
      <alignment horizontal="center" vertical="center" wrapText="1"/>
    </xf>
    <xf numFmtId="10" fontId="4" fillId="0" borderId="12" xfId="0" applyNumberFormat="1" applyFont="1" applyBorder="1" applyAlignment="1">
      <alignment horizontal="center" vertical="center" wrapText="1"/>
    </xf>
    <xf numFmtId="164" fontId="4" fillId="0" borderId="41" xfId="0" applyNumberFormat="1" applyFont="1" applyBorder="1" applyAlignment="1">
      <alignment horizontal="center" vertical="center" wrapText="1"/>
    </xf>
    <xf numFmtId="164" fontId="4" fillId="0" borderId="38" xfId="0" applyNumberFormat="1" applyFont="1" applyBorder="1" applyAlignment="1">
      <alignment horizontal="center" vertical="center" wrapText="1"/>
    </xf>
    <xf numFmtId="166" fontId="1" fillId="2" borderId="29" xfId="0" applyNumberFormat="1" applyFont="1" applyFill="1" applyBorder="1" applyAlignment="1">
      <alignment horizontal="center" vertical="center" wrapText="1"/>
    </xf>
    <xf numFmtId="10" fontId="4" fillId="0" borderId="43" xfId="0" applyNumberFormat="1" applyFont="1" applyBorder="1" applyAlignment="1">
      <alignment horizontal="center" vertical="center" wrapText="1"/>
    </xf>
    <xf numFmtId="166" fontId="4" fillId="0" borderId="40" xfId="0" applyNumberFormat="1" applyFont="1" applyBorder="1" applyAlignment="1">
      <alignment horizontal="center" vertical="center" wrapText="1"/>
    </xf>
    <xf numFmtId="166" fontId="4" fillId="0" borderId="41" xfId="0" applyNumberFormat="1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0" fontId="4" fillId="0" borderId="48" xfId="0" applyNumberFormat="1" applyFont="1" applyBorder="1" applyAlignment="1">
      <alignment horizontal="center" vertical="center" wrapText="1"/>
    </xf>
    <xf numFmtId="166" fontId="4" fillId="0" borderId="49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66" fontId="4" fillId="0" borderId="50" xfId="0" applyNumberFormat="1" applyFont="1" applyBorder="1" applyAlignment="1">
      <alignment horizontal="center" vertical="center" wrapText="1"/>
    </xf>
    <xf numFmtId="165" fontId="4" fillId="0" borderId="12" xfId="0" applyNumberFormat="1" applyFont="1" applyBorder="1" applyAlignment="1">
      <alignment horizontal="center" vertical="center" wrapText="1"/>
    </xf>
    <xf numFmtId="9" fontId="4" fillId="0" borderId="12" xfId="0" applyNumberFormat="1" applyFont="1" applyBorder="1" applyAlignment="1">
      <alignment horizontal="center" vertical="center" wrapText="1"/>
    </xf>
    <xf numFmtId="167" fontId="1" fillId="2" borderId="28" xfId="0" applyNumberFormat="1" applyFont="1" applyFill="1" applyBorder="1" applyAlignment="1">
      <alignment horizontal="center" vertical="center" wrapText="1"/>
    </xf>
    <xf numFmtId="164" fontId="4" fillId="0" borderId="3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164" fontId="4" fillId="0" borderId="43" xfId="0" applyNumberFormat="1" applyFont="1" applyBorder="1" applyAlignment="1">
      <alignment horizontal="left" vertical="center" wrapText="1"/>
    </xf>
    <xf numFmtId="167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9" fontId="4" fillId="0" borderId="9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4" fillId="0" borderId="43" xfId="0" applyNumberFormat="1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/>
    </xf>
    <xf numFmtId="166" fontId="4" fillId="0" borderId="36" xfId="0" applyNumberFormat="1" applyFont="1" applyBorder="1" applyAlignment="1">
      <alignment horizontal="center" vertical="center" wrapText="1"/>
    </xf>
    <xf numFmtId="10" fontId="2" fillId="0" borderId="12" xfId="0" applyNumberFormat="1" applyFont="1" applyBorder="1" applyAlignment="1">
      <alignment horizontal="center" vertical="center"/>
    </xf>
    <xf numFmtId="166" fontId="4" fillId="0" borderId="11" xfId="0" applyNumberFormat="1" applyFont="1" applyBorder="1" applyAlignment="1">
      <alignment horizontal="center" vertical="center" wrapText="1"/>
    </xf>
    <xf numFmtId="164" fontId="4" fillId="0" borderId="12" xfId="0" applyNumberFormat="1" applyFont="1" applyBorder="1" applyAlignment="1">
      <alignment vertical="center" wrapText="1"/>
    </xf>
    <xf numFmtId="10" fontId="2" fillId="0" borderId="48" xfId="0" applyNumberFormat="1" applyFont="1" applyBorder="1" applyAlignment="1">
      <alignment vertical="center"/>
    </xf>
    <xf numFmtId="0" fontId="4" fillId="0" borderId="37" xfId="0" applyFont="1" applyBorder="1" applyAlignment="1">
      <alignment horizontal="center" vertical="center" wrapText="1"/>
    </xf>
    <xf numFmtId="164" fontId="4" fillId="0" borderId="29" xfId="0" applyNumberFormat="1" applyFont="1" applyBorder="1" applyAlignment="1">
      <alignment horizontal="center" vertical="center" wrapText="1"/>
    </xf>
    <xf numFmtId="166" fontId="1" fillId="0" borderId="29" xfId="0" applyNumberFormat="1" applyFont="1" applyBorder="1" applyAlignment="1">
      <alignment vertical="center" wrapText="1"/>
    </xf>
    <xf numFmtId="166" fontId="1" fillId="0" borderId="38" xfId="0" applyNumberFormat="1" applyFont="1" applyBorder="1" applyAlignment="1">
      <alignment horizontal="center" vertical="center" wrapText="1"/>
    </xf>
    <xf numFmtId="170" fontId="4" fillId="0" borderId="33" xfId="0" applyNumberFormat="1" applyFont="1" applyBorder="1" applyAlignment="1">
      <alignment horizontal="center" vertical="center" wrapText="1"/>
    </xf>
    <xf numFmtId="166" fontId="4" fillId="0" borderId="39" xfId="0" applyNumberFormat="1" applyFont="1" applyBorder="1" applyAlignment="1">
      <alignment vertical="center" wrapText="1"/>
    </xf>
    <xf numFmtId="166" fontId="4" fillId="0" borderId="40" xfId="0" applyNumberFormat="1" applyFont="1" applyBorder="1" applyAlignment="1">
      <alignment vertical="center" wrapText="1"/>
    </xf>
    <xf numFmtId="170" fontId="4" fillId="0" borderId="26" xfId="0" applyNumberFormat="1" applyFont="1" applyBorder="1" applyAlignment="1">
      <alignment horizontal="center" vertical="center" wrapText="1"/>
    </xf>
    <xf numFmtId="166" fontId="4" fillId="0" borderId="8" xfId="0" applyNumberFormat="1" applyFont="1" applyBorder="1" applyAlignment="1">
      <alignment vertical="center" wrapText="1"/>
    </xf>
    <xf numFmtId="166" fontId="4" fillId="0" borderId="41" xfId="0" applyNumberFormat="1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166" fontId="4" fillId="0" borderId="38" xfId="0" applyNumberFormat="1" applyFont="1" applyBorder="1" applyAlignment="1">
      <alignment horizontal="center" vertical="center" wrapText="1"/>
    </xf>
    <xf numFmtId="166" fontId="1" fillId="0" borderId="29" xfId="0" applyNumberFormat="1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166" fontId="4" fillId="0" borderId="29" xfId="0" applyNumberFormat="1" applyFont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5" borderId="29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164" fontId="4" fillId="5" borderId="38" xfId="0" applyNumberFormat="1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5" borderId="51" xfId="0" applyFont="1" applyFill="1" applyBorder="1" applyAlignment="1">
      <alignment horizontal="center" vertical="center" wrapText="1"/>
    </xf>
    <xf numFmtId="0" fontId="1" fillId="5" borderId="32" xfId="0" applyFont="1" applyFill="1" applyBorder="1" applyAlignment="1">
      <alignment horizontal="center" vertical="center" wrapText="1"/>
    </xf>
    <xf numFmtId="168" fontId="1" fillId="5" borderId="37" xfId="0" applyNumberFormat="1" applyFont="1" applyFill="1" applyBorder="1" applyAlignment="1">
      <alignment horizontal="center" vertical="center" wrapText="1"/>
    </xf>
    <xf numFmtId="0" fontId="1" fillId="5" borderId="53" xfId="0" applyFont="1" applyFill="1" applyBorder="1" applyAlignment="1">
      <alignment horizontal="center" vertical="center" wrapText="1"/>
    </xf>
    <xf numFmtId="0" fontId="1" fillId="5" borderId="50" xfId="0" applyFont="1" applyFill="1" applyBorder="1" applyAlignment="1">
      <alignment horizontal="center" vertical="center" wrapText="1"/>
    </xf>
    <xf numFmtId="169" fontId="1" fillId="5" borderId="37" xfId="0" applyNumberFormat="1" applyFont="1" applyFill="1" applyBorder="1" applyAlignment="1">
      <alignment horizontal="center" vertical="center" wrapText="1"/>
    </xf>
    <xf numFmtId="170" fontId="1" fillId="5" borderId="28" xfId="0" applyNumberFormat="1" applyFont="1" applyFill="1" applyBorder="1" applyAlignment="1">
      <alignment horizontal="center" vertical="center" wrapText="1"/>
    </xf>
    <xf numFmtId="170" fontId="1" fillId="5" borderId="29" xfId="0" applyNumberFormat="1" applyFont="1" applyFill="1" applyBorder="1" applyAlignment="1">
      <alignment horizontal="center" vertical="center" wrapText="1"/>
    </xf>
    <xf numFmtId="166" fontId="1" fillId="5" borderId="29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1" fillId="5" borderId="59" xfId="0" applyFont="1" applyFill="1" applyBorder="1" applyAlignment="1">
      <alignment horizontal="center" vertical="center" wrapText="1"/>
    </xf>
    <xf numFmtId="0" fontId="1" fillId="5" borderId="62" xfId="0" applyFont="1" applyFill="1" applyBorder="1" applyAlignment="1">
      <alignment horizontal="center" vertical="center"/>
    </xf>
    <xf numFmtId="0" fontId="1" fillId="5" borderId="61" xfId="0" applyFont="1" applyFill="1" applyBorder="1" applyAlignment="1">
      <alignment horizontal="center" vertical="center" wrapText="1"/>
    </xf>
    <xf numFmtId="0" fontId="1" fillId="5" borderId="63" xfId="0" applyFont="1" applyFill="1" applyBorder="1" applyAlignment="1">
      <alignment horizontal="center" vertical="center" wrapText="1"/>
    </xf>
    <xf numFmtId="0" fontId="1" fillId="3" borderId="64" xfId="0" applyFont="1" applyFill="1" applyBorder="1" applyAlignment="1">
      <alignment horizontal="center" vertical="center" wrapText="1"/>
    </xf>
    <xf numFmtId="166" fontId="1" fillId="3" borderId="67" xfId="0" applyNumberFormat="1" applyFont="1" applyFill="1" applyBorder="1" applyAlignment="1">
      <alignment horizontal="center" vertical="center" wrapText="1"/>
    </xf>
    <xf numFmtId="164" fontId="5" fillId="4" borderId="70" xfId="0" applyNumberFormat="1" applyFont="1" applyFill="1" applyBorder="1" applyAlignment="1">
      <alignment vertical="center"/>
    </xf>
    <xf numFmtId="164" fontId="5" fillId="4" borderId="69" xfId="0" applyNumberFormat="1" applyFont="1" applyFill="1" applyBorder="1" applyAlignment="1">
      <alignment horizontal="center" vertical="center"/>
    </xf>
    <xf numFmtId="3" fontId="1" fillId="0" borderId="32" xfId="0" applyNumberFormat="1" applyFont="1" applyBorder="1" applyAlignment="1">
      <alignment horizontal="center" vertical="center" wrapText="1"/>
    </xf>
    <xf numFmtId="44" fontId="0" fillId="0" borderId="0" xfId="0" applyNumberFormat="1" applyAlignment="1">
      <alignment vertical="center"/>
    </xf>
    <xf numFmtId="164" fontId="5" fillId="4" borderId="71" xfId="0" applyNumberFormat="1" applyFont="1" applyFill="1" applyBorder="1" applyAlignment="1">
      <alignment horizontal="center" vertical="center"/>
    </xf>
    <xf numFmtId="164" fontId="5" fillId="4" borderId="68" xfId="0" applyNumberFormat="1" applyFont="1" applyFill="1" applyBorder="1" applyAlignment="1">
      <alignment horizontal="center" vertical="center"/>
    </xf>
    <xf numFmtId="164" fontId="5" fillId="4" borderId="7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4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170" fontId="1" fillId="5" borderId="18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vertical="center"/>
    </xf>
    <xf numFmtId="0" fontId="2" fillId="6" borderId="17" xfId="0" applyFont="1" applyFill="1" applyBorder="1" applyAlignment="1">
      <alignment vertical="center"/>
    </xf>
    <xf numFmtId="170" fontId="4" fillId="0" borderId="34" xfId="0" applyNumberFormat="1" applyFont="1" applyBorder="1" applyAlignment="1">
      <alignment vertical="center" wrapText="1"/>
    </xf>
    <xf numFmtId="0" fontId="2" fillId="0" borderId="35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170" fontId="4" fillId="0" borderId="9" xfId="0" applyNumberFormat="1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64" fontId="4" fillId="0" borderId="47" xfId="0" applyNumberFormat="1" applyFont="1" applyBorder="1" applyAlignment="1">
      <alignment horizontal="center" vertical="center" wrapText="1"/>
    </xf>
    <xf numFmtId="0" fontId="2" fillId="0" borderId="54" xfId="0" applyFont="1" applyBorder="1" applyAlignment="1">
      <alignment vertical="center"/>
    </xf>
    <xf numFmtId="0" fontId="1" fillId="3" borderId="65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vertical="center"/>
    </xf>
    <xf numFmtId="0" fontId="2" fillId="4" borderId="66" xfId="0" applyFont="1" applyFill="1" applyBorder="1" applyAlignment="1">
      <alignment vertical="center"/>
    </xf>
    <xf numFmtId="170" fontId="1" fillId="2" borderId="1" xfId="0" applyNumberFormat="1" applyFont="1" applyFill="1" applyBorder="1" applyAlignment="1">
      <alignment horizontal="center" vertical="center" wrapText="1"/>
    </xf>
    <xf numFmtId="0" fontId="2" fillId="0" borderId="55" xfId="0" applyFont="1" applyBorder="1" applyAlignme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170" fontId="4" fillId="0" borderId="10" xfId="0" applyNumberFormat="1" applyFont="1" applyBorder="1" applyAlignment="1">
      <alignment vertical="center" wrapText="1"/>
    </xf>
    <xf numFmtId="170" fontId="4" fillId="0" borderId="8" xfId="0" applyNumberFormat="1" applyFont="1" applyBorder="1" applyAlignment="1">
      <alignment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vertical="center" wrapText="1"/>
    </xf>
    <xf numFmtId="0" fontId="4" fillId="0" borderId="45" xfId="0" applyFont="1" applyBorder="1" applyAlignment="1">
      <alignment vertical="center" wrapText="1"/>
    </xf>
    <xf numFmtId="0" fontId="2" fillId="0" borderId="46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" fillId="5" borderId="5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vertical="center"/>
    </xf>
    <xf numFmtId="0" fontId="2" fillId="6" borderId="30" xfId="0" applyFont="1" applyFill="1" applyBorder="1" applyAlignment="1">
      <alignment vertical="center"/>
    </xf>
    <xf numFmtId="0" fontId="4" fillId="0" borderId="45" xfId="0" applyFont="1" applyBorder="1" applyAlignment="1">
      <alignment horizontal="left" vertical="center" wrapText="1"/>
    </xf>
    <xf numFmtId="0" fontId="2" fillId="6" borderId="3" xfId="0" applyFont="1" applyFill="1" applyBorder="1" applyAlignment="1">
      <alignment vertical="center"/>
    </xf>
    <xf numFmtId="0" fontId="4" fillId="0" borderId="10" xfId="0" applyFont="1" applyBorder="1" applyAlignment="1">
      <alignment vertical="center" wrapText="1"/>
    </xf>
    <xf numFmtId="164" fontId="4" fillId="0" borderId="48" xfId="0" applyNumberFormat="1" applyFont="1" applyBorder="1" applyAlignment="1">
      <alignment vertical="center" wrapText="1"/>
    </xf>
    <xf numFmtId="0" fontId="2" fillId="0" borderId="42" xfId="0" applyFont="1" applyBorder="1" applyAlignment="1">
      <alignment vertical="center"/>
    </xf>
    <xf numFmtId="0" fontId="4" fillId="0" borderId="10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1" fillId="5" borderId="45" xfId="0" applyFont="1" applyFill="1" applyBorder="1" applyAlignment="1">
      <alignment horizontal="center" vertical="center" wrapText="1"/>
    </xf>
    <xf numFmtId="0" fontId="2" fillId="6" borderId="46" xfId="0" applyFont="1" applyFill="1" applyBorder="1" applyAlignment="1">
      <alignment vertical="center"/>
    </xf>
    <xf numFmtId="0" fontId="2" fillId="6" borderId="47" xfId="0" applyFont="1" applyFill="1" applyBorder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vertical="center"/>
    </xf>
    <xf numFmtId="0" fontId="2" fillId="6" borderId="21" xfId="0" applyFont="1" applyFill="1" applyBorder="1" applyAlignment="1">
      <alignment vertical="center"/>
    </xf>
    <xf numFmtId="10" fontId="4" fillId="0" borderId="42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vertical="center"/>
    </xf>
    <xf numFmtId="164" fontId="4" fillId="0" borderId="42" xfId="0" applyNumberFormat="1" applyFont="1" applyBorder="1" applyAlignment="1">
      <alignment horizontal="left" vertical="center" wrapText="1"/>
    </xf>
    <xf numFmtId="10" fontId="4" fillId="0" borderId="48" xfId="0" applyNumberFormat="1" applyFont="1" applyBorder="1" applyAlignment="1">
      <alignment horizontal="center" vertical="center" wrapText="1"/>
    </xf>
    <xf numFmtId="164" fontId="4" fillId="0" borderId="42" xfId="0" applyNumberFormat="1" applyFont="1" applyBorder="1" applyAlignment="1">
      <alignment horizontal="center" vertical="center" wrapText="1"/>
    </xf>
    <xf numFmtId="0" fontId="4" fillId="0" borderId="48" xfId="0" applyFont="1" applyBorder="1" applyAlignment="1">
      <alignment horizontal="left" vertical="center" wrapText="1"/>
    </xf>
    <xf numFmtId="167" fontId="4" fillId="0" borderId="48" xfId="0" applyNumberFormat="1" applyFont="1" applyBorder="1" applyAlignment="1">
      <alignment horizontal="center" vertical="center" wrapText="1"/>
    </xf>
    <xf numFmtId="0" fontId="1" fillId="5" borderId="60" xfId="0" applyFont="1" applyFill="1" applyBorder="1" applyAlignment="1">
      <alignment horizontal="center" vertical="center"/>
    </xf>
    <xf numFmtId="0" fontId="2" fillId="6" borderId="61" xfId="0" applyFont="1" applyFill="1" applyBorder="1" applyAlignment="1">
      <alignment vertical="center"/>
    </xf>
    <xf numFmtId="0" fontId="4" fillId="0" borderId="58" xfId="0" applyFont="1" applyBorder="1" applyAlignment="1">
      <alignment vertical="center" wrapText="1"/>
    </xf>
    <xf numFmtId="0" fontId="2" fillId="0" borderId="58" xfId="0" applyFont="1" applyBorder="1" applyAlignment="1">
      <alignment vertical="center"/>
    </xf>
    <xf numFmtId="0" fontId="4" fillId="0" borderId="57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44" xfId="0" applyFont="1" applyBorder="1" applyAlignment="1">
      <alignment horizontal="center" vertical="center" wrapText="1"/>
    </xf>
    <xf numFmtId="0" fontId="2" fillId="0" borderId="33" xfId="0" applyFont="1" applyBorder="1" applyAlignment="1">
      <alignment vertical="center"/>
    </xf>
    <xf numFmtId="166" fontId="4" fillId="0" borderId="50" xfId="0" applyNumberFormat="1" applyFont="1" applyBorder="1" applyAlignment="1">
      <alignment horizontal="center" vertical="center" wrapText="1"/>
    </xf>
    <xf numFmtId="0" fontId="2" fillId="0" borderId="40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4" fillId="7" borderId="9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0" fontId="4" fillId="0" borderId="22" xfId="0" applyFont="1" applyBorder="1" applyAlignment="1">
      <alignment horizontal="center" vertical="center" wrapText="1"/>
    </xf>
    <xf numFmtId="0" fontId="2" fillId="0" borderId="30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vertical="center"/>
    </xf>
    <xf numFmtId="0" fontId="4" fillId="8" borderId="34" xfId="0" quotePrefix="1" applyFont="1" applyFill="1" applyBorder="1" applyAlignment="1">
      <alignment horizontal="center" vertical="center" wrapText="1"/>
    </xf>
    <xf numFmtId="0" fontId="2" fillId="8" borderId="36" xfId="0" applyFont="1" applyFill="1" applyBorder="1" applyAlignment="1">
      <alignment vertical="center"/>
    </xf>
    <xf numFmtId="164" fontId="4" fillId="8" borderId="9" xfId="0" applyNumberFormat="1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vertical="center"/>
    </xf>
    <xf numFmtId="0" fontId="4" fillId="8" borderId="9" xfId="0" applyFont="1" applyFill="1" applyBorder="1" applyAlignment="1">
      <alignment horizontal="center" vertical="center" wrapText="1"/>
    </xf>
    <xf numFmtId="14" fontId="4" fillId="8" borderId="14" xfId="0" applyNumberFormat="1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vertical="center"/>
    </xf>
    <xf numFmtId="0" fontId="4" fillId="0" borderId="34" xfId="0" quotePrefix="1" applyFont="1" applyBorder="1" applyAlignment="1">
      <alignment horizontal="center" vertical="center" wrapText="1"/>
    </xf>
    <xf numFmtId="0" fontId="2" fillId="0" borderId="36" xfId="0" applyFont="1" applyBorder="1" applyAlignment="1">
      <alignment vertical="center"/>
    </xf>
    <xf numFmtId="164" fontId="4" fillId="0" borderId="9" xfId="0" applyNumberFormat="1" applyFont="1" applyBorder="1" applyAlignment="1">
      <alignment horizontal="center" vertical="center" wrapText="1"/>
    </xf>
    <xf numFmtId="14" fontId="4" fillId="0" borderId="14" xfId="0" applyNumberFormat="1" applyFont="1" applyBorder="1" applyAlignment="1">
      <alignment horizontal="center" vertical="center" wrapText="1"/>
    </xf>
    <xf numFmtId="0" fontId="8" fillId="4" borderId="55" xfId="0" applyFont="1" applyFill="1" applyBorder="1" applyAlignment="1">
      <alignment vertical="center"/>
    </xf>
    <xf numFmtId="0" fontId="2" fillId="4" borderId="55" xfId="0" applyFont="1" applyFill="1" applyBorder="1" applyAlignment="1">
      <alignment vertical="center"/>
    </xf>
    <xf numFmtId="0" fontId="2" fillId="6" borderId="55" xfId="0" applyFont="1" applyFill="1" applyBorder="1" applyAlignment="1">
      <alignment vertical="center"/>
    </xf>
    <xf numFmtId="0" fontId="4" fillId="0" borderId="55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I128"/>
  <sheetViews>
    <sheetView showGridLines="0" zoomScaleNormal="100" workbookViewId="0">
      <selection activeCell="B120" sqref="B120:F120"/>
    </sheetView>
  </sheetViews>
  <sheetFormatPr defaultColWidth="14.42578125" defaultRowHeight="15" customHeight="1" outlineLevelRow="1" x14ac:dyDescent="0.2"/>
  <cols>
    <col min="1" max="1" width="8.7109375" customWidth="1"/>
    <col min="2" max="2" width="39.42578125" customWidth="1"/>
    <col min="3" max="5" width="15.140625" customWidth="1"/>
    <col min="6" max="6" width="19.28515625" bestFit="1" customWidth="1"/>
    <col min="7" max="7" width="17.42578125" bestFit="1" customWidth="1"/>
  </cols>
  <sheetData>
    <row r="1" spans="1:7" ht="15" customHeight="1" outlineLevel="1" thickBot="1" x14ac:dyDescent="0.25">
      <c r="A1" s="166" t="s">
        <v>124</v>
      </c>
      <c r="B1" s="167"/>
      <c r="C1" s="167"/>
      <c r="D1" s="167"/>
      <c r="E1" s="167"/>
      <c r="F1" s="167"/>
      <c r="G1" s="168"/>
    </row>
    <row r="2" spans="1:7" ht="15" customHeight="1" outlineLevel="1" thickBot="1" x14ac:dyDescent="0.25">
      <c r="A2" s="97" t="s">
        <v>145</v>
      </c>
      <c r="B2" s="98"/>
      <c r="C2" s="98"/>
      <c r="D2" s="98"/>
      <c r="E2" s="98"/>
      <c r="F2" s="98"/>
      <c r="G2" s="99"/>
    </row>
    <row r="3" spans="1:7" ht="15" customHeight="1" outlineLevel="1" x14ac:dyDescent="0.2">
      <c r="A3" s="116" t="s">
        <v>0</v>
      </c>
      <c r="B3" s="101"/>
      <c r="C3" s="101"/>
      <c r="D3" s="101"/>
      <c r="E3" s="101"/>
      <c r="F3" s="101"/>
      <c r="G3" s="136"/>
    </row>
    <row r="4" spans="1:7" ht="15" customHeight="1" outlineLevel="1" x14ac:dyDescent="0.2">
      <c r="A4" s="3" t="s">
        <v>1</v>
      </c>
      <c r="B4" s="169" t="s">
        <v>2</v>
      </c>
      <c r="C4" s="170"/>
      <c r="D4" s="170"/>
      <c r="E4" s="170"/>
      <c r="F4" s="171" t="s">
        <v>141</v>
      </c>
      <c r="G4" s="172"/>
    </row>
    <row r="5" spans="1:7" ht="15" customHeight="1" outlineLevel="1" x14ac:dyDescent="0.2">
      <c r="A5" s="4" t="s">
        <v>3</v>
      </c>
      <c r="B5" s="118" t="s">
        <v>4</v>
      </c>
      <c r="C5" s="107"/>
      <c r="D5" s="107"/>
      <c r="E5" s="107"/>
      <c r="F5" s="173" t="s">
        <v>132</v>
      </c>
      <c r="G5" s="174"/>
    </row>
    <row r="6" spans="1:7" ht="15" customHeight="1" outlineLevel="1" x14ac:dyDescent="0.2">
      <c r="A6" s="4" t="s">
        <v>5</v>
      </c>
      <c r="B6" s="118" t="s">
        <v>6</v>
      </c>
      <c r="C6" s="107"/>
      <c r="D6" s="107"/>
      <c r="E6" s="107"/>
      <c r="F6" s="173" t="s">
        <v>84</v>
      </c>
      <c r="G6" s="174"/>
    </row>
    <row r="7" spans="1:7" ht="15" customHeight="1" outlineLevel="1" x14ac:dyDescent="0.2">
      <c r="A7" s="4" t="s">
        <v>7</v>
      </c>
      <c r="B7" s="118" t="s">
        <v>8</v>
      </c>
      <c r="C7" s="107"/>
      <c r="D7" s="107"/>
      <c r="E7" s="107"/>
      <c r="F7" s="175" t="s">
        <v>9</v>
      </c>
      <c r="G7" s="176"/>
    </row>
    <row r="8" spans="1:7" ht="15" customHeight="1" outlineLevel="1" x14ac:dyDescent="0.2">
      <c r="A8" s="6" t="s">
        <v>10</v>
      </c>
      <c r="B8" s="119" t="s">
        <v>11</v>
      </c>
      <c r="C8" s="120"/>
      <c r="D8" s="120"/>
      <c r="E8" s="120"/>
      <c r="F8" s="177">
        <v>1</v>
      </c>
      <c r="G8" s="178"/>
    </row>
    <row r="9" spans="1:7" ht="15" customHeight="1" outlineLevel="1" x14ac:dyDescent="0.2">
      <c r="A9" s="95"/>
      <c r="B9" s="96"/>
      <c r="C9" s="96"/>
      <c r="D9" s="96"/>
      <c r="E9" s="96"/>
      <c r="F9" s="96"/>
      <c r="G9" s="96"/>
    </row>
    <row r="10" spans="1:7" ht="15" customHeight="1" outlineLevel="1" x14ac:dyDescent="0.2">
      <c r="A10" s="97" t="s">
        <v>12</v>
      </c>
      <c r="B10" s="98"/>
      <c r="C10" s="98"/>
      <c r="D10" s="98"/>
      <c r="E10" s="98"/>
      <c r="F10" s="98"/>
      <c r="G10" s="99"/>
    </row>
    <row r="11" spans="1:7" ht="30" outlineLevel="1" x14ac:dyDescent="0.2">
      <c r="A11" s="116" t="s">
        <v>13</v>
      </c>
      <c r="B11" s="101"/>
      <c r="C11" s="101"/>
      <c r="D11" s="101"/>
      <c r="E11" s="102"/>
      <c r="F11" s="60" t="s">
        <v>14</v>
      </c>
      <c r="G11" s="61" t="s">
        <v>15</v>
      </c>
    </row>
    <row r="12" spans="1:7" ht="30" outlineLevel="1" x14ac:dyDescent="0.2">
      <c r="A12" s="179" t="s">
        <v>143</v>
      </c>
      <c r="B12" s="96"/>
      <c r="C12" s="96"/>
      <c r="D12" s="96"/>
      <c r="E12" s="180"/>
      <c r="F12" s="7" t="s">
        <v>16</v>
      </c>
      <c r="G12" s="87">
        <v>1</v>
      </c>
    </row>
    <row r="13" spans="1:7" ht="15" customHeight="1" x14ac:dyDescent="0.2">
      <c r="A13" s="181"/>
      <c r="B13" s="93"/>
      <c r="C13" s="93"/>
      <c r="D13" s="93"/>
      <c r="E13" s="93"/>
      <c r="F13" s="93"/>
      <c r="G13" s="93"/>
    </row>
    <row r="14" spans="1:7" ht="15" customHeight="1" x14ac:dyDescent="0.2">
      <c r="A14" s="97" t="s">
        <v>17</v>
      </c>
      <c r="B14" s="98"/>
      <c r="C14" s="98"/>
      <c r="D14" s="98"/>
      <c r="E14" s="98"/>
      <c r="F14" s="98"/>
      <c r="G14" s="99"/>
    </row>
    <row r="15" spans="1:7" ht="15" customHeight="1" outlineLevel="1" x14ac:dyDescent="0.2">
      <c r="A15" s="182" t="s">
        <v>18</v>
      </c>
      <c r="B15" s="133"/>
      <c r="C15" s="133"/>
      <c r="D15" s="133"/>
      <c r="E15" s="133"/>
      <c r="F15" s="133"/>
      <c r="G15" s="183"/>
    </row>
    <row r="16" spans="1:7" ht="15" customHeight="1" outlineLevel="1" x14ac:dyDescent="0.2">
      <c r="A16" s="116" t="s">
        <v>19</v>
      </c>
      <c r="B16" s="101"/>
      <c r="C16" s="101"/>
      <c r="D16" s="101"/>
      <c r="E16" s="101"/>
      <c r="F16" s="101"/>
      <c r="G16" s="136"/>
    </row>
    <row r="17" spans="1:9" ht="15" customHeight="1" outlineLevel="1" x14ac:dyDescent="0.2">
      <c r="A17" s="9">
        <v>1</v>
      </c>
      <c r="B17" s="117" t="s">
        <v>20</v>
      </c>
      <c r="C17" s="104"/>
      <c r="D17" s="104"/>
      <c r="E17" s="104"/>
      <c r="F17" s="173" t="s">
        <v>128</v>
      </c>
      <c r="G17" s="174"/>
    </row>
    <row r="18" spans="1:9" ht="15" customHeight="1" outlineLevel="1" x14ac:dyDescent="0.2">
      <c r="A18" s="4">
        <v>2</v>
      </c>
      <c r="B18" s="118" t="s">
        <v>21</v>
      </c>
      <c r="C18" s="107"/>
      <c r="D18" s="107"/>
      <c r="E18" s="107"/>
      <c r="F18" s="184" t="s">
        <v>131</v>
      </c>
      <c r="G18" s="185"/>
    </row>
    <row r="19" spans="1:9" ht="15" customHeight="1" outlineLevel="1" x14ac:dyDescent="0.2">
      <c r="A19" s="4">
        <v>3</v>
      </c>
      <c r="B19" s="118" t="s">
        <v>22</v>
      </c>
      <c r="C19" s="107"/>
      <c r="D19" s="107"/>
      <c r="E19" s="107"/>
      <c r="F19" s="186">
        <v>2014.63</v>
      </c>
      <c r="G19" s="187"/>
    </row>
    <row r="20" spans="1:9" ht="15" customHeight="1" outlineLevel="1" x14ac:dyDescent="0.2">
      <c r="A20" s="4">
        <v>4</v>
      </c>
      <c r="B20" s="118" t="s">
        <v>23</v>
      </c>
      <c r="C20" s="107"/>
      <c r="D20" s="107"/>
      <c r="E20" s="107"/>
      <c r="F20" s="188" t="s">
        <v>140</v>
      </c>
      <c r="G20" s="187"/>
    </row>
    <row r="21" spans="1:9" ht="15" customHeight="1" outlineLevel="1" x14ac:dyDescent="0.2">
      <c r="A21" s="6">
        <v>5</v>
      </c>
      <c r="B21" s="119" t="s">
        <v>24</v>
      </c>
      <c r="C21" s="120"/>
      <c r="D21" s="120"/>
      <c r="E21" s="120"/>
      <c r="F21" s="189">
        <v>46157</v>
      </c>
      <c r="G21" s="190"/>
    </row>
    <row r="22" spans="1:9" ht="15" customHeight="1" x14ac:dyDescent="0.2">
      <c r="A22" s="95"/>
      <c r="B22" s="96"/>
      <c r="C22" s="96"/>
      <c r="D22" s="96"/>
      <c r="E22" s="96"/>
      <c r="F22" s="96"/>
      <c r="G22" s="96"/>
    </row>
    <row r="23" spans="1:9" ht="12.75" x14ac:dyDescent="0.2">
      <c r="A23" s="97" t="s">
        <v>25</v>
      </c>
      <c r="B23" s="98"/>
      <c r="C23" s="98"/>
      <c r="D23" s="98"/>
      <c r="E23" s="98"/>
      <c r="F23" s="98"/>
      <c r="G23" s="99"/>
    </row>
    <row r="24" spans="1:9" x14ac:dyDescent="0.2">
      <c r="A24" s="62">
        <v>1</v>
      </c>
      <c r="B24" s="126" t="s">
        <v>26</v>
      </c>
      <c r="C24" s="101"/>
      <c r="D24" s="101"/>
      <c r="E24" s="101"/>
      <c r="F24" s="102"/>
      <c r="G24" s="64" t="s">
        <v>27</v>
      </c>
    </row>
    <row r="25" spans="1:9" outlineLevel="1" x14ac:dyDescent="0.2">
      <c r="A25" s="9" t="s">
        <v>1</v>
      </c>
      <c r="B25" s="117" t="s">
        <v>142</v>
      </c>
      <c r="C25" s="104"/>
      <c r="D25" s="104"/>
      <c r="E25" s="104"/>
      <c r="F25" s="105"/>
      <c r="G25" s="10">
        <f>F19</f>
        <v>2014.63</v>
      </c>
    </row>
    <row r="26" spans="1:9" outlineLevel="1" x14ac:dyDescent="0.2">
      <c r="A26" s="4" t="s">
        <v>3</v>
      </c>
      <c r="B26" s="5" t="s">
        <v>28</v>
      </c>
      <c r="C26" s="11"/>
      <c r="D26" s="11"/>
      <c r="E26" s="12">
        <f>G25</f>
        <v>2014.63</v>
      </c>
      <c r="F26" s="13">
        <v>0</v>
      </c>
      <c r="G26" s="10">
        <v>0</v>
      </c>
      <c r="I26" s="88"/>
    </row>
    <row r="27" spans="1:9" outlineLevel="1" x14ac:dyDescent="0.2">
      <c r="A27" s="4" t="s">
        <v>5</v>
      </c>
      <c r="B27" s="161" t="s">
        <v>29</v>
      </c>
      <c r="C27" s="107"/>
      <c r="D27" s="108"/>
      <c r="E27" s="12">
        <f>G25</f>
        <v>2014.63</v>
      </c>
      <c r="F27" s="13">
        <v>0.4</v>
      </c>
      <c r="G27" s="14">
        <f>ROUND(E27*F27,2)</f>
        <v>805.85</v>
      </c>
      <c r="I27" s="88"/>
    </row>
    <row r="28" spans="1:9" outlineLevel="1" x14ac:dyDescent="0.2">
      <c r="A28" s="4" t="s">
        <v>7</v>
      </c>
      <c r="B28" s="118" t="s">
        <v>138</v>
      </c>
      <c r="C28" s="107"/>
      <c r="D28" s="107"/>
      <c r="E28" s="107"/>
      <c r="F28" s="108"/>
      <c r="G28" s="14">
        <f>SUM(G25+G27)/210*56*0.2</f>
        <v>150.4256</v>
      </c>
      <c r="I28" s="88"/>
    </row>
    <row r="29" spans="1:9" ht="15.75" outlineLevel="1" thickBot="1" x14ac:dyDescent="0.25">
      <c r="A29" s="6" t="s">
        <v>10</v>
      </c>
      <c r="B29" s="119" t="s">
        <v>31</v>
      </c>
      <c r="C29" s="120"/>
      <c r="D29" s="120"/>
      <c r="E29" s="120"/>
      <c r="F29" s="121"/>
      <c r="G29" s="15">
        <v>0</v>
      </c>
      <c r="I29" s="88"/>
    </row>
    <row r="30" spans="1:9" x14ac:dyDescent="0.2">
      <c r="A30" s="92" t="s">
        <v>32</v>
      </c>
      <c r="B30" s="93"/>
      <c r="C30" s="93"/>
      <c r="D30" s="93"/>
      <c r="E30" s="93"/>
      <c r="F30" s="94"/>
      <c r="G30" s="16">
        <f>ROUND(SUM(G25:G29),2)</f>
        <v>2970.91</v>
      </c>
    </row>
    <row r="31" spans="1:9" x14ac:dyDescent="0.2">
      <c r="A31" s="95"/>
      <c r="B31" s="96"/>
      <c r="C31" s="96"/>
      <c r="D31" s="96"/>
      <c r="E31" s="96"/>
      <c r="F31" s="96"/>
      <c r="G31" s="96"/>
    </row>
    <row r="32" spans="1:9" ht="12.75" x14ac:dyDescent="0.2">
      <c r="A32" s="97" t="s">
        <v>33</v>
      </c>
      <c r="B32" s="98"/>
      <c r="C32" s="98"/>
      <c r="D32" s="98"/>
      <c r="E32" s="98"/>
      <c r="F32" s="98"/>
      <c r="G32" s="99"/>
    </row>
    <row r="33" spans="1:7" ht="12.75" x14ac:dyDescent="0.2">
      <c r="A33" s="116" t="s">
        <v>34</v>
      </c>
      <c r="B33" s="101"/>
      <c r="C33" s="101"/>
      <c r="D33" s="101"/>
      <c r="E33" s="101"/>
      <c r="F33" s="101"/>
      <c r="G33" s="136"/>
    </row>
    <row r="34" spans="1:7" x14ac:dyDescent="0.2">
      <c r="A34" s="62" t="s">
        <v>35</v>
      </c>
      <c r="B34" s="126" t="s">
        <v>36</v>
      </c>
      <c r="C34" s="101"/>
      <c r="D34" s="101"/>
      <c r="E34" s="60" t="s">
        <v>37</v>
      </c>
      <c r="F34" s="65" t="s">
        <v>38</v>
      </c>
      <c r="G34" s="61" t="s">
        <v>39</v>
      </c>
    </row>
    <row r="35" spans="1:7" outlineLevel="1" x14ac:dyDescent="0.2">
      <c r="A35" s="9" t="s">
        <v>1</v>
      </c>
      <c r="B35" s="127" t="s">
        <v>40</v>
      </c>
      <c r="C35" s="104"/>
      <c r="D35" s="105"/>
      <c r="E35" s="153">
        <f>G30</f>
        <v>2970.91</v>
      </c>
      <c r="F35" s="17">
        <f t="shared" ref="F35:F36" si="0">1/12</f>
        <v>8.3333333333333329E-2</v>
      </c>
      <c r="G35" s="18">
        <f t="shared" ref="G35:G37" si="1">ROUND($E$35*F35,2)</f>
        <v>247.58</v>
      </c>
    </row>
    <row r="36" spans="1:7" outlineLevel="1" x14ac:dyDescent="0.2">
      <c r="A36" s="4" t="s">
        <v>3</v>
      </c>
      <c r="B36" s="161" t="s">
        <v>41</v>
      </c>
      <c r="C36" s="107"/>
      <c r="D36" s="108"/>
      <c r="E36" s="139"/>
      <c r="F36" s="13">
        <f t="shared" si="0"/>
        <v>8.3333333333333329E-2</v>
      </c>
      <c r="G36" s="19">
        <f t="shared" si="1"/>
        <v>247.58</v>
      </c>
    </row>
    <row r="37" spans="1:7" outlineLevel="1" x14ac:dyDescent="0.2">
      <c r="A37" s="20" t="s">
        <v>5</v>
      </c>
      <c r="B37" s="135" t="s">
        <v>42</v>
      </c>
      <c r="C37" s="129"/>
      <c r="D37" s="130"/>
      <c r="E37" s="150"/>
      <c r="F37" s="21">
        <f>1/12/3</f>
        <v>2.7777777777777776E-2</v>
      </c>
      <c r="G37" s="22">
        <f t="shared" si="1"/>
        <v>82.53</v>
      </c>
    </row>
    <row r="38" spans="1:7" x14ac:dyDescent="0.2">
      <c r="A38" s="92" t="s">
        <v>32</v>
      </c>
      <c r="B38" s="93"/>
      <c r="C38" s="93"/>
      <c r="D38" s="93"/>
      <c r="E38" s="93"/>
      <c r="F38" s="94"/>
      <c r="G38" s="16">
        <f>ROUND(SUM(G35:G37),2)</f>
        <v>577.69000000000005</v>
      </c>
    </row>
    <row r="39" spans="1:7" ht="12.75" x14ac:dyDescent="0.2">
      <c r="A39" s="116" t="s">
        <v>43</v>
      </c>
      <c r="B39" s="101"/>
      <c r="C39" s="101"/>
      <c r="D39" s="101"/>
      <c r="E39" s="101"/>
      <c r="F39" s="101"/>
      <c r="G39" s="136"/>
    </row>
    <row r="40" spans="1:7" x14ac:dyDescent="0.2">
      <c r="A40" s="62" t="s">
        <v>44</v>
      </c>
      <c r="B40" s="126" t="s">
        <v>45</v>
      </c>
      <c r="C40" s="101"/>
      <c r="D40" s="102"/>
      <c r="E40" s="60" t="s">
        <v>37</v>
      </c>
      <c r="F40" s="60" t="s">
        <v>46</v>
      </c>
      <c r="G40" s="61" t="s">
        <v>39</v>
      </c>
    </row>
    <row r="41" spans="1:7" outlineLevel="1" x14ac:dyDescent="0.2">
      <c r="A41" s="9" t="s">
        <v>1</v>
      </c>
      <c r="B41" s="117" t="s">
        <v>47</v>
      </c>
      <c r="C41" s="104"/>
      <c r="D41" s="105"/>
      <c r="E41" s="153">
        <f>G30+G38</f>
        <v>3548.6</v>
      </c>
      <c r="F41" s="17">
        <v>0.2</v>
      </c>
      <c r="G41" s="18">
        <f>ROUND($E$41*F41,2)</f>
        <v>709.72</v>
      </c>
    </row>
    <row r="42" spans="1:7" ht="12.75" outlineLevel="1" x14ac:dyDescent="0.2">
      <c r="A42" s="162" t="s">
        <v>3</v>
      </c>
      <c r="B42" s="154" t="s">
        <v>48</v>
      </c>
      <c r="C42" s="23" t="s">
        <v>49</v>
      </c>
      <c r="D42" s="23" t="s">
        <v>50</v>
      </c>
      <c r="E42" s="139"/>
      <c r="F42" s="155">
        <f>ROUND(C43*D43,6)</f>
        <v>0.03</v>
      </c>
      <c r="G42" s="164">
        <f t="shared" ref="G42" si="2">ROUND($E$41*F42,2)</f>
        <v>106.46</v>
      </c>
    </row>
    <row r="43" spans="1:7" outlineLevel="1" x14ac:dyDescent="0.2">
      <c r="A43" s="163"/>
      <c r="B43" s="150"/>
      <c r="C43" s="25">
        <v>1</v>
      </c>
      <c r="D43" s="26">
        <v>0.03</v>
      </c>
      <c r="E43" s="139"/>
      <c r="F43" s="150"/>
      <c r="G43" s="165"/>
    </row>
    <row r="44" spans="1:7" outlineLevel="1" x14ac:dyDescent="0.2">
      <c r="A44" s="4" t="s">
        <v>5</v>
      </c>
      <c r="B44" s="118" t="s">
        <v>51</v>
      </c>
      <c r="C44" s="107"/>
      <c r="D44" s="108"/>
      <c r="E44" s="139"/>
      <c r="F44" s="13">
        <v>2.5000000000000001E-2</v>
      </c>
      <c r="G44" s="19">
        <f t="shared" ref="G44:G49" si="3">ROUND($E$41*F44,2)</f>
        <v>88.72</v>
      </c>
    </row>
    <row r="45" spans="1:7" outlineLevel="1" x14ac:dyDescent="0.2">
      <c r="A45" s="4" t="s">
        <v>7</v>
      </c>
      <c r="B45" s="118" t="s">
        <v>52</v>
      </c>
      <c r="C45" s="107"/>
      <c r="D45" s="108"/>
      <c r="E45" s="139"/>
      <c r="F45" s="13">
        <v>1.4999999999999999E-2</v>
      </c>
      <c r="G45" s="19">
        <f t="shared" si="3"/>
        <v>53.23</v>
      </c>
    </row>
    <row r="46" spans="1:7" outlineLevel="1" x14ac:dyDescent="0.2">
      <c r="A46" s="4" t="s">
        <v>10</v>
      </c>
      <c r="B46" s="118" t="s">
        <v>53</v>
      </c>
      <c r="C46" s="107"/>
      <c r="D46" s="108"/>
      <c r="E46" s="139"/>
      <c r="F46" s="13">
        <v>0.01</v>
      </c>
      <c r="G46" s="19">
        <f t="shared" si="3"/>
        <v>35.49</v>
      </c>
    </row>
    <row r="47" spans="1:7" outlineLevel="1" x14ac:dyDescent="0.2">
      <c r="A47" s="4" t="s">
        <v>30</v>
      </c>
      <c r="B47" s="118" t="s">
        <v>54</v>
      </c>
      <c r="C47" s="107"/>
      <c r="D47" s="108"/>
      <c r="E47" s="139"/>
      <c r="F47" s="13">
        <v>6.0000000000000001E-3</v>
      </c>
      <c r="G47" s="19">
        <f t="shared" si="3"/>
        <v>21.29</v>
      </c>
    </row>
    <row r="48" spans="1:7" outlineLevel="1" x14ac:dyDescent="0.2">
      <c r="A48" s="4" t="s">
        <v>55</v>
      </c>
      <c r="B48" s="118" t="s">
        <v>56</v>
      </c>
      <c r="C48" s="107"/>
      <c r="D48" s="108"/>
      <c r="E48" s="139"/>
      <c r="F48" s="13">
        <v>2E-3</v>
      </c>
      <c r="G48" s="19">
        <f t="shared" si="3"/>
        <v>7.1</v>
      </c>
    </row>
    <row r="49" spans="1:7" outlineLevel="1" x14ac:dyDescent="0.2">
      <c r="A49" s="20" t="s">
        <v>57</v>
      </c>
      <c r="B49" s="135" t="s">
        <v>58</v>
      </c>
      <c r="C49" s="129"/>
      <c r="D49" s="130"/>
      <c r="E49" s="150"/>
      <c r="F49" s="21">
        <v>0.08</v>
      </c>
      <c r="G49" s="24">
        <f t="shared" si="3"/>
        <v>283.89</v>
      </c>
    </row>
    <row r="50" spans="1:7" ht="15.75" thickBot="1" x14ac:dyDescent="0.25">
      <c r="A50" s="92" t="s">
        <v>32</v>
      </c>
      <c r="B50" s="93"/>
      <c r="C50" s="93"/>
      <c r="D50" s="93"/>
      <c r="E50" s="94"/>
      <c r="F50" s="27">
        <f>SUM(F41:F49)</f>
        <v>0.36800000000000005</v>
      </c>
      <c r="G50" s="16">
        <f>ROUND(SUM(G41:G49),2)</f>
        <v>1305.9000000000001</v>
      </c>
    </row>
    <row r="51" spans="1:7" ht="13.5" thickBot="1" x14ac:dyDescent="0.25">
      <c r="A51" s="146" t="s">
        <v>59</v>
      </c>
      <c r="B51" s="147"/>
      <c r="C51" s="147"/>
      <c r="D51" s="147"/>
      <c r="E51" s="147"/>
      <c r="F51" s="147"/>
      <c r="G51" s="148"/>
    </row>
    <row r="52" spans="1:7" ht="27.6" customHeight="1" thickBot="1" x14ac:dyDescent="0.25">
      <c r="A52" s="79" t="s">
        <v>60</v>
      </c>
      <c r="B52" s="156" t="s">
        <v>61</v>
      </c>
      <c r="C52" s="157"/>
      <c r="D52" s="80" t="s">
        <v>62</v>
      </c>
      <c r="E52" s="80" t="s">
        <v>63</v>
      </c>
      <c r="F52" s="81" t="s">
        <v>64</v>
      </c>
      <c r="G52" s="82" t="s">
        <v>65</v>
      </c>
    </row>
    <row r="53" spans="1:7" outlineLevel="1" x14ac:dyDescent="0.2">
      <c r="A53" s="77" t="s">
        <v>1</v>
      </c>
      <c r="B53" s="158" t="s">
        <v>125</v>
      </c>
      <c r="C53" s="159"/>
      <c r="D53" s="78">
        <f>8*2</f>
        <v>16</v>
      </c>
      <c r="E53" s="28">
        <v>5.5</v>
      </c>
      <c r="F53" s="28">
        <f>ROUND(G25*6%,2)</f>
        <v>120.88</v>
      </c>
      <c r="G53" s="18">
        <f>ROUND(D53*E53-F53,2)</f>
        <v>-32.880000000000003</v>
      </c>
    </row>
    <row r="54" spans="1:7" outlineLevel="1" x14ac:dyDescent="0.2">
      <c r="A54" s="75" t="s">
        <v>3</v>
      </c>
      <c r="B54" s="160" t="s">
        <v>66</v>
      </c>
      <c r="C54" s="160"/>
      <c r="D54" s="76">
        <v>8</v>
      </c>
      <c r="E54" s="28">
        <v>35</v>
      </c>
      <c r="F54" s="28">
        <f>ROUND(E54*19%,2)</f>
        <v>6.65</v>
      </c>
      <c r="G54" s="19">
        <f>D54*(E54-F54)</f>
        <v>226.8</v>
      </c>
    </row>
    <row r="55" spans="1:7" ht="15.75" outlineLevel="1" thickBot="1" x14ac:dyDescent="0.25">
      <c r="A55" s="20" t="s">
        <v>5</v>
      </c>
      <c r="B55" s="135" t="s">
        <v>31</v>
      </c>
      <c r="C55" s="129"/>
      <c r="D55" s="129"/>
      <c r="E55" s="129"/>
      <c r="F55" s="130"/>
      <c r="G55" s="24">
        <v>0</v>
      </c>
    </row>
    <row r="56" spans="1:7" x14ac:dyDescent="0.2">
      <c r="A56" s="92" t="s">
        <v>32</v>
      </c>
      <c r="B56" s="93"/>
      <c r="C56" s="93"/>
      <c r="D56" s="93"/>
      <c r="E56" s="93"/>
      <c r="F56" s="94"/>
      <c r="G56" s="16">
        <f>ROUND(SUM(G53:G55),2)</f>
        <v>193.92</v>
      </c>
    </row>
    <row r="57" spans="1:7" x14ac:dyDescent="0.2">
      <c r="A57" s="29"/>
      <c r="B57" s="29"/>
      <c r="C57" s="29"/>
      <c r="D57" s="29"/>
      <c r="E57" s="29"/>
      <c r="F57" s="29"/>
      <c r="G57" s="29"/>
    </row>
    <row r="58" spans="1:7" ht="12.75" x14ac:dyDescent="0.2">
      <c r="A58" s="116" t="s">
        <v>67</v>
      </c>
      <c r="B58" s="101"/>
      <c r="C58" s="101"/>
      <c r="D58" s="101"/>
      <c r="E58" s="101"/>
      <c r="F58" s="101"/>
      <c r="G58" s="136"/>
    </row>
    <row r="59" spans="1:7" x14ac:dyDescent="0.2">
      <c r="A59" s="66">
        <v>2</v>
      </c>
      <c r="B59" s="132" t="s">
        <v>68</v>
      </c>
      <c r="C59" s="133"/>
      <c r="D59" s="133"/>
      <c r="E59" s="133"/>
      <c r="F59" s="134"/>
      <c r="G59" s="67" t="s">
        <v>39</v>
      </c>
    </row>
    <row r="60" spans="1:7" outlineLevel="1" x14ac:dyDescent="0.2">
      <c r="A60" s="30" t="s">
        <v>35</v>
      </c>
      <c r="B60" s="117" t="s">
        <v>69</v>
      </c>
      <c r="C60" s="104"/>
      <c r="D60" s="104"/>
      <c r="E60" s="104"/>
      <c r="F60" s="105"/>
      <c r="G60" s="18">
        <f>G38</f>
        <v>577.69000000000005</v>
      </c>
    </row>
    <row r="61" spans="1:7" outlineLevel="1" x14ac:dyDescent="0.2">
      <c r="A61" s="31" t="s">
        <v>44</v>
      </c>
      <c r="B61" s="118" t="s">
        <v>70</v>
      </c>
      <c r="C61" s="107"/>
      <c r="D61" s="107"/>
      <c r="E61" s="107"/>
      <c r="F61" s="108"/>
      <c r="G61" s="19">
        <f>G50</f>
        <v>1305.9000000000001</v>
      </c>
    </row>
    <row r="62" spans="1:7" outlineLevel="1" x14ac:dyDescent="0.2">
      <c r="A62" s="32" t="s">
        <v>60</v>
      </c>
      <c r="B62" s="135" t="s">
        <v>61</v>
      </c>
      <c r="C62" s="129"/>
      <c r="D62" s="129"/>
      <c r="E62" s="129"/>
      <c r="F62" s="130"/>
      <c r="G62" s="24">
        <f>G56</f>
        <v>193.92</v>
      </c>
    </row>
    <row r="63" spans="1:7" x14ac:dyDescent="0.2">
      <c r="A63" s="92" t="s">
        <v>32</v>
      </c>
      <c r="B63" s="93"/>
      <c r="C63" s="93"/>
      <c r="D63" s="93"/>
      <c r="E63" s="93"/>
      <c r="F63" s="94"/>
      <c r="G63" s="16">
        <f>ROUND(SUM(G60:G62),2)</f>
        <v>2077.5100000000002</v>
      </c>
    </row>
    <row r="64" spans="1:7" x14ac:dyDescent="0.2">
      <c r="A64" s="95"/>
      <c r="B64" s="96"/>
      <c r="C64" s="96"/>
      <c r="D64" s="96"/>
      <c r="E64" s="96"/>
      <c r="F64" s="96"/>
      <c r="G64" s="96"/>
    </row>
    <row r="65" spans="1:7" ht="12.75" x14ac:dyDescent="0.2">
      <c r="A65" s="97" t="s">
        <v>71</v>
      </c>
      <c r="B65" s="98"/>
      <c r="C65" s="98"/>
      <c r="D65" s="98"/>
      <c r="E65" s="98"/>
      <c r="F65" s="98"/>
      <c r="G65" s="99"/>
    </row>
    <row r="66" spans="1:7" ht="30" x14ac:dyDescent="0.2">
      <c r="A66" s="62">
        <v>3</v>
      </c>
      <c r="B66" s="63" t="s">
        <v>72</v>
      </c>
      <c r="C66" s="60" t="s">
        <v>73</v>
      </c>
      <c r="D66" s="60" t="s">
        <v>37</v>
      </c>
      <c r="E66" s="60" t="s">
        <v>74</v>
      </c>
      <c r="F66" s="60" t="s">
        <v>75</v>
      </c>
      <c r="G66" s="61" t="s">
        <v>39</v>
      </c>
    </row>
    <row r="67" spans="1:7" outlineLevel="1" x14ac:dyDescent="0.2">
      <c r="A67" s="9" t="s">
        <v>1</v>
      </c>
      <c r="B67" s="117" t="s">
        <v>76</v>
      </c>
      <c r="C67" s="104"/>
      <c r="D67" s="33">
        <f>ROUND(G30/30*36,2)</f>
        <v>3565.09</v>
      </c>
      <c r="E67" s="149">
        <f>1/30</f>
        <v>3.3333333333333333E-2</v>
      </c>
      <c r="F67" s="149">
        <v>0.02</v>
      </c>
      <c r="G67" s="18">
        <f>ROUND(D67*$E$67*$F$67,2)</f>
        <v>2.38</v>
      </c>
    </row>
    <row r="68" spans="1:7" outlineLevel="1" x14ac:dyDescent="0.2">
      <c r="A68" s="4" t="s">
        <v>3</v>
      </c>
      <c r="B68" s="118" t="s">
        <v>77</v>
      </c>
      <c r="C68" s="107"/>
      <c r="D68" s="33">
        <f>ROUND(D67/12,2)</f>
        <v>297.08999999999997</v>
      </c>
      <c r="E68" s="139"/>
      <c r="F68" s="139"/>
      <c r="G68" s="18">
        <f>ROUND(D68*$E$67*$F$67,2)</f>
        <v>0.2</v>
      </c>
    </row>
    <row r="69" spans="1:7" outlineLevel="1" x14ac:dyDescent="0.2">
      <c r="A69" s="4" t="s">
        <v>5</v>
      </c>
      <c r="B69" s="118" t="s">
        <v>78</v>
      </c>
      <c r="C69" s="107"/>
      <c r="D69" s="33">
        <f>ROUND(D67/12+D67/12/3,2)</f>
        <v>396.12</v>
      </c>
      <c r="E69" s="139"/>
      <c r="F69" s="139"/>
      <c r="G69" s="18">
        <f>ROUND(D69*$E$67*$F$67,2)</f>
        <v>0.26</v>
      </c>
    </row>
    <row r="70" spans="1:7" ht="30" outlineLevel="1" x14ac:dyDescent="0.2">
      <c r="A70" s="4" t="s">
        <v>7</v>
      </c>
      <c r="B70" s="5" t="s">
        <v>79</v>
      </c>
      <c r="C70" s="13">
        <f>F49</f>
        <v>0.08</v>
      </c>
      <c r="D70" s="33">
        <f>SUM(D67:D68)</f>
        <v>3862.1800000000003</v>
      </c>
      <c r="E70" s="139"/>
      <c r="F70" s="150"/>
      <c r="G70" s="18">
        <f>ROUND(D70*$E$67*$F$67*C70,2)</f>
        <v>0.21</v>
      </c>
    </row>
    <row r="71" spans="1:7" outlineLevel="1" x14ac:dyDescent="0.2">
      <c r="A71" s="4" t="s">
        <v>10</v>
      </c>
      <c r="B71" s="118" t="s">
        <v>80</v>
      </c>
      <c r="C71" s="107"/>
      <c r="D71" s="151">
        <f>ROUND(G30/30*7,2)</f>
        <v>693.21</v>
      </c>
      <c r="E71" s="139"/>
      <c r="F71" s="152">
        <v>0.05</v>
      </c>
      <c r="G71" s="18">
        <f>ROUND($D$71*$E$67*$F$71,2)</f>
        <v>1.1599999999999999</v>
      </c>
    </row>
    <row r="72" spans="1:7" outlineLevel="1" x14ac:dyDescent="0.2">
      <c r="A72" s="4" t="s">
        <v>30</v>
      </c>
      <c r="B72" s="5" t="s">
        <v>81</v>
      </c>
      <c r="C72" s="13">
        <f>F49</f>
        <v>0.08</v>
      </c>
      <c r="D72" s="139"/>
      <c r="E72" s="139"/>
      <c r="F72" s="139"/>
      <c r="G72" s="18">
        <f t="shared" ref="G72:G73" si="4">ROUND($D$71*$E$67*$F$71*C72,2)</f>
        <v>0.09</v>
      </c>
    </row>
    <row r="73" spans="1:7" ht="30" outlineLevel="1" x14ac:dyDescent="0.2">
      <c r="A73" s="4" t="s">
        <v>55</v>
      </c>
      <c r="B73" s="5" t="s">
        <v>82</v>
      </c>
      <c r="C73" s="34">
        <f>F50-F49</f>
        <v>0.28800000000000003</v>
      </c>
      <c r="D73" s="150"/>
      <c r="E73" s="150"/>
      <c r="F73" s="150"/>
      <c r="G73" s="18">
        <f t="shared" si="4"/>
        <v>0.33</v>
      </c>
    </row>
    <row r="74" spans="1:7" outlineLevel="1" x14ac:dyDescent="0.2">
      <c r="A74" s="4" t="s">
        <v>57</v>
      </c>
      <c r="B74" s="35" t="s">
        <v>83</v>
      </c>
      <c r="C74" s="36">
        <v>0.4</v>
      </c>
      <c r="D74" s="33">
        <f>G49+G70+G72</f>
        <v>284.18999999999994</v>
      </c>
      <c r="E74" s="37" t="s">
        <v>84</v>
      </c>
      <c r="F74" s="13">
        <f>F67+F71</f>
        <v>7.0000000000000007E-2</v>
      </c>
      <c r="G74" s="18">
        <f>ROUND(D74*$F$74*C74,2)</f>
        <v>7.96</v>
      </c>
    </row>
    <row r="75" spans="1:7" x14ac:dyDescent="0.2">
      <c r="A75" s="92" t="s">
        <v>32</v>
      </c>
      <c r="B75" s="93"/>
      <c r="C75" s="93"/>
      <c r="D75" s="93"/>
      <c r="E75" s="93"/>
      <c r="F75" s="93"/>
      <c r="G75" s="16">
        <f>SUM(G67:G74)</f>
        <v>12.59</v>
      </c>
    </row>
    <row r="76" spans="1:7" x14ac:dyDescent="0.2">
      <c r="A76" s="95"/>
      <c r="B76" s="96"/>
      <c r="C76" s="96"/>
      <c r="D76" s="96"/>
      <c r="E76" s="96"/>
      <c r="F76" s="96"/>
      <c r="G76" s="96"/>
    </row>
    <row r="77" spans="1:7" ht="12.75" x14ac:dyDescent="0.2">
      <c r="A77" s="97" t="s">
        <v>85</v>
      </c>
      <c r="B77" s="98"/>
      <c r="C77" s="98"/>
      <c r="D77" s="98"/>
      <c r="E77" s="98"/>
      <c r="F77" s="98"/>
      <c r="G77" s="99"/>
    </row>
    <row r="78" spans="1:7" ht="12.75" x14ac:dyDescent="0.2">
      <c r="A78" s="116" t="s">
        <v>86</v>
      </c>
      <c r="B78" s="101"/>
      <c r="C78" s="101"/>
      <c r="D78" s="101"/>
      <c r="E78" s="101"/>
      <c r="F78" s="101"/>
      <c r="G78" s="136"/>
    </row>
    <row r="79" spans="1:7" outlineLevel="1" x14ac:dyDescent="0.2">
      <c r="A79" s="68">
        <v>43469</v>
      </c>
      <c r="B79" s="126" t="s">
        <v>87</v>
      </c>
      <c r="C79" s="101"/>
      <c r="D79" s="60" t="s">
        <v>37</v>
      </c>
      <c r="E79" s="60" t="s">
        <v>126</v>
      </c>
      <c r="F79" s="60" t="s">
        <v>38</v>
      </c>
      <c r="G79" s="61" t="s">
        <v>39</v>
      </c>
    </row>
    <row r="80" spans="1:7" outlineLevel="1" x14ac:dyDescent="0.2">
      <c r="A80" s="9" t="s">
        <v>1</v>
      </c>
      <c r="B80" s="127" t="s">
        <v>88</v>
      </c>
      <c r="C80" s="104"/>
      <c r="D80" s="38">
        <f>G38+(G38*F50)+G55+G75</f>
        <v>802.86992000000009</v>
      </c>
      <c r="E80" s="39">
        <v>0</v>
      </c>
      <c r="F80" s="17">
        <f>1/12</f>
        <v>8.3333333333333329E-2</v>
      </c>
      <c r="G80" s="40">
        <f>ROUND(D80*F80,2)</f>
        <v>66.91</v>
      </c>
    </row>
    <row r="81" spans="1:7" outlineLevel="1" x14ac:dyDescent="0.2">
      <c r="A81" s="4" t="s">
        <v>3</v>
      </c>
      <c r="B81" s="137" t="s">
        <v>89</v>
      </c>
      <c r="C81" s="107"/>
      <c r="D81" s="138">
        <f>G30+G38+G50+(G56-G53-G54)+G75</f>
        <v>4867.09</v>
      </c>
      <c r="E81" s="41">
        <v>8.3000000000000001E-3</v>
      </c>
      <c r="F81" s="37" t="s">
        <v>84</v>
      </c>
      <c r="G81" s="42">
        <f>ROUND($D$81*E81,2)</f>
        <v>40.4</v>
      </c>
    </row>
    <row r="82" spans="1:7" outlineLevel="1" x14ac:dyDescent="0.2">
      <c r="A82" s="4" t="s">
        <v>5</v>
      </c>
      <c r="B82" s="137" t="s">
        <v>90</v>
      </c>
      <c r="C82" s="107"/>
      <c r="D82" s="139"/>
      <c r="E82" s="41">
        <v>2.9999999999999997E-4</v>
      </c>
      <c r="F82" s="37" t="s">
        <v>84</v>
      </c>
      <c r="G82" s="42">
        <f>ROUND($D$81*5/250*E82,2)</f>
        <v>0.03</v>
      </c>
    </row>
    <row r="83" spans="1:7" outlineLevel="1" x14ac:dyDescent="0.2">
      <c r="A83" s="4" t="s">
        <v>7</v>
      </c>
      <c r="B83" s="127" t="s">
        <v>91</v>
      </c>
      <c r="C83" s="104"/>
      <c r="D83" s="139"/>
      <c r="E83" s="41">
        <v>1.2999999999999999E-3</v>
      </c>
      <c r="F83" s="37" t="s">
        <v>84</v>
      </c>
      <c r="G83" s="42">
        <f>ROUND($D$81*15/365.25*E83,2)</f>
        <v>0.26</v>
      </c>
    </row>
    <row r="84" spans="1:7" outlineLevel="1" x14ac:dyDescent="0.2">
      <c r="A84" s="4" t="s">
        <v>10</v>
      </c>
      <c r="B84" s="127" t="s">
        <v>92</v>
      </c>
      <c r="C84" s="104"/>
      <c r="D84" s="43">
        <f>ROUND((G36+G37+G49+G56-G53-G54+G75),2)</f>
        <v>626.59</v>
      </c>
      <c r="E84" s="41">
        <v>6.9999999999999999E-4</v>
      </c>
      <c r="F84" s="13">
        <f>120/900</f>
        <v>0.13333333333333333</v>
      </c>
      <c r="G84" s="42">
        <f>ROUND($D$84*E84*F84,2)</f>
        <v>0.06</v>
      </c>
    </row>
    <row r="85" spans="1:7" outlineLevel="1" x14ac:dyDescent="0.2">
      <c r="A85" s="4" t="s">
        <v>30</v>
      </c>
      <c r="B85" s="127" t="s">
        <v>93</v>
      </c>
      <c r="C85" s="104"/>
      <c r="D85" s="35"/>
      <c r="E85" s="44"/>
      <c r="F85" s="13"/>
      <c r="G85" s="42"/>
    </row>
    <row r="86" spans="1:7" x14ac:dyDescent="0.2">
      <c r="A86" s="92" t="s">
        <v>32</v>
      </c>
      <c r="B86" s="93"/>
      <c r="C86" s="93"/>
      <c r="D86" s="93"/>
      <c r="E86" s="93"/>
      <c r="F86" s="94"/>
      <c r="G86" s="16">
        <f>ROUND(SUM(G80:G85),2)</f>
        <v>107.66</v>
      </c>
    </row>
    <row r="87" spans="1:7" x14ac:dyDescent="0.2">
      <c r="A87" s="69" t="s">
        <v>94</v>
      </c>
      <c r="B87" s="142" t="s">
        <v>95</v>
      </c>
      <c r="C87" s="143"/>
      <c r="D87" s="143"/>
      <c r="E87" s="143"/>
      <c r="F87" s="144"/>
      <c r="G87" s="70" t="s">
        <v>39</v>
      </c>
    </row>
    <row r="88" spans="1:7" outlineLevel="1" x14ac:dyDescent="0.2">
      <c r="A88" s="45" t="s">
        <v>96</v>
      </c>
      <c r="B88" s="145" t="s">
        <v>97</v>
      </c>
      <c r="C88" s="93"/>
      <c r="D88" s="93"/>
      <c r="E88" s="93"/>
      <c r="F88" s="94"/>
      <c r="G88" s="46">
        <v>0</v>
      </c>
    </row>
    <row r="89" spans="1:7" x14ac:dyDescent="0.2">
      <c r="A89" s="122" t="s">
        <v>32</v>
      </c>
      <c r="B89" s="93"/>
      <c r="C89" s="93"/>
      <c r="D89" s="93"/>
      <c r="E89" s="93"/>
      <c r="F89" s="94"/>
      <c r="G89" s="47">
        <v>0</v>
      </c>
    </row>
    <row r="90" spans="1:7" x14ac:dyDescent="0.2">
      <c r="A90" s="2"/>
      <c r="B90" s="1"/>
      <c r="C90" s="1"/>
      <c r="D90" s="1"/>
      <c r="E90" s="1"/>
      <c r="F90" s="1"/>
      <c r="G90" s="1"/>
    </row>
    <row r="91" spans="1:7" ht="12.75" x14ac:dyDescent="0.2">
      <c r="A91" s="146" t="s">
        <v>98</v>
      </c>
      <c r="B91" s="147"/>
      <c r="C91" s="147"/>
      <c r="D91" s="147"/>
      <c r="E91" s="147"/>
      <c r="F91" s="147"/>
      <c r="G91" s="148"/>
    </row>
    <row r="92" spans="1:7" x14ac:dyDescent="0.2">
      <c r="A92" s="62">
        <v>4</v>
      </c>
      <c r="B92" s="126" t="s">
        <v>99</v>
      </c>
      <c r="C92" s="101"/>
      <c r="D92" s="101"/>
      <c r="E92" s="101"/>
      <c r="F92" s="102"/>
      <c r="G92" s="61" t="s">
        <v>39</v>
      </c>
    </row>
    <row r="93" spans="1:7" outlineLevel="1" x14ac:dyDescent="0.2">
      <c r="A93" s="30" t="s">
        <v>100</v>
      </c>
      <c r="B93" s="127" t="s">
        <v>101</v>
      </c>
      <c r="C93" s="104"/>
      <c r="D93" s="104"/>
      <c r="E93" s="104"/>
      <c r="F93" s="105"/>
      <c r="G93" s="18">
        <f>G86</f>
        <v>107.66</v>
      </c>
    </row>
    <row r="94" spans="1:7" outlineLevel="1" x14ac:dyDescent="0.2">
      <c r="A94" s="32" t="s">
        <v>94</v>
      </c>
      <c r="B94" s="128" t="s">
        <v>102</v>
      </c>
      <c r="C94" s="129"/>
      <c r="D94" s="129"/>
      <c r="E94" s="129"/>
      <c r="F94" s="130"/>
      <c r="G94" s="24">
        <f>G89</f>
        <v>0</v>
      </c>
    </row>
    <row r="95" spans="1:7" x14ac:dyDescent="0.2">
      <c r="A95" s="92" t="s">
        <v>32</v>
      </c>
      <c r="B95" s="93"/>
      <c r="C95" s="93"/>
      <c r="D95" s="93"/>
      <c r="E95" s="93"/>
      <c r="F95" s="94"/>
      <c r="G95" s="16">
        <f>ROUND(SUM(G93:G94),2)</f>
        <v>107.66</v>
      </c>
    </row>
    <row r="96" spans="1:7" x14ac:dyDescent="0.2">
      <c r="A96" s="131"/>
      <c r="B96" s="93"/>
      <c r="C96" s="93"/>
      <c r="D96" s="93"/>
      <c r="E96" s="93"/>
      <c r="F96" s="93"/>
      <c r="G96" s="93"/>
    </row>
    <row r="97" spans="1:7" ht="12.75" x14ac:dyDescent="0.2">
      <c r="A97" s="97" t="s">
        <v>103</v>
      </c>
      <c r="B97" s="98"/>
      <c r="C97" s="98"/>
      <c r="D97" s="98"/>
      <c r="E97" s="98"/>
      <c r="F97" s="98"/>
      <c r="G97" s="99"/>
    </row>
    <row r="98" spans="1:7" ht="30" outlineLevel="1" x14ac:dyDescent="0.2">
      <c r="A98" s="62">
        <v>5</v>
      </c>
      <c r="B98" s="126" t="s">
        <v>104</v>
      </c>
      <c r="C98" s="101"/>
      <c r="D98" s="101"/>
      <c r="E98" s="101"/>
      <c r="F98" s="102"/>
      <c r="G98" s="74" t="s">
        <v>105</v>
      </c>
    </row>
    <row r="99" spans="1:7" outlineLevel="1" x14ac:dyDescent="0.2">
      <c r="A99" s="9" t="s">
        <v>1</v>
      </c>
      <c r="B99" s="117" t="s">
        <v>137</v>
      </c>
      <c r="C99" s="104"/>
      <c r="D99" s="104"/>
      <c r="E99" s="104"/>
      <c r="F99" s="105"/>
      <c r="G99" s="40">
        <f>450/2</f>
        <v>225</v>
      </c>
    </row>
    <row r="100" spans="1:7" outlineLevel="1" x14ac:dyDescent="0.2">
      <c r="A100" s="4" t="s">
        <v>3</v>
      </c>
      <c r="B100" s="118" t="s">
        <v>133</v>
      </c>
      <c r="C100" s="107"/>
      <c r="D100" s="107"/>
      <c r="E100" s="107"/>
      <c r="F100" s="108"/>
      <c r="G100" s="40">
        <f>250/2</f>
        <v>125</v>
      </c>
    </row>
    <row r="101" spans="1:7" outlineLevel="1" x14ac:dyDescent="0.2">
      <c r="A101" s="4" t="s">
        <v>5</v>
      </c>
      <c r="B101" s="118" t="s">
        <v>134</v>
      </c>
      <c r="C101" s="140"/>
      <c r="D101" s="140"/>
      <c r="E101" s="140"/>
      <c r="F101" s="141"/>
      <c r="G101" s="19">
        <v>175</v>
      </c>
    </row>
    <row r="102" spans="1:7" outlineLevel="1" x14ac:dyDescent="0.2">
      <c r="A102" s="4" t="s">
        <v>7</v>
      </c>
      <c r="B102" s="118" t="s">
        <v>135</v>
      </c>
      <c r="C102" s="140"/>
      <c r="D102" s="140"/>
      <c r="E102" s="140"/>
      <c r="F102" s="141"/>
      <c r="G102" s="19">
        <v>80</v>
      </c>
    </row>
    <row r="103" spans="1:7" outlineLevel="1" x14ac:dyDescent="0.2">
      <c r="A103" s="4" t="s">
        <v>10</v>
      </c>
      <c r="B103" s="118" t="s">
        <v>136</v>
      </c>
      <c r="C103" s="140"/>
      <c r="D103" s="140"/>
      <c r="E103" s="140"/>
      <c r="F103" s="141"/>
      <c r="G103" s="42">
        <v>20</v>
      </c>
    </row>
    <row r="104" spans="1:7" ht="15.75" outlineLevel="1" thickBot="1" x14ac:dyDescent="0.25">
      <c r="A104" s="4" t="s">
        <v>30</v>
      </c>
      <c r="B104" s="118" t="s">
        <v>31</v>
      </c>
      <c r="C104" s="107"/>
      <c r="D104" s="107"/>
      <c r="E104" s="107"/>
      <c r="F104" s="108"/>
      <c r="G104" s="48">
        <v>0</v>
      </c>
    </row>
    <row r="105" spans="1:7" x14ac:dyDescent="0.2">
      <c r="A105" s="92" t="s">
        <v>32</v>
      </c>
      <c r="B105" s="93"/>
      <c r="C105" s="93"/>
      <c r="D105" s="93"/>
      <c r="E105" s="93"/>
      <c r="F105" s="94"/>
      <c r="G105" s="16">
        <f>ROUND(SUM(G99:G104),2)</f>
        <v>625</v>
      </c>
    </row>
    <row r="106" spans="1:7" x14ac:dyDescent="0.2">
      <c r="A106" s="95"/>
      <c r="B106" s="96"/>
      <c r="C106" s="96"/>
      <c r="D106" s="96"/>
      <c r="E106" s="96"/>
      <c r="F106" s="96"/>
      <c r="G106" s="96"/>
    </row>
    <row r="107" spans="1:7" ht="12.75" x14ac:dyDescent="0.2">
      <c r="A107" s="97" t="s">
        <v>106</v>
      </c>
      <c r="B107" s="98"/>
      <c r="C107" s="98"/>
      <c r="D107" s="98"/>
      <c r="E107" s="98"/>
      <c r="F107" s="98"/>
      <c r="G107" s="99"/>
    </row>
    <row r="108" spans="1:7" outlineLevel="1" x14ac:dyDescent="0.2">
      <c r="A108" s="71">
        <v>6</v>
      </c>
      <c r="B108" s="100" t="s">
        <v>107</v>
      </c>
      <c r="C108" s="101"/>
      <c r="D108" s="102"/>
      <c r="E108" s="72" t="s">
        <v>37</v>
      </c>
      <c r="F108" s="72" t="s">
        <v>46</v>
      </c>
      <c r="G108" s="73" t="s">
        <v>39</v>
      </c>
    </row>
    <row r="109" spans="1:7" outlineLevel="1" x14ac:dyDescent="0.2">
      <c r="A109" s="49" t="s">
        <v>1</v>
      </c>
      <c r="B109" s="103" t="s">
        <v>108</v>
      </c>
      <c r="C109" s="104"/>
      <c r="D109" s="105"/>
      <c r="E109" s="50">
        <f>G30+G63+G75+G95+G105</f>
        <v>5793.67</v>
      </c>
      <c r="F109" s="17">
        <v>0.05</v>
      </c>
      <c r="G109" s="51">
        <f t="shared" ref="G109:G110" si="5">ROUND(E109*F109,2)</f>
        <v>289.68</v>
      </c>
    </row>
    <row r="110" spans="1:7" outlineLevel="1" x14ac:dyDescent="0.2">
      <c r="A110" s="52" t="s">
        <v>3</v>
      </c>
      <c r="B110" s="106" t="s">
        <v>109</v>
      </c>
      <c r="C110" s="107"/>
      <c r="D110" s="108"/>
      <c r="E110" s="53">
        <f>E109+G109</f>
        <v>6083.35</v>
      </c>
      <c r="F110" s="13">
        <v>0.05</v>
      </c>
      <c r="G110" s="54">
        <f t="shared" si="5"/>
        <v>304.17</v>
      </c>
    </row>
    <row r="111" spans="1:7" outlineLevel="1" x14ac:dyDescent="0.2">
      <c r="A111" s="52" t="s">
        <v>5</v>
      </c>
      <c r="B111" s="106" t="s">
        <v>110</v>
      </c>
      <c r="C111" s="124"/>
      <c r="D111" s="125"/>
      <c r="E111" s="109">
        <f>((E109+G109+G110))</f>
        <v>6387.52</v>
      </c>
      <c r="F111" s="13">
        <v>6.4999999999999997E-3</v>
      </c>
      <c r="G111" s="19">
        <f>ROUND(($E$111*F111)/(100%-$F$115),2)</f>
        <v>44.48</v>
      </c>
    </row>
    <row r="112" spans="1:7" outlineLevel="1" x14ac:dyDescent="0.2">
      <c r="A112" s="52" t="s">
        <v>7</v>
      </c>
      <c r="B112" s="106" t="s">
        <v>111</v>
      </c>
      <c r="C112" s="124"/>
      <c r="D112" s="125"/>
      <c r="E112" s="110"/>
      <c r="F112" s="13">
        <v>0.03</v>
      </c>
      <c r="G112" s="19">
        <f>ROUND(($E$111*F112)/(100%-$F$115),2)</f>
        <v>205.28</v>
      </c>
    </row>
    <row r="113" spans="1:7" outlineLevel="1" x14ac:dyDescent="0.2">
      <c r="A113" s="52" t="s">
        <v>10</v>
      </c>
      <c r="B113" s="106" t="s">
        <v>112</v>
      </c>
      <c r="C113" s="107"/>
      <c r="D113" s="108"/>
      <c r="E113" s="110"/>
      <c r="F113" s="13">
        <v>0.03</v>
      </c>
      <c r="G113" s="19">
        <f>ROUND(($E$111*F113)/(100%-$F$115),2)</f>
        <v>205.28</v>
      </c>
    </row>
    <row r="114" spans="1:7" outlineLevel="1" x14ac:dyDescent="0.2">
      <c r="A114" s="52" t="s">
        <v>30</v>
      </c>
      <c r="B114" s="106" t="s">
        <v>31</v>
      </c>
      <c r="C114" s="107"/>
      <c r="D114" s="108"/>
      <c r="E114" s="110"/>
      <c r="F114" s="13">
        <v>0</v>
      </c>
      <c r="G114" s="19">
        <f>ROUND(($E$111*F114)/(100%-$F$115),2)</f>
        <v>0</v>
      </c>
    </row>
    <row r="115" spans="1:7" outlineLevel="1" x14ac:dyDescent="0.2">
      <c r="A115" s="52" t="s">
        <v>57</v>
      </c>
      <c r="B115" s="106" t="s">
        <v>113</v>
      </c>
      <c r="C115" s="107"/>
      <c r="D115" s="107"/>
      <c r="E115" s="108"/>
      <c r="F115" s="13">
        <f>SUM(F111:F114)</f>
        <v>6.6500000000000004E-2</v>
      </c>
      <c r="G115" s="19">
        <v>0</v>
      </c>
    </row>
    <row r="116" spans="1:7" x14ac:dyDescent="0.2">
      <c r="A116" s="114" t="s">
        <v>32</v>
      </c>
      <c r="B116" s="93"/>
      <c r="C116" s="93"/>
      <c r="D116" s="93"/>
      <c r="E116" s="93"/>
      <c r="F116" s="115"/>
      <c r="G116" s="16">
        <f>SUM(G109:G115)</f>
        <v>1048.8900000000001</v>
      </c>
    </row>
    <row r="117" spans="1:7" x14ac:dyDescent="0.2">
      <c r="A117" s="95"/>
      <c r="B117" s="96"/>
      <c r="C117" s="96"/>
      <c r="D117" s="96"/>
      <c r="E117" s="96"/>
      <c r="F117" s="96"/>
      <c r="G117" s="96"/>
    </row>
    <row r="118" spans="1:7" ht="12.75" x14ac:dyDescent="0.2">
      <c r="A118" s="97" t="s">
        <v>114</v>
      </c>
      <c r="B118" s="98"/>
      <c r="C118" s="98"/>
      <c r="D118" s="98"/>
      <c r="E118" s="98"/>
      <c r="F118" s="98"/>
      <c r="G118" s="99"/>
    </row>
    <row r="119" spans="1:7" x14ac:dyDescent="0.2">
      <c r="A119" s="116" t="s">
        <v>115</v>
      </c>
      <c r="B119" s="101"/>
      <c r="C119" s="101"/>
      <c r="D119" s="101"/>
      <c r="E119" s="101"/>
      <c r="F119" s="102"/>
      <c r="G119" s="61" t="s">
        <v>27</v>
      </c>
    </row>
    <row r="120" spans="1:7" x14ac:dyDescent="0.2">
      <c r="A120" s="30" t="s">
        <v>1</v>
      </c>
      <c r="B120" s="117" t="s">
        <v>116</v>
      </c>
      <c r="C120" s="104"/>
      <c r="D120" s="104"/>
      <c r="E120" s="104"/>
      <c r="F120" s="105"/>
      <c r="G120" s="18">
        <f>G30</f>
        <v>2970.91</v>
      </c>
    </row>
    <row r="121" spans="1:7" x14ac:dyDescent="0.2">
      <c r="A121" s="31" t="s">
        <v>3</v>
      </c>
      <c r="B121" s="118" t="s">
        <v>117</v>
      </c>
      <c r="C121" s="107"/>
      <c r="D121" s="107"/>
      <c r="E121" s="107"/>
      <c r="F121" s="108"/>
      <c r="G121" s="19">
        <f>G63</f>
        <v>2077.5100000000002</v>
      </c>
    </row>
    <row r="122" spans="1:7" x14ac:dyDescent="0.2">
      <c r="A122" s="31" t="s">
        <v>5</v>
      </c>
      <c r="B122" s="118" t="s">
        <v>118</v>
      </c>
      <c r="C122" s="107"/>
      <c r="D122" s="107"/>
      <c r="E122" s="107"/>
      <c r="F122" s="108"/>
      <c r="G122" s="19">
        <f>G75</f>
        <v>12.59</v>
      </c>
    </row>
    <row r="123" spans="1:7" x14ac:dyDescent="0.2">
      <c r="A123" s="31" t="s">
        <v>7</v>
      </c>
      <c r="B123" s="118" t="s">
        <v>119</v>
      </c>
      <c r="C123" s="107"/>
      <c r="D123" s="107"/>
      <c r="E123" s="107"/>
      <c r="F123" s="108"/>
      <c r="G123" s="19">
        <f>G95</f>
        <v>107.66</v>
      </c>
    </row>
    <row r="124" spans="1:7" x14ac:dyDescent="0.2">
      <c r="A124" s="55" t="s">
        <v>10</v>
      </c>
      <c r="B124" s="119" t="s">
        <v>120</v>
      </c>
      <c r="C124" s="120"/>
      <c r="D124" s="120"/>
      <c r="E124" s="120"/>
      <c r="F124" s="121"/>
      <c r="G124" s="56">
        <f>G105</f>
        <v>625</v>
      </c>
    </row>
    <row r="125" spans="1:7" x14ac:dyDescent="0.2">
      <c r="A125" s="122" t="s">
        <v>121</v>
      </c>
      <c r="B125" s="93"/>
      <c r="C125" s="93"/>
      <c r="D125" s="93"/>
      <c r="E125" s="93"/>
      <c r="F125" s="94"/>
      <c r="G125" s="57">
        <f>ROUND(SUM(G120:G124),2)</f>
        <v>5793.67</v>
      </c>
    </row>
    <row r="126" spans="1:7" ht="15.75" thickBot="1" x14ac:dyDescent="0.25">
      <c r="A126" s="58" t="s">
        <v>30</v>
      </c>
      <c r="B126" s="123" t="s">
        <v>122</v>
      </c>
      <c r="C126" s="93"/>
      <c r="D126" s="93"/>
      <c r="E126" s="93"/>
      <c r="F126" s="94"/>
      <c r="G126" s="59">
        <f>G116</f>
        <v>1048.8900000000001</v>
      </c>
    </row>
    <row r="127" spans="1:7" ht="15.75" thickBot="1" x14ac:dyDescent="0.25">
      <c r="A127" s="83" t="s">
        <v>55</v>
      </c>
      <c r="B127" s="111" t="s">
        <v>123</v>
      </c>
      <c r="C127" s="112"/>
      <c r="D127" s="112"/>
      <c r="E127" s="112"/>
      <c r="F127" s="113"/>
      <c r="G127" s="84">
        <f>G125+G126</f>
        <v>6842.56</v>
      </c>
    </row>
    <row r="128" spans="1:7" ht="13.5" thickBot="1" x14ac:dyDescent="0.25">
      <c r="A128" s="86" t="s">
        <v>57</v>
      </c>
      <c r="B128" s="89" t="s">
        <v>127</v>
      </c>
      <c r="C128" s="90"/>
      <c r="D128" s="90"/>
      <c r="E128" s="90"/>
      <c r="F128" s="91"/>
      <c r="G128" s="85">
        <f>G127/210</f>
        <v>32.583619047619052</v>
      </c>
    </row>
  </sheetData>
  <mergeCells count="140">
    <mergeCell ref="B7:E7"/>
    <mergeCell ref="F7:G7"/>
    <mergeCell ref="B8:E8"/>
    <mergeCell ref="F8:G8"/>
    <mergeCell ref="A9:G9"/>
    <mergeCell ref="B29:F29"/>
    <mergeCell ref="A30:F30"/>
    <mergeCell ref="A31:G31"/>
    <mergeCell ref="A10:G10"/>
    <mergeCell ref="A11:E11"/>
    <mergeCell ref="A12:E12"/>
    <mergeCell ref="A13:G13"/>
    <mergeCell ref="A14:G14"/>
    <mergeCell ref="A15:G15"/>
    <mergeCell ref="A16:G16"/>
    <mergeCell ref="B17:E17"/>
    <mergeCell ref="F17:G17"/>
    <mergeCell ref="B18:E18"/>
    <mergeCell ref="F18:G18"/>
    <mergeCell ref="B19:E19"/>
    <mergeCell ref="F19:G19"/>
    <mergeCell ref="B20:E20"/>
    <mergeCell ref="F20:G20"/>
    <mergeCell ref="F21:G21"/>
    <mergeCell ref="A1:G1"/>
    <mergeCell ref="A2:G2"/>
    <mergeCell ref="A3:G3"/>
    <mergeCell ref="B4:E4"/>
    <mergeCell ref="F4:G4"/>
    <mergeCell ref="B5:E5"/>
    <mergeCell ref="F5:G5"/>
    <mergeCell ref="B6:E6"/>
    <mergeCell ref="F6:G6"/>
    <mergeCell ref="B21:E21"/>
    <mergeCell ref="A22:G22"/>
    <mergeCell ref="A23:G23"/>
    <mergeCell ref="B24:F24"/>
    <mergeCell ref="B25:F25"/>
    <mergeCell ref="B27:D27"/>
    <mergeCell ref="B28:F28"/>
    <mergeCell ref="B45:D45"/>
    <mergeCell ref="A42:A43"/>
    <mergeCell ref="G42:G43"/>
    <mergeCell ref="B41:D41"/>
    <mergeCell ref="A32:G32"/>
    <mergeCell ref="A33:G33"/>
    <mergeCell ref="B34:D34"/>
    <mergeCell ref="B35:D35"/>
    <mergeCell ref="B36:D36"/>
    <mergeCell ref="B37:D37"/>
    <mergeCell ref="A38:F38"/>
    <mergeCell ref="A39:G39"/>
    <mergeCell ref="B40:D40"/>
    <mergeCell ref="B46:D46"/>
    <mergeCell ref="E67:E73"/>
    <mergeCell ref="F67:F70"/>
    <mergeCell ref="D71:D73"/>
    <mergeCell ref="F71:F73"/>
    <mergeCell ref="B47:D47"/>
    <mergeCell ref="B48:D48"/>
    <mergeCell ref="E35:E37"/>
    <mergeCell ref="E41:E49"/>
    <mergeCell ref="B42:B43"/>
    <mergeCell ref="F42:F43"/>
    <mergeCell ref="B44:D44"/>
    <mergeCell ref="B49:D49"/>
    <mergeCell ref="A50:E50"/>
    <mergeCell ref="A51:G51"/>
    <mergeCell ref="B52:C52"/>
    <mergeCell ref="B53:C53"/>
    <mergeCell ref="B55:F55"/>
    <mergeCell ref="A56:F56"/>
    <mergeCell ref="A58:G58"/>
    <mergeCell ref="B54:C54"/>
    <mergeCell ref="B112:D112"/>
    <mergeCell ref="A75:F75"/>
    <mergeCell ref="A76:G76"/>
    <mergeCell ref="A77:G77"/>
    <mergeCell ref="A78:G78"/>
    <mergeCell ref="B79:C79"/>
    <mergeCell ref="B80:C80"/>
    <mergeCell ref="B81:C81"/>
    <mergeCell ref="D81:D83"/>
    <mergeCell ref="B82:C82"/>
    <mergeCell ref="B83:C83"/>
    <mergeCell ref="B101:F101"/>
    <mergeCell ref="B99:F99"/>
    <mergeCell ref="B100:F100"/>
    <mergeCell ref="B103:F103"/>
    <mergeCell ref="B102:F102"/>
    <mergeCell ref="B104:F104"/>
    <mergeCell ref="B84:C84"/>
    <mergeCell ref="B85:C85"/>
    <mergeCell ref="A86:F86"/>
    <mergeCell ref="B87:F87"/>
    <mergeCell ref="B88:F88"/>
    <mergeCell ref="A89:F89"/>
    <mergeCell ref="A91:G91"/>
    <mergeCell ref="B92:F92"/>
    <mergeCell ref="B93:F93"/>
    <mergeCell ref="B94:F94"/>
    <mergeCell ref="A95:F95"/>
    <mergeCell ref="A96:G96"/>
    <mergeCell ref="A97:G97"/>
    <mergeCell ref="B98:F98"/>
    <mergeCell ref="B59:F59"/>
    <mergeCell ref="B68:C68"/>
    <mergeCell ref="B69:C69"/>
    <mergeCell ref="B71:C71"/>
    <mergeCell ref="B60:F60"/>
    <mergeCell ref="B61:F61"/>
    <mergeCell ref="B62:F62"/>
    <mergeCell ref="A63:F63"/>
    <mergeCell ref="A64:G64"/>
    <mergeCell ref="A65:G65"/>
    <mergeCell ref="B67:C67"/>
    <mergeCell ref="B128:F128"/>
    <mergeCell ref="A105:F105"/>
    <mergeCell ref="A106:G106"/>
    <mergeCell ref="A107:G107"/>
    <mergeCell ref="B108:D108"/>
    <mergeCell ref="B109:D109"/>
    <mergeCell ref="B110:D110"/>
    <mergeCell ref="E111:E114"/>
    <mergeCell ref="B113:D113"/>
    <mergeCell ref="B127:F127"/>
    <mergeCell ref="B115:E115"/>
    <mergeCell ref="A116:F116"/>
    <mergeCell ref="A117:G117"/>
    <mergeCell ref="A118:G118"/>
    <mergeCell ref="A119:F119"/>
    <mergeCell ref="B120:F120"/>
    <mergeCell ref="B121:F121"/>
    <mergeCell ref="B122:F122"/>
    <mergeCell ref="B123:F123"/>
    <mergeCell ref="B124:F124"/>
    <mergeCell ref="A125:F125"/>
    <mergeCell ref="B126:F126"/>
    <mergeCell ref="B114:D114"/>
    <mergeCell ref="B111:D111"/>
  </mergeCells>
  <dataValidations count="1">
    <dataValidation type="list" allowBlank="1" sqref="F7" xr:uid="{00000000-0002-0000-0100-000000000000}">
      <formula1>"Lucro Real,Lucro Presumido,Lucro Arbitrado"</formula1>
    </dataValidation>
  </dataValidations>
  <pageMargins left="0.25" right="0.25" top="0.75" bottom="0.75" header="0" footer="0"/>
  <pageSetup paperSize="9" scale="85" fitToHeight="0" orientation="portrait" r:id="rId1"/>
  <rowBreaks count="2" manualBreakCount="2">
    <brk id="56" max="6" man="1"/>
    <brk id="106" max="6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CF52D-79C5-44A9-8B2E-A142A8F70D02}">
  <dimension ref="A1:G128"/>
  <sheetViews>
    <sheetView workbookViewId="0">
      <selection activeCell="F20" sqref="F20:G20"/>
    </sheetView>
  </sheetViews>
  <sheetFormatPr defaultColWidth="14.42578125" defaultRowHeight="12.75" outlineLevelRow="1" x14ac:dyDescent="0.2"/>
  <cols>
    <col min="1" max="1" width="8.7109375" customWidth="1"/>
    <col min="2" max="2" width="39.42578125" customWidth="1"/>
    <col min="3" max="5" width="15.140625" customWidth="1"/>
    <col min="6" max="6" width="19.28515625" bestFit="1" customWidth="1"/>
    <col min="7" max="7" width="17.42578125" bestFit="1" customWidth="1"/>
  </cols>
  <sheetData>
    <row r="1" spans="1:7" ht="15" customHeight="1" outlineLevel="1" thickBot="1" x14ac:dyDescent="0.25">
      <c r="A1" s="166" t="s">
        <v>124</v>
      </c>
      <c r="B1" s="167"/>
      <c r="C1" s="167"/>
      <c r="D1" s="167"/>
      <c r="E1" s="167"/>
      <c r="F1" s="167"/>
      <c r="G1" s="168"/>
    </row>
    <row r="2" spans="1:7" ht="15" customHeight="1" outlineLevel="1" thickBot="1" x14ac:dyDescent="0.25">
      <c r="A2" s="97" t="s">
        <v>145</v>
      </c>
      <c r="B2" s="98"/>
      <c r="C2" s="98"/>
      <c r="D2" s="98"/>
      <c r="E2" s="98"/>
      <c r="F2" s="98"/>
      <c r="G2" s="99"/>
    </row>
    <row r="3" spans="1:7" ht="15" customHeight="1" outlineLevel="1" thickBot="1" x14ac:dyDescent="0.25">
      <c r="A3" s="116" t="s">
        <v>0</v>
      </c>
      <c r="B3" s="101"/>
      <c r="C3" s="101"/>
      <c r="D3" s="101"/>
      <c r="E3" s="101"/>
      <c r="F3" s="101"/>
      <c r="G3" s="136"/>
    </row>
    <row r="4" spans="1:7" ht="15" customHeight="1" outlineLevel="1" x14ac:dyDescent="0.2">
      <c r="A4" s="3" t="s">
        <v>1</v>
      </c>
      <c r="B4" s="169" t="s">
        <v>2</v>
      </c>
      <c r="C4" s="170"/>
      <c r="D4" s="170"/>
      <c r="E4" s="170"/>
      <c r="F4" s="171" t="s">
        <v>141</v>
      </c>
      <c r="G4" s="172"/>
    </row>
    <row r="5" spans="1:7" ht="15" customHeight="1" outlineLevel="1" x14ac:dyDescent="0.2">
      <c r="A5" s="4" t="s">
        <v>3</v>
      </c>
      <c r="B5" s="118" t="s">
        <v>4</v>
      </c>
      <c r="C5" s="107"/>
      <c r="D5" s="107"/>
      <c r="E5" s="107"/>
      <c r="F5" s="173" t="s">
        <v>132</v>
      </c>
      <c r="G5" s="174"/>
    </row>
    <row r="6" spans="1:7" ht="15" customHeight="1" outlineLevel="1" x14ac:dyDescent="0.2">
      <c r="A6" s="4" t="s">
        <v>5</v>
      </c>
      <c r="B6" s="118" t="s">
        <v>6</v>
      </c>
      <c r="C6" s="107"/>
      <c r="D6" s="107"/>
      <c r="E6" s="107"/>
      <c r="F6" s="173" t="s">
        <v>84</v>
      </c>
      <c r="G6" s="174"/>
    </row>
    <row r="7" spans="1:7" ht="15" customHeight="1" outlineLevel="1" x14ac:dyDescent="0.2">
      <c r="A7" s="4" t="s">
        <v>7</v>
      </c>
      <c r="B7" s="118" t="s">
        <v>8</v>
      </c>
      <c r="C7" s="107"/>
      <c r="D7" s="107"/>
      <c r="E7" s="107"/>
      <c r="F7" s="175" t="s">
        <v>9</v>
      </c>
      <c r="G7" s="176"/>
    </row>
    <row r="8" spans="1:7" ht="15" customHeight="1" outlineLevel="1" thickBot="1" x14ac:dyDescent="0.25">
      <c r="A8" s="6" t="s">
        <v>10</v>
      </c>
      <c r="B8" s="119" t="s">
        <v>11</v>
      </c>
      <c r="C8" s="120"/>
      <c r="D8" s="120"/>
      <c r="E8" s="120"/>
      <c r="F8" s="177">
        <v>1</v>
      </c>
      <c r="G8" s="178"/>
    </row>
    <row r="9" spans="1:7" ht="15" customHeight="1" outlineLevel="1" thickBot="1" x14ac:dyDescent="0.25">
      <c r="A9" s="95"/>
      <c r="B9" s="96"/>
      <c r="C9" s="96"/>
      <c r="D9" s="96"/>
      <c r="E9" s="96"/>
      <c r="F9" s="96"/>
      <c r="G9" s="96"/>
    </row>
    <row r="10" spans="1:7" ht="15" customHeight="1" outlineLevel="1" thickBot="1" x14ac:dyDescent="0.25">
      <c r="A10" s="97" t="s">
        <v>12</v>
      </c>
      <c r="B10" s="98"/>
      <c r="C10" s="98"/>
      <c r="D10" s="98"/>
      <c r="E10" s="98"/>
      <c r="F10" s="98"/>
      <c r="G10" s="99"/>
    </row>
    <row r="11" spans="1:7" ht="30.75" outlineLevel="1" thickBot="1" x14ac:dyDescent="0.25">
      <c r="A11" s="116" t="s">
        <v>13</v>
      </c>
      <c r="B11" s="101"/>
      <c r="C11" s="101"/>
      <c r="D11" s="101"/>
      <c r="E11" s="102"/>
      <c r="F11" s="60" t="s">
        <v>14</v>
      </c>
      <c r="G11" s="61" t="s">
        <v>15</v>
      </c>
    </row>
    <row r="12" spans="1:7" ht="30.75" outlineLevel="1" thickBot="1" x14ac:dyDescent="0.25">
      <c r="A12" s="179" t="s">
        <v>147</v>
      </c>
      <c r="B12" s="96"/>
      <c r="C12" s="96"/>
      <c r="D12" s="96"/>
      <c r="E12" s="180"/>
      <c r="F12" s="7" t="s">
        <v>16</v>
      </c>
      <c r="G12" s="8">
        <v>1</v>
      </c>
    </row>
    <row r="13" spans="1:7" ht="15" customHeight="1" thickBot="1" x14ac:dyDescent="0.25">
      <c r="A13" s="181"/>
      <c r="B13" s="93"/>
      <c r="C13" s="93"/>
      <c r="D13" s="93"/>
      <c r="E13" s="93"/>
      <c r="F13" s="93"/>
      <c r="G13" s="93"/>
    </row>
    <row r="14" spans="1:7" ht="15" customHeight="1" thickBot="1" x14ac:dyDescent="0.25">
      <c r="A14" s="97" t="s">
        <v>17</v>
      </c>
      <c r="B14" s="98"/>
      <c r="C14" s="98"/>
      <c r="D14" s="98"/>
      <c r="E14" s="98"/>
      <c r="F14" s="98"/>
      <c r="G14" s="99"/>
    </row>
    <row r="15" spans="1:7" ht="15" customHeight="1" outlineLevel="1" thickBot="1" x14ac:dyDescent="0.25">
      <c r="A15" s="182" t="s">
        <v>18</v>
      </c>
      <c r="B15" s="133"/>
      <c r="C15" s="133"/>
      <c r="D15" s="133"/>
      <c r="E15" s="133"/>
      <c r="F15" s="133"/>
      <c r="G15" s="183"/>
    </row>
    <row r="16" spans="1:7" ht="15" customHeight="1" outlineLevel="1" thickBot="1" x14ac:dyDescent="0.25">
      <c r="A16" s="116" t="s">
        <v>19</v>
      </c>
      <c r="B16" s="101"/>
      <c r="C16" s="101"/>
      <c r="D16" s="101"/>
      <c r="E16" s="101"/>
      <c r="F16" s="101"/>
      <c r="G16" s="136"/>
    </row>
    <row r="17" spans="1:7" ht="15" customHeight="1" outlineLevel="1" x14ac:dyDescent="0.2">
      <c r="A17" s="9">
        <v>1</v>
      </c>
      <c r="B17" s="117" t="s">
        <v>20</v>
      </c>
      <c r="C17" s="104"/>
      <c r="D17" s="104"/>
      <c r="E17" s="104"/>
      <c r="F17" s="173" t="s">
        <v>128</v>
      </c>
      <c r="G17" s="174"/>
    </row>
    <row r="18" spans="1:7" ht="15" customHeight="1" outlineLevel="1" x14ac:dyDescent="0.2">
      <c r="A18" s="4">
        <v>2</v>
      </c>
      <c r="B18" s="118" t="s">
        <v>21</v>
      </c>
      <c r="C18" s="107"/>
      <c r="D18" s="107"/>
      <c r="E18" s="107"/>
      <c r="F18" s="191" t="s">
        <v>148</v>
      </c>
      <c r="G18" s="192"/>
    </row>
    <row r="19" spans="1:7" ht="15" customHeight="1" outlineLevel="1" x14ac:dyDescent="0.2">
      <c r="A19" s="4">
        <v>3</v>
      </c>
      <c r="B19" s="118" t="s">
        <v>22</v>
      </c>
      <c r="C19" s="107"/>
      <c r="D19" s="107"/>
      <c r="E19" s="107"/>
      <c r="F19" s="193">
        <v>4750</v>
      </c>
      <c r="G19" s="174"/>
    </row>
    <row r="20" spans="1:7" ht="15" customHeight="1" outlineLevel="1" x14ac:dyDescent="0.2">
      <c r="A20" s="4">
        <v>4</v>
      </c>
      <c r="B20" s="118" t="s">
        <v>23</v>
      </c>
      <c r="C20" s="107"/>
      <c r="D20" s="107"/>
      <c r="E20" s="107"/>
      <c r="F20" s="173" t="s">
        <v>146</v>
      </c>
      <c r="G20" s="174"/>
    </row>
    <row r="21" spans="1:7" ht="15" customHeight="1" outlineLevel="1" thickBot="1" x14ac:dyDescent="0.25">
      <c r="A21" s="6">
        <v>5</v>
      </c>
      <c r="B21" s="119" t="s">
        <v>24</v>
      </c>
      <c r="C21" s="120"/>
      <c r="D21" s="120"/>
      <c r="E21" s="120"/>
      <c r="F21" s="194">
        <v>46157</v>
      </c>
      <c r="G21" s="178"/>
    </row>
    <row r="22" spans="1:7" ht="15" customHeight="1" thickBot="1" x14ac:dyDescent="0.25">
      <c r="A22" s="95"/>
      <c r="B22" s="96"/>
      <c r="C22" s="96"/>
      <c r="D22" s="96"/>
      <c r="E22" s="96"/>
      <c r="F22" s="96"/>
      <c r="G22" s="96"/>
    </row>
    <row r="23" spans="1:7" ht="13.5" thickBot="1" x14ac:dyDescent="0.25">
      <c r="A23" s="97" t="s">
        <v>25</v>
      </c>
      <c r="B23" s="98"/>
      <c r="C23" s="98"/>
      <c r="D23" s="98"/>
      <c r="E23" s="98"/>
      <c r="F23" s="98"/>
      <c r="G23" s="99"/>
    </row>
    <row r="24" spans="1:7" ht="15.75" thickBot="1" x14ac:dyDescent="0.25">
      <c r="A24" s="62">
        <v>1</v>
      </c>
      <c r="B24" s="126" t="s">
        <v>26</v>
      </c>
      <c r="C24" s="101"/>
      <c r="D24" s="101"/>
      <c r="E24" s="101"/>
      <c r="F24" s="102"/>
      <c r="G24" s="64" t="s">
        <v>27</v>
      </c>
    </row>
    <row r="25" spans="1:7" ht="15" outlineLevel="1" x14ac:dyDescent="0.2">
      <c r="A25" s="9" t="s">
        <v>1</v>
      </c>
      <c r="B25" s="117" t="s">
        <v>142</v>
      </c>
      <c r="C25" s="104"/>
      <c r="D25" s="104"/>
      <c r="E25" s="104"/>
      <c r="F25" s="105"/>
      <c r="G25" s="10">
        <f>F19</f>
        <v>4750</v>
      </c>
    </row>
    <row r="26" spans="1:7" ht="15" outlineLevel="1" x14ac:dyDescent="0.2">
      <c r="A26" s="4" t="s">
        <v>3</v>
      </c>
      <c r="B26" s="118" t="s">
        <v>28</v>
      </c>
      <c r="C26" s="140"/>
      <c r="D26" s="141"/>
      <c r="E26" s="12">
        <f>G25</f>
        <v>4750</v>
      </c>
      <c r="F26" s="13">
        <v>0</v>
      </c>
      <c r="G26" s="10">
        <v>0</v>
      </c>
    </row>
    <row r="27" spans="1:7" ht="15" outlineLevel="1" x14ac:dyDescent="0.2">
      <c r="A27" s="4" t="s">
        <v>5</v>
      </c>
      <c r="B27" s="161" t="s">
        <v>29</v>
      </c>
      <c r="C27" s="107"/>
      <c r="D27" s="108"/>
      <c r="E27" s="12">
        <f>G25</f>
        <v>4750</v>
      </c>
      <c r="F27" s="13">
        <v>0.4</v>
      </c>
      <c r="G27" s="14">
        <f>ROUND(E27*F27,2)</f>
        <v>1900</v>
      </c>
    </row>
    <row r="28" spans="1:7" ht="15" outlineLevel="1" x14ac:dyDescent="0.2">
      <c r="A28" s="4" t="s">
        <v>7</v>
      </c>
      <c r="B28" s="118" t="s">
        <v>138</v>
      </c>
      <c r="C28" s="107"/>
      <c r="D28" s="107"/>
      <c r="E28" s="107"/>
      <c r="F28" s="108"/>
      <c r="G28" s="14">
        <f>SUM(G25+G27)/210*56*0.2</f>
        <v>354.66666666666674</v>
      </c>
    </row>
    <row r="29" spans="1:7" ht="15.75" outlineLevel="1" thickBot="1" x14ac:dyDescent="0.25">
      <c r="A29" s="6" t="s">
        <v>10</v>
      </c>
      <c r="B29" s="119" t="s">
        <v>31</v>
      </c>
      <c r="C29" s="120"/>
      <c r="D29" s="120"/>
      <c r="E29" s="120"/>
      <c r="F29" s="121"/>
      <c r="G29" s="15">
        <v>0</v>
      </c>
    </row>
    <row r="30" spans="1:7" ht="15.75" thickBot="1" x14ac:dyDescent="0.25">
      <c r="A30" s="92" t="s">
        <v>32</v>
      </c>
      <c r="B30" s="93"/>
      <c r="C30" s="93"/>
      <c r="D30" s="93"/>
      <c r="E30" s="93"/>
      <c r="F30" s="94"/>
      <c r="G30" s="16">
        <f>ROUND(SUM(G25:G29),2)</f>
        <v>7004.67</v>
      </c>
    </row>
    <row r="31" spans="1:7" ht="15.75" thickBot="1" x14ac:dyDescent="0.25">
      <c r="A31" s="95"/>
      <c r="B31" s="96"/>
      <c r="C31" s="96"/>
      <c r="D31" s="96"/>
      <c r="E31" s="96"/>
      <c r="F31" s="96"/>
      <c r="G31" s="96"/>
    </row>
    <row r="32" spans="1:7" ht="13.5" thickBot="1" x14ac:dyDescent="0.25">
      <c r="A32" s="97" t="s">
        <v>33</v>
      </c>
      <c r="B32" s="98"/>
      <c r="C32" s="98"/>
      <c r="D32" s="98"/>
      <c r="E32" s="98"/>
      <c r="F32" s="98"/>
      <c r="G32" s="99"/>
    </row>
    <row r="33" spans="1:7" ht="13.5" thickBot="1" x14ac:dyDescent="0.25">
      <c r="A33" s="116" t="s">
        <v>34</v>
      </c>
      <c r="B33" s="101"/>
      <c r="C33" s="101"/>
      <c r="D33" s="101"/>
      <c r="E33" s="101"/>
      <c r="F33" s="101"/>
      <c r="G33" s="136"/>
    </row>
    <row r="34" spans="1:7" ht="15.75" thickBot="1" x14ac:dyDescent="0.25">
      <c r="A34" s="62" t="s">
        <v>35</v>
      </c>
      <c r="B34" s="126" t="s">
        <v>36</v>
      </c>
      <c r="C34" s="101"/>
      <c r="D34" s="101"/>
      <c r="E34" s="60" t="s">
        <v>37</v>
      </c>
      <c r="F34" s="65" t="s">
        <v>38</v>
      </c>
      <c r="G34" s="61" t="s">
        <v>39</v>
      </c>
    </row>
    <row r="35" spans="1:7" ht="15" outlineLevel="1" x14ac:dyDescent="0.2">
      <c r="A35" s="9" t="s">
        <v>1</v>
      </c>
      <c r="B35" s="127" t="s">
        <v>40</v>
      </c>
      <c r="C35" s="104"/>
      <c r="D35" s="105"/>
      <c r="E35" s="153">
        <f>G30</f>
        <v>7004.67</v>
      </c>
      <c r="F35" s="17">
        <f t="shared" ref="F35:F36" si="0">1/12</f>
        <v>8.3333333333333329E-2</v>
      </c>
      <c r="G35" s="18">
        <f t="shared" ref="G35:G37" si="1">ROUND($E$35*F35,2)</f>
        <v>583.72</v>
      </c>
    </row>
    <row r="36" spans="1:7" ht="15" outlineLevel="1" x14ac:dyDescent="0.2">
      <c r="A36" s="4" t="s">
        <v>3</v>
      </c>
      <c r="B36" s="161" t="s">
        <v>41</v>
      </c>
      <c r="C36" s="107"/>
      <c r="D36" s="108"/>
      <c r="E36" s="139"/>
      <c r="F36" s="13">
        <f t="shared" si="0"/>
        <v>8.3333333333333329E-2</v>
      </c>
      <c r="G36" s="19">
        <f t="shared" si="1"/>
        <v>583.72</v>
      </c>
    </row>
    <row r="37" spans="1:7" ht="15.75" outlineLevel="1" thickBot="1" x14ac:dyDescent="0.25">
      <c r="A37" s="20" t="s">
        <v>5</v>
      </c>
      <c r="B37" s="135" t="s">
        <v>42</v>
      </c>
      <c r="C37" s="129"/>
      <c r="D37" s="130"/>
      <c r="E37" s="150"/>
      <c r="F37" s="21">
        <f>1/12/3</f>
        <v>2.7777777777777776E-2</v>
      </c>
      <c r="G37" s="22">
        <f t="shared" si="1"/>
        <v>194.57</v>
      </c>
    </row>
    <row r="38" spans="1:7" ht="15.75" thickBot="1" x14ac:dyDescent="0.25">
      <c r="A38" s="92" t="s">
        <v>32</v>
      </c>
      <c r="B38" s="93"/>
      <c r="C38" s="93"/>
      <c r="D38" s="93"/>
      <c r="E38" s="93"/>
      <c r="F38" s="94"/>
      <c r="G38" s="16">
        <f>ROUND(SUM(G35:G37),2)</f>
        <v>1362.01</v>
      </c>
    </row>
    <row r="39" spans="1:7" ht="13.5" thickBot="1" x14ac:dyDescent="0.25">
      <c r="A39" s="116" t="s">
        <v>43</v>
      </c>
      <c r="B39" s="101"/>
      <c r="C39" s="101"/>
      <c r="D39" s="101"/>
      <c r="E39" s="101"/>
      <c r="F39" s="101"/>
      <c r="G39" s="136"/>
    </row>
    <row r="40" spans="1:7" ht="15.75" thickBot="1" x14ac:dyDescent="0.25">
      <c r="A40" s="62" t="s">
        <v>44</v>
      </c>
      <c r="B40" s="126" t="s">
        <v>45</v>
      </c>
      <c r="C40" s="101"/>
      <c r="D40" s="102"/>
      <c r="E40" s="60" t="s">
        <v>37</v>
      </c>
      <c r="F40" s="60" t="s">
        <v>46</v>
      </c>
      <c r="G40" s="61" t="s">
        <v>39</v>
      </c>
    </row>
    <row r="41" spans="1:7" ht="15" outlineLevel="1" x14ac:dyDescent="0.2">
      <c r="A41" s="9" t="s">
        <v>1</v>
      </c>
      <c r="B41" s="117" t="s">
        <v>47</v>
      </c>
      <c r="C41" s="104"/>
      <c r="D41" s="105"/>
      <c r="E41" s="153">
        <f>G30+G38</f>
        <v>8366.68</v>
      </c>
      <c r="F41" s="17">
        <v>0.2</v>
      </c>
      <c r="G41" s="18">
        <f>ROUND($E$41*F41,2)</f>
        <v>1673.34</v>
      </c>
    </row>
    <row r="42" spans="1:7" outlineLevel="1" x14ac:dyDescent="0.2">
      <c r="A42" s="162" t="s">
        <v>3</v>
      </c>
      <c r="B42" s="154" t="s">
        <v>48</v>
      </c>
      <c r="C42" s="23" t="s">
        <v>49</v>
      </c>
      <c r="D42" s="23" t="s">
        <v>50</v>
      </c>
      <c r="E42" s="139"/>
      <c r="F42" s="155">
        <f>ROUND(C43*D43,6)</f>
        <v>0.03</v>
      </c>
      <c r="G42" s="164">
        <f t="shared" ref="G42" si="2">ROUND($E$41*F42,2)</f>
        <v>251</v>
      </c>
    </row>
    <row r="43" spans="1:7" ht="15" outlineLevel="1" x14ac:dyDescent="0.2">
      <c r="A43" s="163"/>
      <c r="B43" s="150"/>
      <c r="C43" s="25">
        <v>1</v>
      </c>
      <c r="D43" s="26">
        <v>0.03</v>
      </c>
      <c r="E43" s="139"/>
      <c r="F43" s="150"/>
      <c r="G43" s="165"/>
    </row>
    <row r="44" spans="1:7" ht="15" outlineLevel="1" x14ac:dyDescent="0.2">
      <c r="A44" s="4" t="s">
        <v>5</v>
      </c>
      <c r="B44" s="118" t="s">
        <v>51</v>
      </c>
      <c r="C44" s="107"/>
      <c r="D44" s="108"/>
      <c r="E44" s="139"/>
      <c r="F44" s="13">
        <v>2.5000000000000001E-2</v>
      </c>
      <c r="G44" s="19">
        <f t="shared" ref="G44:G49" si="3">ROUND($E$41*F44,2)</f>
        <v>209.17</v>
      </c>
    </row>
    <row r="45" spans="1:7" ht="15" outlineLevel="1" x14ac:dyDescent="0.2">
      <c r="A45" s="4" t="s">
        <v>7</v>
      </c>
      <c r="B45" s="118" t="s">
        <v>52</v>
      </c>
      <c r="C45" s="107"/>
      <c r="D45" s="108"/>
      <c r="E45" s="139"/>
      <c r="F45" s="13">
        <v>1.4999999999999999E-2</v>
      </c>
      <c r="G45" s="19">
        <f t="shared" si="3"/>
        <v>125.5</v>
      </c>
    </row>
    <row r="46" spans="1:7" ht="15" outlineLevel="1" x14ac:dyDescent="0.2">
      <c r="A46" s="4" t="s">
        <v>10</v>
      </c>
      <c r="B46" s="118" t="s">
        <v>53</v>
      </c>
      <c r="C46" s="107"/>
      <c r="D46" s="108"/>
      <c r="E46" s="139"/>
      <c r="F46" s="13">
        <v>0.01</v>
      </c>
      <c r="G46" s="19">
        <f t="shared" si="3"/>
        <v>83.67</v>
      </c>
    </row>
    <row r="47" spans="1:7" ht="15" outlineLevel="1" x14ac:dyDescent="0.2">
      <c r="A47" s="4" t="s">
        <v>30</v>
      </c>
      <c r="B47" s="118" t="s">
        <v>54</v>
      </c>
      <c r="C47" s="107"/>
      <c r="D47" s="108"/>
      <c r="E47" s="139"/>
      <c r="F47" s="13">
        <v>6.0000000000000001E-3</v>
      </c>
      <c r="G47" s="19">
        <f t="shared" si="3"/>
        <v>50.2</v>
      </c>
    </row>
    <row r="48" spans="1:7" ht="15" outlineLevel="1" x14ac:dyDescent="0.2">
      <c r="A48" s="4" t="s">
        <v>55</v>
      </c>
      <c r="B48" s="118" t="s">
        <v>56</v>
      </c>
      <c r="C48" s="107"/>
      <c r="D48" s="108"/>
      <c r="E48" s="139"/>
      <c r="F48" s="13">
        <v>2E-3</v>
      </c>
      <c r="G48" s="19">
        <f t="shared" si="3"/>
        <v>16.73</v>
      </c>
    </row>
    <row r="49" spans="1:7" ht="15.75" outlineLevel="1" thickBot="1" x14ac:dyDescent="0.25">
      <c r="A49" s="20" t="s">
        <v>57</v>
      </c>
      <c r="B49" s="135" t="s">
        <v>58</v>
      </c>
      <c r="C49" s="129"/>
      <c r="D49" s="130"/>
      <c r="E49" s="150"/>
      <c r="F49" s="21">
        <v>0.08</v>
      </c>
      <c r="G49" s="24">
        <f t="shared" si="3"/>
        <v>669.33</v>
      </c>
    </row>
    <row r="50" spans="1:7" ht="15.75" thickBot="1" x14ac:dyDescent="0.25">
      <c r="A50" s="92" t="s">
        <v>32</v>
      </c>
      <c r="B50" s="93"/>
      <c r="C50" s="93"/>
      <c r="D50" s="93"/>
      <c r="E50" s="94"/>
      <c r="F50" s="27">
        <f>SUM(F41:F49)</f>
        <v>0.36800000000000005</v>
      </c>
      <c r="G50" s="16">
        <f>ROUND(SUM(G41:G49),2)</f>
        <v>3078.94</v>
      </c>
    </row>
    <row r="51" spans="1:7" ht="13.5" thickBot="1" x14ac:dyDescent="0.25">
      <c r="A51" s="146" t="s">
        <v>59</v>
      </c>
      <c r="B51" s="147"/>
      <c r="C51" s="147"/>
      <c r="D51" s="147"/>
      <c r="E51" s="147"/>
      <c r="F51" s="147"/>
      <c r="G51" s="148"/>
    </row>
    <row r="52" spans="1:7" ht="27.6" customHeight="1" thickBot="1" x14ac:dyDescent="0.25">
      <c r="A52" s="79" t="s">
        <v>60</v>
      </c>
      <c r="B52" s="156" t="s">
        <v>61</v>
      </c>
      <c r="C52" s="157"/>
      <c r="D52" s="80" t="s">
        <v>62</v>
      </c>
      <c r="E52" s="80" t="s">
        <v>63</v>
      </c>
      <c r="F52" s="81" t="s">
        <v>64</v>
      </c>
      <c r="G52" s="82" t="s">
        <v>65</v>
      </c>
    </row>
    <row r="53" spans="1:7" ht="15" outlineLevel="1" x14ac:dyDescent="0.2">
      <c r="A53" s="77" t="s">
        <v>1</v>
      </c>
      <c r="B53" s="158" t="s">
        <v>125</v>
      </c>
      <c r="C53" s="159"/>
      <c r="D53" s="78">
        <v>16</v>
      </c>
      <c r="E53" s="28">
        <v>5.5</v>
      </c>
      <c r="F53" s="28">
        <f>ROUND(G25*6%,2)</f>
        <v>285</v>
      </c>
      <c r="G53" s="18">
        <v>0</v>
      </c>
    </row>
    <row r="54" spans="1:7" ht="15" outlineLevel="1" x14ac:dyDescent="0.2">
      <c r="A54" s="75" t="s">
        <v>3</v>
      </c>
      <c r="B54" s="160" t="s">
        <v>66</v>
      </c>
      <c r="C54" s="160"/>
      <c r="D54" s="76">
        <v>8</v>
      </c>
      <c r="E54" s="28">
        <v>35</v>
      </c>
      <c r="F54" s="28">
        <f>ROUND(E54*19%,2)</f>
        <v>6.65</v>
      </c>
      <c r="G54" s="19">
        <f>D54*(E54-F54)</f>
        <v>226.8</v>
      </c>
    </row>
    <row r="55" spans="1:7" ht="15.75" outlineLevel="1" thickBot="1" x14ac:dyDescent="0.25">
      <c r="A55" s="20" t="s">
        <v>5</v>
      </c>
      <c r="B55" s="135" t="s">
        <v>31</v>
      </c>
      <c r="C55" s="129"/>
      <c r="D55" s="129"/>
      <c r="E55" s="129"/>
      <c r="F55" s="130"/>
      <c r="G55" s="24">
        <v>0</v>
      </c>
    </row>
    <row r="56" spans="1:7" ht="15.75" thickBot="1" x14ac:dyDescent="0.25">
      <c r="A56" s="92" t="s">
        <v>32</v>
      </c>
      <c r="B56" s="93"/>
      <c r="C56" s="93"/>
      <c r="D56" s="93"/>
      <c r="E56" s="93"/>
      <c r="F56" s="94"/>
      <c r="G56" s="16">
        <f>ROUND(SUM(G53:G55),2)</f>
        <v>226.8</v>
      </c>
    </row>
    <row r="57" spans="1:7" ht="15.75" thickBot="1" x14ac:dyDescent="0.25">
      <c r="A57" s="29"/>
      <c r="B57" s="29"/>
      <c r="C57" s="29"/>
      <c r="D57" s="29"/>
      <c r="E57" s="29"/>
      <c r="F57" s="29"/>
      <c r="G57" s="29"/>
    </row>
    <row r="58" spans="1:7" ht="13.5" thickBot="1" x14ac:dyDescent="0.25">
      <c r="A58" s="116" t="s">
        <v>67</v>
      </c>
      <c r="B58" s="101"/>
      <c r="C58" s="101"/>
      <c r="D58" s="101"/>
      <c r="E58" s="101"/>
      <c r="F58" s="101"/>
      <c r="G58" s="136"/>
    </row>
    <row r="59" spans="1:7" ht="15.75" thickBot="1" x14ac:dyDescent="0.25">
      <c r="A59" s="66">
        <v>2</v>
      </c>
      <c r="B59" s="132" t="s">
        <v>68</v>
      </c>
      <c r="C59" s="133"/>
      <c r="D59" s="133"/>
      <c r="E59" s="133"/>
      <c r="F59" s="134"/>
      <c r="G59" s="67" t="s">
        <v>39</v>
      </c>
    </row>
    <row r="60" spans="1:7" ht="15" outlineLevel="1" x14ac:dyDescent="0.2">
      <c r="A60" s="30" t="s">
        <v>35</v>
      </c>
      <c r="B60" s="117" t="s">
        <v>69</v>
      </c>
      <c r="C60" s="104"/>
      <c r="D60" s="104"/>
      <c r="E60" s="104"/>
      <c r="F60" s="105"/>
      <c r="G60" s="18">
        <f>G38</f>
        <v>1362.01</v>
      </c>
    </row>
    <row r="61" spans="1:7" ht="15" outlineLevel="1" x14ac:dyDescent="0.2">
      <c r="A61" s="31" t="s">
        <v>44</v>
      </c>
      <c r="B61" s="118" t="s">
        <v>70</v>
      </c>
      <c r="C61" s="107"/>
      <c r="D61" s="107"/>
      <c r="E61" s="107"/>
      <c r="F61" s="108"/>
      <c r="G61" s="19">
        <f>G50</f>
        <v>3078.94</v>
      </c>
    </row>
    <row r="62" spans="1:7" ht="15.75" outlineLevel="1" thickBot="1" x14ac:dyDescent="0.25">
      <c r="A62" s="32" t="s">
        <v>60</v>
      </c>
      <c r="B62" s="135" t="s">
        <v>61</v>
      </c>
      <c r="C62" s="129"/>
      <c r="D62" s="129"/>
      <c r="E62" s="129"/>
      <c r="F62" s="130"/>
      <c r="G62" s="24">
        <f>G56</f>
        <v>226.8</v>
      </c>
    </row>
    <row r="63" spans="1:7" ht="15.75" thickBot="1" x14ac:dyDescent="0.25">
      <c r="A63" s="92" t="s">
        <v>32</v>
      </c>
      <c r="B63" s="93"/>
      <c r="C63" s="93"/>
      <c r="D63" s="93"/>
      <c r="E63" s="93"/>
      <c r="F63" s="94"/>
      <c r="G63" s="16">
        <f>ROUND(SUM(G60:G62),2)</f>
        <v>4667.75</v>
      </c>
    </row>
    <row r="64" spans="1:7" ht="15.75" thickBot="1" x14ac:dyDescent="0.25">
      <c r="A64" s="95"/>
      <c r="B64" s="96"/>
      <c r="C64" s="96"/>
      <c r="D64" s="96"/>
      <c r="E64" s="96"/>
      <c r="F64" s="96"/>
      <c r="G64" s="96"/>
    </row>
    <row r="65" spans="1:7" ht="13.5" thickBot="1" x14ac:dyDescent="0.25">
      <c r="A65" s="97" t="s">
        <v>71</v>
      </c>
      <c r="B65" s="98"/>
      <c r="C65" s="98"/>
      <c r="D65" s="98"/>
      <c r="E65" s="98"/>
      <c r="F65" s="98"/>
      <c r="G65" s="99"/>
    </row>
    <row r="66" spans="1:7" ht="30.75" thickBot="1" x14ac:dyDescent="0.25">
      <c r="A66" s="62">
        <v>3</v>
      </c>
      <c r="B66" s="63" t="s">
        <v>72</v>
      </c>
      <c r="C66" s="60" t="s">
        <v>73</v>
      </c>
      <c r="D66" s="60" t="s">
        <v>37</v>
      </c>
      <c r="E66" s="60" t="s">
        <v>74</v>
      </c>
      <c r="F66" s="60" t="s">
        <v>75</v>
      </c>
      <c r="G66" s="61" t="s">
        <v>39</v>
      </c>
    </row>
    <row r="67" spans="1:7" ht="15" outlineLevel="1" x14ac:dyDescent="0.2">
      <c r="A67" s="9" t="s">
        <v>1</v>
      </c>
      <c r="B67" s="117" t="s">
        <v>76</v>
      </c>
      <c r="C67" s="104"/>
      <c r="D67" s="33">
        <f>ROUND(G30/30*36,2)</f>
        <v>8405.6</v>
      </c>
      <c r="E67" s="149">
        <f>1/30</f>
        <v>3.3333333333333333E-2</v>
      </c>
      <c r="F67" s="149">
        <v>0.02</v>
      </c>
      <c r="G67" s="18">
        <f>ROUND(D67*$E$67*$F$67,2)</f>
        <v>5.6</v>
      </c>
    </row>
    <row r="68" spans="1:7" ht="15" outlineLevel="1" x14ac:dyDescent="0.2">
      <c r="A68" s="4" t="s">
        <v>3</v>
      </c>
      <c r="B68" s="118" t="s">
        <v>77</v>
      </c>
      <c r="C68" s="107"/>
      <c r="D68" s="33">
        <f>ROUND(D67/12,2)</f>
        <v>700.47</v>
      </c>
      <c r="E68" s="139"/>
      <c r="F68" s="139"/>
      <c r="G68" s="18">
        <f>ROUND(D68*$E$67*$F$67,2)</f>
        <v>0.47</v>
      </c>
    </row>
    <row r="69" spans="1:7" ht="15" outlineLevel="1" x14ac:dyDescent="0.2">
      <c r="A69" s="4" t="s">
        <v>5</v>
      </c>
      <c r="B69" s="118" t="s">
        <v>78</v>
      </c>
      <c r="C69" s="107"/>
      <c r="D69" s="33">
        <f>ROUND(D67/12+D67/12/3,2)</f>
        <v>933.96</v>
      </c>
      <c r="E69" s="139"/>
      <c r="F69" s="139"/>
      <c r="G69" s="18">
        <f>ROUND(D69*$E$67*$F$67,2)</f>
        <v>0.62</v>
      </c>
    </row>
    <row r="70" spans="1:7" ht="30" outlineLevel="1" x14ac:dyDescent="0.2">
      <c r="A70" s="4" t="s">
        <v>7</v>
      </c>
      <c r="B70" s="5" t="s">
        <v>79</v>
      </c>
      <c r="C70" s="13">
        <f>F49</f>
        <v>0.08</v>
      </c>
      <c r="D70" s="33">
        <f>SUM(D67:D68)</f>
        <v>9106.07</v>
      </c>
      <c r="E70" s="139"/>
      <c r="F70" s="150"/>
      <c r="G70" s="18">
        <f>ROUND(D70*$E$67*$F$67*C70,2)</f>
        <v>0.49</v>
      </c>
    </row>
    <row r="71" spans="1:7" ht="15" outlineLevel="1" x14ac:dyDescent="0.2">
      <c r="A71" s="4" t="s">
        <v>10</v>
      </c>
      <c r="B71" s="118" t="s">
        <v>80</v>
      </c>
      <c r="C71" s="107"/>
      <c r="D71" s="151">
        <f>ROUND(G30/30*7,2)</f>
        <v>1634.42</v>
      </c>
      <c r="E71" s="139"/>
      <c r="F71" s="152">
        <v>0.05</v>
      </c>
      <c r="G71" s="18">
        <f>ROUND($D$71*$E$67*$F$71,2)</f>
        <v>2.72</v>
      </c>
    </row>
    <row r="72" spans="1:7" ht="15" outlineLevel="1" x14ac:dyDescent="0.2">
      <c r="A72" s="4" t="s">
        <v>30</v>
      </c>
      <c r="B72" s="5" t="s">
        <v>81</v>
      </c>
      <c r="C72" s="13">
        <f>F49</f>
        <v>0.08</v>
      </c>
      <c r="D72" s="139"/>
      <c r="E72" s="139"/>
      <c r="F72" s="139"/>
      <c r="G72" s="18">
        <f t="shared" ref="G72:G73" si="4">ROUND($D$71*$E$67*$F$71*C72,2)</f>
        <v>0.22</v>
      </c>
    </row>
    <row r="73" spans="1:7" ht="30" outlineLevel="1" x14ac:dyDescent="0.2">
      <c r="A73" s="4" t="s">
        <v>55</v>
      </c>
      <c r="B73" s="5" t="s">
        <v>82</v>
      </c>
      <c r="C73" s="34">
        <f>F50-F49</f>
        <v>0.28800000000000003</v>
      </c>
      <c r="D73" s="150"/>
      <c r="E73" s="150"/>
      <c r="F73" s="150"/>
      <c r="G73" s="18">
        <f t="shared" si="4"/>
        <v>0.78</v>
      </c>
    </row>
    <row r="74" spans="1:7" ht="15.75" outlineLevel="1" thickBot="1" x14ac:dyDescent="0.25">
      <c r="A74" s="4" t="s">
        <v>57</v>
      </c>
      <c r="B74" s="35" t="s">
        <v>83</v>
      </c>
      <c r="C74" s="36">
        <v>0.4</v>
      </c>
      <c r="D74" s="33">
        <f>G49+G70+G72</f>
        <v>670.04000000000008</v>
      </c>
      <c r="E74" s="37" t="s">
        <v>84</v>
      </c>
      <c r="F74" s="13">
        <f>F67+F71</f>
        <v>7.0000000000000007E-2</v>
      </c>
      <c r="G74" s="18">
        <f>ROUND(D74*$F$74*C74,2)</f>
        <v>18.760000000000002</v>
      </c>
    </row>
    <row r="75" spans="1:7" ht="15.75" thickBot="1" x14ac:dyDescent="0.25">
      <c r="A75" s="92" t="s">
        <v>32</v>
      </c>
      <c r="B75" s="93"/>
      <c r="C75" s="93"/>
      <c r="D75" s="93"/>
      <c r="E75" s="93"/>
      <c r="F75" s="93"/>
      <c r="G75" s="16">
        <f>SUM(G67:G74)</f>
        <v>29.660000000000004</v>
      </c>
    </row>
    <row r="76" spans="1:7" ht="15.75" thickBot="1" x14ac:dyDescent="0.25">
      <c r="A76" s="95"/>
      <c r="B76" s="96"/>
      <c r="C76" s="96"/>
      <c r="D76" s="96"/>
      <c r="E76" s="96"/>
      <c r="F76" s="96"/>
      <c r="G76" s="96"/>
    </row>
    <row r="77" spans="1:7" ht="13.5" thickBot="1" x14ac:dyDescent="0.25">
      <c r="A77" s="97" t="s">
        <v>85</v>
      </c>
      <c r="B77" s="98"/>
      <c r="C77" s="98"/>
      <c r="D77" s="98"/>
      <c r="E77" s="98"/>
      <c r="F77" s="98"/>
      <c r="G77" s="99"/>
    </row>
    <row r="78" spans="1:7" ht="13.5" thickBot="1" x14ac:dyDescent="0.25">
      <c r="A78" s="116" t="s">
        <v>86</v>
      </c>
      <c r="B78" s="101"/>
      <c r="C78" s="101"/>
      <c r="D78" s="101"/>
      <c r="E78" s="101"/>
      <c r="F78" s="101"/>
      <c r="G78" s="136"/>
    </row>
    <row r="79" spans="1:7" ht="15.75" outlineLevel="1" thickBot="1" x14ac:dyDescent="0.25">
      <c r="A79" s="68">
        <v>43469</v>
      </c>
      <c r="B79" s="126" t="s">
        <v>87</v>
      </c>
      <c r="C79" s="101"/>
      <c r="D79" s="60" t="s">
        <v>37</v>
      </c>
      <c r="E79" s="60" t="s">
        <v>126</v>
      </c>
      <c r="F79" s="60" t="s">
        <v>38</v>
      </c>
      <c r="G79" s="61" t="s">
        <v>39</v>
      </c>
    </row>
    <row r="80" spans="1:7" ht="15" outlineLevel="1" x14ac:dyDescent="0.2">
      <c r="A80" s="9" t="s">
        <v>1</v>
      </c>
      <c r="B80" s="127" t="s">
        <v>88</v>
      </c>
      <c r="C80" s="104"/>
      <c r="D80" s="38">
        <f>G38+(G38*F50)+G55+G75</f>
        <v>1892.88968</v>
      </c>
      <c r="E80" s="39">
        <v>0</v>
      </c>
      <c r="F80" s="17">
        <f>1/12</f>
        <v>8.3333333333333329E-2</v>
      </c>
      <c r="G80" s="40">
        <f>ROUND(D80*F80,2)</f>
        <v>157.74</v>
      </c>
    </row>
    <row r="81" spans="1:7" ht="15" outlineLevel="1" x14ac:dyDescent="0.2">
      <c r="A81" s="4" t="s">
        <v>3</v>
      </c>
      <c r="B81" s="137" t="s">
        <v>89</v>
      </c>
      <c r="C81" s="107"/>
      <c r="D81" s="138">
        <f>G30+G38+G50+(G56-G53-G54)+G75</f>
        <v>11475.28</v>
      </c>
      <c r="E81" s="41">
        <v>8.3000000000000001E-3</v>
      </c>
      <c r="F81" s="37" t="s">
        <v>84</v>
      </c>
      <c r="G81" s="42">
        <f>ROUND($D$81*E81,2)</f>
        <v>95.24</v>
      </c>
    </row>
    <row r="82" spans="1:7" ht="15" outlineLevel="1" x14ac:dyDescent="0.2">
      <c r="A82" s="4" t="s">
        <v>5</v>
      </c>
      <c r="B82" s="137" t="s">
        <v>90</v>
      </c>
      <c r="C82" s="107"/>
      <c r="D82" s="139"/>
      <c r="E82" s="41">
        <v>2.9999999999999997E-4</v>
      </c>
      <c r="F82" s="37" t="s">
        <v>84</v>
      </c>
      <c r="G82" s="42">
        <f>ROUND($D$81*5/250*E82,2)</f>
        <v>7.0000000000000007E-2</v>
      </c>
    </row>
    <row r="83" spans="1:7" ht="15" outlineLevel="1" x14ac:dyDescent="0.2">
      <c r="A83" s="4" t="s">
        <v>7</v>
      </c>
      <c r="B83" s="127" t="s">
        <v>91</v>
      </c>
      <c r="C83" s="104"/>
      <c r="D83" s="139"/>
      <c r="E83" s="41">
        <v>1.2999999999999999E-3</v>
      </c>
      <c r="F83" s="37" t="s">
        <v>84</v>
      </c>
      <c r="G83" s="42">
        <f>ROUND($D$81*15/365.25*E83,2)</f>
        <v>0.61</v>
      </c>
    </row>
    <row r="84" spans="1:7" ht="15" outlineLevel="1" x14ac:dyDescent="0.2">
      <c r="A84" s="4" t="s">
        <v>10</v>
      </c>
      <c r="B84" s="127" t="s">
        <v>92</v>
      </c>
      <c r="C84" s="104"/>
      <c r="D84" s="43">
        <f>ROUND((G36+G37+G49+G56-G53-G54+G75),2)</f>
        <v>1477.28</v>
      </c>
      <c r="E84" s="41">
        <v>6.9999999999999999E-4</v>
      </c>
      <c r="F84" s="13">
        <f>120/900</f>
        <v>0.13333333333333333</v>
      </c>
      <c r="G84" s="42">
        <f>ROUND($D$84*E84*F84,2)</f>
        <v>0.14000000000000001</v>
      </c>
    </row>
    <row r="85" spans="1:7" ht="15.75" outlineLevel="1" thickBot="1" x14ac:dyDescent="0.25">
      <c r="A85" s="4" t="s">
        <v>30</v>
      </c>
      <c r="B85" s="127" t="s">
        <v>93</v>
      </c>
      <c r="C85" s="104"/>
      <c r="D85" s="35"/>
      <c r="E85" s="44"/>
      <c r="F85" s="13"/>
      <c r="G85" s="42"/>
    </row>
    <row r="86" spans="1:7" ht="15.75" thickBot="1" x14ac:dyDescent="0.25">
      <c r="A86" s="92" t="s">
        <v>32</v>
      </c>
      <c r="B86" s="93"/>
      <c r="C86" s="93"/>
      <c r="D86" s="93"/>
      <c r="E86" s="93"/>
      <c r="F86" s="94"/>
      <c r="G86" s="16">
        <f>ROUND(SUM(G80:G85),2)</f>
        <v>253.8</v>
      </c>
    </row>
    <row r="87" spans="1:7" ht="15.75" thickBot="1" x14ac:dyDescent="0.25">
      <c r="A87" s="69" t="s">
        <v>94</v>
      </c>
      <c r="B87" s="142" t="s">
        <v>95</v>
      </c>
      <c r="C87" s="143"/>
      <c r="D87" s="143"/>
      <c r="E87" s="143"/>
      <c r="F87" s="144"/>
      <c r="G87" s="70" t="s">
        <v>39</v>
      </c>
    </row>
    <row r="88" spans="1:7" ht="15.75" outlineLevel="1" thickBot="1" x14ac:dyDescent="0.25">
      <c r="A88" s="45" t="s">
        <v>96</v>
      </c>
      <c r="B88" s="145" t="s">
        <v>97</v>
      </c>
      <c r="C88" s="93"/>
      <c r="D88" s="93"/>
      <c r="E88" s="93"/>
      <c r="F88" s="94"/>
      <c r="G88" s="46">
        <v>0</v>
      </c>
    </row>
    <row r="89" spans="1:7" ht="15.75" thickBot="1" x14ac:dyDescent="0.25">
      <c r="A89" s="122" t="s">
        <v>32</v>
      </c>
      <c r="B89" s="93"/>
      <c r="C89" s="93"/>
      <c r="D89" s="93"/>
      <c r="E89" s="93"/>
      <c r="F89" s="94"/>
      <c r="G89" s="47">
        <v>0</v>
      </c>
    </row>
    <row r="90" spans="1:7" ht="15.75" thickBot="1" x14ac:dyDescent="0.25">
      <c r="A90" s="2"/>
      <c r="B90" s="1"/>
      <c r="C90" s="1"/>
      <c r="D90" s="1"/>
      <c r="E90" s="1"/>
      <c r="F90" s="1"/>
      <c r="G90" s="1"/>
    </row>
    <row r="91" spans="1:7" ht="13.5" thickBot="1" x14ac:dyDescent="0.25">
      <c r="A91" s="146" t="s">
        <v>98</v>
      </c>
      <c r="B91" s="147"/>
      <c r="C91" s="147"/>
      <c r="D91" s="147"/>
      <c r="E91" s="147"/>
      <c r="F91" s="147"/>
      <c r="G91" s="148"/>
    </row>
    <row r="92" spans="1:7" ht="15.75" thickBot="1" x14ac:dyDescent="0.25">
      <c r="A92" s="62">
        <v>4</v>
      </c>
      <c r="B92" s="126" t="s">
        <v>99</v>
      </c>
      <c r="C92" s="101"/>
      <c r="D92" s="101"/>
      <c r="E92" s="101"/>
      <c r="F92" s="102"/>
      <c r="G92" s="61" t="s">
        <v>39</v>
      </c>
    </row>
    <row r="93" spans="1:7" ht="15" outlineLevel="1" x14ac:dyDescent="0.2">
      <c r="A93" s="30" t="s">
        <v>100</v>
      </c>
      <c r="B93" s="127" t="s">
        <v>101</v>
      </c>
      <c r="C93" s="104"/>
      <c r="D93" s="104"/>
      <c r="E93" s="104"/>
      <c r="F93" s="105"/>
      <c r="G93" s="18">
        <f>G86</f>
        <v>253.8</v>
      </c>
    </row>
    <row r="94" spans="1:7" ht="15.75" outlineLevel="1" thickBot="1" x14ac:dyDescent="0.25">
      <c r="A94" s="32" t="s">
        <v>94</v>
      </c>
      <c r="B94" s="128" t="s">
        <v>102</v>
      </c>
      <c r="C94" s="129"/>
      <c r="D94" s="129"/>
      <c r="E94" s="129"/>
      <c r="F94" s="130"/>
      <c r="G94" s="24">
        <f>G89</f>
        <v>0</v>
      </c>
    </row>
    <row r="95" spans="1:7" ht="15.75" thickBot="1" x14ac:dyDescent="0.25">
      <c r="A95" s="92" t="s">
        <v>32</v>
      </c>
      <c r="B95" s="93"/>
      <c r="C95" s="93"/>
      <c r="D95" s="93"/>
      <c r="E95" s="93"/>
      <c r="F95" s="94"/>
      <c r="G95" s="16">
        <f>ROUND(SUM(G93:G94),2)</f>
        <v>253.8</v>
      </c>
    </row>
    <row r="96" spans="1:7" ht="15.75" thickBot="1" x14ac:dyDescent="0.25">
      <c r="A96" s="131"/>
      <c r="B96" s="93"/>
      <c r="C96" s="93"/>
      <c r="D96" s="93"/>
      <c r="E96" s="93"/>
      <c r="F96" s="93"/>
      <c r="G96" s="93"/>
    </row>
    <row r="97" spans="1:7" ht="13.5" thickBot="1" x14ac:dyDescent="0.25">
      <c r="A97" s="97" t="s">
        <v>103</v>
      </c>
      <c r="B97" s="98"/>
      <c r="C97" s="98"/>
      <c r="D97" s="98"/>
      <c r="E97" s="98"/>
      <c r="F97" s="98"/>
      <c r="G97" s="99"/>
    </row>
    <row r="98" spans="1:7" ht="30.75" outlineLevel="1" thickBot="1" x14ac:dyDescent="0.25">
      <c r="A98" s="62">
        <v>5</v>
      </c>
      <c r="B98" s="126" t="s">
        <v>104</v>
      </c>
      <c r="C98" s="101"/>
      <c r="D98" s="101"/>
      <c r="E98" s="101"/>
      <c r="F98" s="102"/>
      <c r="G98" s="74" t="s">
        <v>105</v>
      </c>
    </row>
    <row r="99" spans="1:7" ht="15" outlineLevel="1" x14ac:dyDescent="0.2">
      <c r="A99" s="9" t="s">
        <v>1</v>
      </c>
      <c r="B99" s="117" t="s">
        <v>137</v>
      </c>
      <c r="C99" s="104"/>
      <c r="D99" s="104"/>
      <c r="E99" s="104"/>
      <c r="F99" s="105"/>
      <c r="G99" s="40">
        <f>450/2</f>
        <v>225</v>
      </c>
    </row>
    <row r="100" spans="1:7" ht="15" outlineLevel="1" x14ac:dyDescent="0.2">
      <c r="A100" s="4" t="s">
        <v>3</v>
      </c>
      <c r="B100" s="118" t="s">
        <v>133</v>
      </c>
      <c r="C100" s="107"/>
      <c r="D100" s="107"/>
      <c r="E100" s="107"/>
      <c r="F100" s="108"/>
      <c r="G100" s="40">
        <f>250/2</f>
        <v>125</v>
      </c>
    </row>
    <row r="101" spans="1:7" ht="15" outlineLevel="1" x14ac:dyDescent="0.2">
      <c r="A101" s="4" t="s">
        <v>5</v>
      </c>
      <c r="B101" s="118" t="s">
        <v>134</v>
      </c>
      <c r="C101" s="140"/>
      <c r="D101" s="140"/>
      <c r="E101" s="140"/>
      <c r="F101" s="141"/>
      <c r="G101" s="19">
        <v>175</v>
      </c>
    </row>
    <row r="102" spans="1:7" ht="15" outlineLevel="1" x14ac:dyDescent="0.2">
      <c r="A102" s="4" t="s">
        <v>7</v>
      </c>
      <c r="B102" s="118" t="s">
        <v>135</v>
      </c>
      <c r="C102" s="140"/>
      <c r="D102" s="140"/>
      <c r="E102" s="140"/>
      <c r="F102" s="141"/>
      <c r="G102" s="19">
        <v>80</v>
      </c>
    </row>
    <row r="103" spans="1:7" ht="15" outlineLevel="1" x14ac:dyDescent="0.2">
      <c r="A103" s="4" t="s">
        <v>10</v>
      </c>
      <c r="B103" s="118" t="s">
        <v>136</v>
      </c>
      <c r="C103" s="140"/>
      <c r="D103" s="140"/>
      <c r="E103" s="140"/>
      <c r="F103" s="141"/>
      <c r="G103" s="42">
        <v>20</v>
      </c>
    </row>
    <row r="104" spans="1:7" ht="15.75" outlineLevel="1" thickBot="1" x14ac:dyDescent="0.25">
      <c r="A104" s="4" t="s">
        <v>30</v>
      </c>
      <c r="B104" s="118" t="s">
        <v>31</v>
      </c>
      <c r="C104" s="107"/>
      <c r="D104" s="107"/>
      <c r="E104" s="107"/>
      <c r="F104" s="108"/>
      <c r="G104" s="48">
        <v>0</v>
      </c>
    </row>
    <row r="105" spans="1:7" ht="15.75" thickBot="1" x14ac:dyDescent="0.25">
      <c r="A105" s="92" t="s">
        <v>32</v>
      </c>
      <c r="B105" s="93"/>
      <c r="C105" s="93"/>
      <c r="D105" s="93"/>
      <c r="E105" s="93"/>
      <c r="F105" s="94"/>
      <c r="G105" s="16">
        <f>ROUND(SUM(G99:G104),2)</f>
        <v>625</v>
      </c>
    </row>
    <row r="106" spans="1:7" ht="15.75" thickBot="1" x14ac:dyDescent="0.25">
      <c r="A106" s="95"/>
      <c r="B106" s="96"/>
      <c r="C106" s="96"/>
      <c r="D106" s="96"/>
      <c r="E106" s="96"/>
      <c r="F106" s="96"/>
      <c r="G106" s="96"/>
    </row>
    <row r="107" spans="1:7" ht="13.5" thickBot="1" x14ac:dyDescent="0.25">
      <c r="A107" s="97" t="s">
        <v>106</v>
      </c>
      <c r="B107" s="98"/>
      <c r="C107" s="98"/>
      <c r="D107" s="98"/>
      <c r="E107" s="98"/>
      <c r="F107" s="98"/>
      <c r="G107" s="99"/>
    </row>
    <row r="108" spans="1:7" ht="15.75" outlineLevel="1" thickBot="1" x14ac:dyDescent="0.25">
      <c r="A108" s="71">
        <v>6</v>
      </c>
      <c r="B108" s="100" t="s">
        <v>107</v>
      </c>
      <c r="C108" s="101"/>
      <c r="D108" s="102"/>
      <c r="E108" s="72" t="s">
        <v>37</v>
      </c>
      <c r="F108" s="72" t="s">
        <v>46</v>
      </c>
      <c r="G108" s="73" t="s">
        <v>39</v>
      </c>
    </row>
    <row r="109" spans="1:7" ht="15" outlineLevel="1" x14ac:dyDescent="0.2">
      <c r="A109" s="49" t="s">
        <v>1</v>
      </c>
      <c r="B109" s="103" t="s">
        <v>108</v>
      </c>
      <c r="C109" s="104"/>
      <c r="D109" s="105"/>
      <c r="E109" s="50">
        <f>G30+G63+G75+G95+G105</f>
        <v>12580.88</v>
      </c>
      <c r="F109" s="17">
        <v>0.05</v>
      </c>
      <c r="G109" s="51">
        <f t="shared" ref="G109:G110" si="5">ROUND(E109*F109,2)</f>
        <v>629.04</v>
      </c>
    </row>
    <row r="110" spans="1:7" ht="15" outlineLevel="1" x14ac:dyDescent="0.2">
      <c r="A110" s="52" t="s">
        <v>3</v>
      </c>
      <c r="B110" s="106" t="s">
        <v>109</v>
      </c>
      <c r="C110" s="107"/>
      <c r="D110" s="108"/>
      <c r="E110" s="53">
        <f>E109+G109</f>
        <v>13209.919999999998</v>
      </c>
      <c r="F110" s="13">
        <v>0.05</v>
      </c>
      <c r="G110" s="54">
        <f t="shared" si="5"/>
        <v>660.5</v>
      </c>
    </row>
    <row r="111" spans="1:7" ht="15" outlineLevel="1" x14ac:dyDescent="0.2">
      <c r="A111" s="52" t="s">
        <v>5</v>
      </c>
      <c r="B111" s="106" t="s">
        <v>110</v>
      </c>
      <c r="C111" s="124"/>
      <c r="D111" s="125"/>
      <c r="E111" s="109">
        <f>((E109+G109+G110))</f>
        <v>13870.419999999998</v>
      </c>
      <c r="F111" s="13">
        <v>6.4999999999999997E-3</v>
      </c>
      <c r="G111" s="19">
        <f>ROUND(($E$111*F111)/(100%-$F$115),2)</f>
        <v>96.58</v>
      </c>
    </row>
    <row r="112" spans="1:7" ht="15" outlineLevel="1" x14ac:dyDescent="0.2">
      <c r="A112" s="52" t="s">
        <v>7</v>
      </c>
      <c r="B112" s="106" t="s">
        <v>111</v>
      </c>
      <c r="C112" s="124"/>
      <c r="D112" s="125"/>
      <c r="E112" s="110"/>
      <c r="F112" s="13">
        <v>0.03</v>
      </c>
      <c r="G112" s="19">
        <f>ROUND(($E$111*F112)/(100%-$F$115),2)</f>
        <v>445.76</v>
      </c>
    </row>
    <row r="113" spans="1:7" ht="15" outlineLevel="1" x14ac:dyDescent="0.2">
      <c r="A113" s="52" t="s">
        <v>10</v>
      </c>
      <c r="B113" s="106" t="s">
        <v>112</v>
      </c>
      <c r="C113" s="107"/>
      <c r="D113" s="108"/>
      <c r="E113" s="110"/>
      <c r="F113" s="13">
        <v>0.03</v>
      </c>
      <c r="G113" s="19">
        <f>ROUND(($E$111*F113)/(100%-$F$115),2)</f>
        <v>445.76</v>
      </c>
    </row>
    <row r="114" spans="1:7" ht="15" outlineLevel="1" x14ac:dyDescent="0.2">
      <c r="A114" s="52" t="s">
        <v>30</v>
      </c>
      <c r="B114" s="106" t="s">
        <v>31</v>
      </c>
      <c r="C114" s="107"/>
      <c r="D114" s="108"/>
      <c r="E114" s="110"/>
      <c r="F114" s="13">
        <v>0</v>
      </c>
      <c r="G114" s="19">
        <f>ROUND(($E$111*F114)/(100%-$F$115),2)</f>
        <v>0</v>
      </c>
    </row>
    <row r="115" spans="1:7" ht="15.75" outlineLevel="1" thickBot="1" x14ac:dyDescent="0.25">
      <c r="A115" s="52" t="s">
        <v>57</v>
      </c>
      <c r="B115" s="106" t="s">
        <v>113</v>
      </c>
      <c r="C115" s="107"/>
      <c r="D115" s="107"/>
      <c r="E115" s="108"/>
      <c r="F115" s="13">
        <f>SUM(F111:F114)</f>
        <v>6.6500000000000004E-2</v>
      </c>
      <c r="G115" s="19">
        <v>0</v>
      </c>
    </row>
    <row r="116" spans="1:7" ht="15.75" thickBot="1" x14ac:dyDescent="0.25">
      <c r="A116" s="114" t="s">
        <v>32</v>
      </c>
      <c r="B116" s="93"/>
      <c r="C116" s="93"/>
      <c r="D116" s="93"/>
      <c r="E116" s="93"/>
      <c r="F116" s="115"/>
      <c r="G116" s="16">
        <f>SUM(G109:G115)</f>
        <v>2277.64</v>
      </c>
    </row>
    <row r="117" spans="1:7" ht="15.75" thickBot="1" x14ac:dyDescent="0.25">
      <c r="A117" s="95"/>
      <c r="B117" s="96"/>
      <c r="C117" s="96"/>
      <c r="D117" s="96"/>
      <c r="E117" s="96"/>
      <c r="F117" s="96"/>
      <c r="G117" s="96"/>
    </row>
    <row r="118" spans="1:7" ht="13.5" thickBot="1" x14ac:dyDescent="0.25">
      <c r="A118" s="97" t="s">
        <v>114</v>
      </c>
      <c r="B118" s="98"/>
      <c r="C118" s="98"/>
      <c r="D118" s="98"/>
      <c r="E118" s="98"/>
      <c r="F118" s="98"/>
      <c r="G118" s="99"/>
    </row>
    <row r="119" spans="1:7" ht="15.75" thickBot="1" x14ac:dyDescent="0.25">
      <c r="A119" s="116" t="s">
        <v>115</v>
      </c>
      <c r="B119" s="101"/>
      <c r="C119" s="101"/>
      <c r="D119" s="101"/>
      <c r="E119" s="101"/>
      <c r="F119" s="102"/>
      <c r="G119" s="61" t="s">
        <v>27</v>
      </c>
    </row>
    <row r="120" spans="1:7" ht="15" x14ac:dyDescent="0.2">
      <c r="A120" s="30" t="s">
        <v>1</v>
      </c>
      <c r="B120" s="117" t="s">
        <v>116</v>
      </c>
      <c r="C120" s="104"/>
      <c r="D120" s="104"/>
      <c r="E120" s="104"/>
      <c r="F120" s="105"/>
      <c r="G120" s="18">
        <f>G30</f>
        <v>7004.67</v>
      </c>
    </row>
    <row r="121" spans="1:7" ht="15" x14ac:dyDescent="0.2">
      <c r="A121" s="31" t="s">
        <v>3</v>
      </c>
      <c r="B121" s="118" t="s">
        <v>117</v>
      </c>
      <c r="C121" s="107"/>
      <c r="D121" s="107"/>
      <c r="E121" s="107"/>
      <c r="F121" s="108"/>
      <c r="G121" s="19">
        <f>G63</f>
        <v>4667.75</v>
      </c>
    </row>
    <row r="122" spans="1:7" ht="15" x14ac:dyDescent="0.2">
      <c r="A122" s="31" t="s">
        <v>5</v>
      </c>
      <c r="B122" s="118" t="s">
        <v>118</v>
      </c>
      <c r="C122" s="107"/>
      <c r="D122" s="107"/>
      <c r="E122" s="107"/>
      <c r="F122" s="108"/>
      <c r="G122" s="19">
        <f>G75</f>
        <v>29.660000000000004</v>
      </c>
    </row>
    <row r="123" spans="1:7" ht="15" x14ac:dyDescent="0.2">
      <c r="A123" s="31" t="s">
        <v>7</v>
      </c>
      <c r="B123" s="118" t="s">
        <v>119</v>
      </c>
      <c r="C123" s="107"/>
      <c r="D123" s="107"/>
      <c r="E123" s="107"/>
      <c r="F123" s="108"/>
      <c r="G123" s="19">
        <f>G95</f>
        <v>253.8</v>
      </c>
    </row>
    <row r="124" spans="1:7" ht="15.75" thickBot="1" x14ac:dyDescent="0.25">
      <c r="A124" s="55" t="s">
        <v>10</v>
      </c>
      <c r="B124" s="119" t="s">
        <v>120</v>
      </c>
      <c r="C124" s="120"/>
      <c r="D124" s="120"/>
      <c r="E124" s="120"/>
      <c r="F124" s="121"/>
      <c r="G124" s="56">
        <f>G105</f>
        <v>625</v>
      </c>
    </row>
    <row r="125" spans="1:7" ht="15.75" thickBot="1" x14ac:dyDescent="0.25">
      <c r="A125" s="122" t="s">
        <v>121</v>
      </c>
      <c r="B125" s="93"/>
      <c r="C125" s="93"/>
      <c r="D125" s="93"/>
      <c r="E125" s="93"/>
      <c r="F125" s="94"/>
      <c r="G125" s="57">
        <f>ROUND(SUM(G120:G124),2)</f>
        <v>12580.88</v>
      </c>
    </row>
    <row r="126" spans="1:7" ht="15.75" thickBot="1" x14ac:dyDescent="0.25">
      <c r="A126" s="58" t="s">
        <v>30</v>
      </c>
      <c r="B126" s="123" t="s">
        <v>122</v>
      </c>
      <c r="C126" s="93"/>
      <c r="D126" s="93"/>
      <c r="E126" s="93"/>
      <c r="F126" s="94"/>
      <c r="G126" s="59">
        <f>G116</f>
        <v>2277.64</v>
      </c>
    </row>
    <row r="127" spans="1:7" ht="15.75" thickBot="1" x14ac:dyDescent="0.25">
      <c r="A127" s="83" t="s">
        <v>55</v>
      </c>
      <c r="B127" s="111" t="s">
        <v>123</v>
      </c>
      <c r="C127" s="112"/>
      <c r="D127" s="112"/>
      <c r="E127" s="112"/>
      <c r="F127" s="113"/>
      <c r="G127" s="84">
        <f>G125+G126</f>
        <v>14858.519999999999</v>
      </c>
    </row>
    <row r="128" spans="1:7" ht="13.5" thickBot="1" x14ac:dyDescent="0.25">
      <c r="A128" s="86" t="s">
        <v>57</v>
      </c>
      <c r="B128" s="89" t="s">
        <v>127</v>
      </c>
      <c r="C128" s="90"/>
      <c r="D128" s="90"/>
      <c r="E128" s="90"/>
      <c r="F128" s="91"/>
      <c r="G128" s="85">
        <f>G127/220</f>
        <v>67.538727272727272</v>
      </c>
    </row>
  </sheetData>
  <mergeCells count="141">
    <mergeCell ref="B127:F127"/>
    <mergeCell ref="B128:F128"/>
    <mergeCell ref="B26:D26"/>
    <mergeCell ref="B121:F121"/>
    <mergeCell ref="B122:F122"/>
    <mergeCell ref="B123:F123"/>
    <mergeCell ref="B124:F124"/>
    <mergeCell ref="A125:F125"/>
    <mergeCell ref="B126:F126"/>
    <mergeCell ref="B115:E115"/>
    <mergeCell ref="A116:F116"/>
    <mergeCell ref="A117:G117"/>
    <mergeCell ref="A118:G118"/>
    <mergeCell ref="A119:F119"/>
    <mergeCell ref="B120:F120"/>
    <mergeCell ref="B110:D110"/>
    <mergeCell ref="B111:D111"/>
    <mergeCell ref="E111:E114"/>
    <mergeCell ref="B112:D112"/>
    <mergeCell ref="B113:D113"/>
    <mergeCell ref="B114:D114"/>
    <mergeCell ref="A105:F105"/>
    <mergeCell ref="A106:G106"/>
    <mergeCell ref="A107:G107"/>
    <mergeCell ref="B108:D108"/>
    <mergeCell ref="B109:D109"/>
    <mergeCell ref="B99:F99"/>
    <mergeCell ref="B100:F100"/>
    <mergeCell ref="B101:F101"/>
    <mergeCell ref="B102:F102"/>
    <mergeCell ref="B103:F103"/>
    <mergeCell ref="B104:F104"/>
    <mergeCell ref="B93:F93"/>
    <mergeCell ref="B94:F94"/>
    <mergeCell ref="A95:F95"/>
    <mergeCell ref="A96:G96"/>
    <mergeCell ref="A97:G97"/>
    <mergeCell ref="B98:F98"/>
    <mergeCell ref="A86:F86"/>
    <mergeCell ref="B87:F87"/>
    <mergeCell ref="B88:F88"/>
    <mergeCell ref="A89:F89"/>
    <mergeCell ref="A91:G91"/>
    <mergeCell ref="B92:F92"/>
    <mergeCell ref="B81:C81"/>
    <mergeCell ref="D81:D83"/>
    <mergeCell ref="B82:C82"/>
    <mergeCell ref="B83:C83"/>
    <mergeCell ref="B84:C84"/>
    <mergeCell ref="B85:C85"/>
    <mergeCell ref="A75:F75"/>
    <mergeCell ref="A76:G76"/>
    <mergeCell ref="A77:G77"/>
    <mergeCell ref="A78:G78"/>
    <mergeCell ref="B79:C79"/>
    <mergeCell ref="B80:C80"/>
    <mergeCell ref="A64:G64"/>
    <mergeCell ref="A65:G65"/>
    <mergeCell ref="B67:C67"/>
    <mergeCell ref="E67:E73"/>
    <mergeCell ref="F67:F70"/>
    <mergeCell ref="B68:C68"/>
    <mergeCell ref="B69:C69"/>
    <mergeCell ref="B71:C71"/>
    <mergeCell ref="D71:D73"/>
    <mergeCell ref="F71:F73"/>
    <mergeCell ref="A58:G58"/>
    <mergeCell ref="B59:F59"/>
    <mergeCell ref="B60:F60"/>
    <mergeCell ref="B61:F61"/>
    <mergeCell ref="B62:F62"/>
    <mergeCell ref="A63:F63"/>
    <mergeCell ref="B52:C52"/>
    <mergeCell ref="B53:C53"/>
    <mergeCell ref="B54:C54"/>
    <mergeCell ref="B55:F55"/>
    <mergeCell ref="A56:F56"/>
    <mergeCell ref="B46:D46"/>
    <mergeCell ref="B47:D47"/>
    <mergeCell ref="B48:D48"/>
    <mergeCell ref="B49:D49"/>
    <mergeCell ref="A50:E50"/>
    <mergeCell ref="A51:G51"/>
    <mergeCell ref="A39:G39"/>
    <mergeCell ref="B40:D40"/>
    <mergeCell ref="B41:D41"/>
    <mergeCell ref="E41:E49"/>
    <mergeCell ref="A42:A43"/>
    <mergeCell ref="B42:B43"/>
    <mergeCell ref="F42:F43"/>
    <mergeCell ref="G42:G43"/>
    <mergeCell ref="B44:D44"/>
    <mergeCell ref="B45:D45"/>
    <mergeCell ref="B34:D34"/>
    <mergeCell ref="B35:D35"/>
    <mergeCell ref="E35:E37"/>
    <mergeCell ref="B36:D36"/>
    <mergeCell ref="B37:D37"/>
    <mergeCell ref="A38:F38"/>
    <mergeCell ref="B29:F29"/>
    <mergeCell ref="A30:F30"/>
    <mergeCell ref="A31:G31"/>
    <mergeCell ref="A32:G32"/>
    <mergeCell ref="A33:G33"/>
    <mergeCell ref="A22:G22"/>
    <mergeCell ref="A23:G23"/>
    <mergeCell ref="B24:F24"/>
    <mergeCell ref="B25:F25"/>
    <mergeCell ref="B27:D27"/>
    <mergeCell ref="B28:F28"/>
    <mergeCell ref="B19:E19"/>
    <mergeCell ref="F19:G19"/>
    <mergeCell ref="B20:E20"/>
    <mergeCell ref="F20:G20"/>
    <mergeCell ref="B21:E21"/>
    <mergeCell ref="F21:G21"/>
    <mergeCell ref="A15:G15"/>
    <mergeCell ref="A16:G16"/>
    <mergeCell ref="B17:E17"/>
    <mergeCell ref="F17:G17"/>
    <mergeCell ref="B18:E18"/>
    <mergeCell ref="F18:G18"/>
    <mergeCell ref="A9:G9"/>
    <mergeCell ref="A10:G10"/>
    <mergeCell ref="A11:E11"/>
    <mergeCell ref="A12:E12"/>
    <mergeCell ref="A13:G13"/>
    <mergeCell ref="A14:G14"/>
    <mergeCell ref="B6:E6"/>
    <mergeCell ref="F6:G6"/>
    <mergeCell ref="B7:E7"/>
    <mergeCell ref="F7:G7"/>
    <mergeCell ref="B8:E8"/>
    <mergeCell ref="F8:G8"/>
    <mergeCell ref="A1:G1"/>
    <mergeCell ref="A2:G2"/>
    <mergeCell ref="A3:G3"/>
    <mergeCell ref="B4:E4"/>
    <mergeCell ref="F4:G4"/>
    <mergeCell ref="B5:E5"/>
    <mergeCell ref="F5:G5"/>
  </mergeCells>
  <dataValidations count="1">
    <dataValidation type="list" allowBlank="1" sqref="F7" xr:uid="{6C91A130-021C-4D9A-A432-FD7525B77F65}">
      <formula1>"Lucro Real,Lucro Presumido,Lucro Arbitrado"</formula1>
    </dataValidation>
  </dataValidations>
  <pageMargins left="0.511811024" right="0.511811024" top="0.78740157499999996" bottom="0.78740157499999996" header="0.31496062000000002" footer="0.3149606200000000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F7B00-4636-48CC-874C-20E71A53B762}">
  <dimension ref="A1:G128"/>
  <sheetViews>
    <sheetView workbookViewId="0">
      <selection activeCell="F19" sqref="F19:G19"/>
    </sheetView>
  </sheetViews>
  <sheetFormatPr defaultColWidth="14.42578125" defaultRowHeight="12.75" outlineLevelRow="1" x14ac:dyDescent="0.2"/>
  <cols>
    <col min="1" max="1" width="8.7109375" customWidth="1"/>
    <col min="2" max="2" width="39.42578125" customWidth="1"/>
    <col min="3" max="5" width="15.140625" customWidth="1"/>
    <col min="6" max="6" width="19.28515625" bestFit="1" customWidth="1"/>
    <col min="7" max="7" width="17.42578125" bestFit="1" customWidth="1"/>
  </cols>
  <sheetData>
    <row r="1" spans="1:7" ht="15" customHeight="1" outlineLevel="1" thickBot="1" x14ac:dyDescent="0.25">
      <c r="A1" s="166" t="s">
        <v>124</v>
      </c>
      <c r="B1" s="195"/>
      <c r="C1" s="195"/>
      <c r="D1" s="195"/>
      <c r="E1" s="195"/>
      <c r="F1" s="195"/>
      <c r="G1" s="168"/>
    </row>
    <row r="2" spans="1:7" ht="15" customHeight="1" outlineLevel="1" thickBot="1" x14ac:dyDescent="0.25">
      <c r="A2" s="97" t="s">
        <v>145</v>
      </c>
      <c r="B2" s="196"/>
      <c r="C2" s="196"/>
      <c r="D2" s="196"/>
      <c r="E2" s="196"/>
      <c r="F2" s="196"/>
      <c r="G2" s="99"/>
    </row>
    <row r="3" spans="1:7" ht="15" customHeight="1" outlineLevel="1" thickBot="1" x14ac:dyDescent="0.25">
      <c r="A3" s="116" t="s">
        <v>0</v>
      </c>
      <c r="B3" s="197"/>
      <c r="C3" s="197"/>
      <c r="D3" s="197"/>
      <c r="E3" s="197"/>
      <c r="F3" s="197"/>
      <c r="G3" s="136"/>
    </row>
    <row r="4" spans="1:7" ht="15" customHeight="1" outlineLevel="1" x14ac:dyDescent="0.2">
      <c r="A4" s="3" t="s">
        <v>1</v>
      </c>
      <c r="B4" s="169" t="s">
        <v>2</v>
      </c>
      <c r="C4" s="170"/>
      <c r="D4" s="170"/>
      <c r="E4" s="170"/>
      <c r="F4" s="171" t="s">
        <v>141</v>
      </c>
      <c r="G4" s="172"/>
    </row>
    <row r="5" spans="1:7" ht="15" customHeight="1" outlineLevel="1" x14ac:dyDescent="0.2">
      <c r="A5" s="4" t="s">
        <v>3</v>
      </c>
      <c r="B5" s="118" t="s">
        <v>4</v>
      </c>
      <c r="C5" s="107"/>
      <c r="D5" s="107"/>
      <c r="E5" s="107"/>
      <c r="F5" s="173" t="s">
        <v>132</v>
      </c>
      <c r="G5" s="174"/>
    </row>
    <row r="6" spans="1:7" ht="15" customHeight="1" outlineLevel="1" x14ac:dyDescent="0.2">
      <c r="A6" s="4" t="s">
        <v>5</v>
      </c>
      <c r="B6" s="118" t="s">
        <v>6</v>
      </c>
      <c r="C6" s="107"/>
      <c r="D6" s="107"/>
      <c r="E6" s="107"/>
      <c r="F6" s="173" t="s">
        <v>84</v>
      </c>
      <c r="G6" s="174"/>
    </row>
    <row r="7" spans="1:7" ht="15" customHeight="1" outlineLevel="1" x14ac:dyDescent="0.2">
      <c r="A7" s="4" t="s">
        <v>7</v>
      </c>
      <c r="B7" s="118" t="s">
        <v>8</v>
      </c>
      <c r="C7" s="107"/>
      <c r="D7" s="107"/>
      <c r="E7" s="107"/>
      <c r="F7" s="175" t="s">
        <v>9</v>
      </c>
      <c r="G7" s="176"/>
    </row>
    <row r="8" spans="1:7" ht="15" customHeight="1" outlineLevel="1" thickBot="1" x14ac:dyDescent="0.25">
      <c r="A8" s="6" t="s">
        <v>10</v>
      </c>
      <c r="B8" s="119" t="s">
        <v>11</v>
      </c>
      <c r="C8" s="120"/>
      <c r="D8" s="120"/>
      <c r="E8" s="120"/>
      <c r="F8" s="177">
        <v>1</v>
      </c>
      <c r="G8" s="178"/>
    </row>
    <row r="9" spans="1:7" ht="15" customHeight="1" outlineLevel="1" thickBot="1" x14ac:dyDescent="0.25">
      <c r="A9" s="95"/>
      <c r="B9" s="96"/>
      <c r="C9" s="96"/>
      <c r="D9" s="96"/>
      <c r="E9" s="96"/>
      <c r="F9" s="96"/>
      <c r="G9" s="96"/>
    </row>
    <row r="10" spans="1:7" ht="15" customHeight="1" outlineLevel="1" thickBot="1" x14ac:dyDescent="0.25">
      <c r="A10" s="97" t="s">
        <v>12</v>
      </c>
      <c r="B10" s="196"/>
      <c r="C10" s="196"/>
      <c r="D10" s="196"/>
      <c r="E10" s="196"/>
      <c r="F10" s="196"/>
      <c r="G10" s="99"/>
    </row>
    <row r="11" spans="1:7" ht="30.75" outlineLevel="1" thickBot="1" x14ac:dyDescent="0.25">
      <c r="A11" s="116" t="s">
        <v>13</v>
      </c>
      <c r="B11" s="197"/>
      <c r="C11" s="197"/>
      <c r="D11" s="197"/>
      <c r="E11" s="102"/>
      <c r="F11" s="60" t="s">
        <v>14</v>
      </c>
      <c r="G11" s="61" t="s">
        <v>15</v>
      </c>
    </row>
    <row r="12" spans="1:7" ht="30.75" outlineLevel="1" thickBot="1" x14ac:dyDescent="0.25">
      <c r="A12" s="179" t="s">
        <v>151</v>
      </c>
      <c r="B12" s="96"/>
      <c r="C12" s="96"/>
      <c r="D12" s="96"/>
      <c r="E12" s="180"/>
      <c r="F12" s="7" t="s">
        <v>16</v>
      </c>
      <c r="G12" s="8">
        <v>1</v>
      </c>
    </row>
    <row r="13" spans="1:7" ht="15" customHeight="1" thickBot="1" x14ac:dyDescent="0.25">
      <c r="A13" s="198"/>
      <c r="B13" s="115"/>
      <c r="C13" s="115"/>
      <c r="D13" s="115"/>
      <c r="E13" s="115"/>
      <c r="F13" s="115"/>
      <c r="G13" s="115"/>
    </row>
    <row r="14" spans="1:7" ht="15" customHeight="1" thickBot="1" x14ac:dyDescent="0.25">
      <c r="A14" s="97" t="s">
        <v>17</v>
      </c>
      <c r="B14" s="196"/>
      <c r="C14" s="196"/>
      <c r="D14" s="196"/>
      <c r="E14" s="196"/>
      <c r="F14" s="196"/>
      <c r="G14" s="99"/>
    </row>
    <row r="15" spans="1:7" ht="15" customHeight="1" outlineLevel="1" thickBot="1" x14ac:dyDescent="0.25">
      <c r="A15" s="182" t="s">
        <v>18</v>
      </c>
      <c r="B15" s="133"/>
      <c r="C15" s="133"/>
      <c r="D15" s="133"/>
      <c r="E15" s="133"/>
      <c r="F15" s="133"/>
      <c r="G15" s="183"/>
    </row>
    <row r="16" spans="1:7" ht="15" customHeight="1" outlineLevel="1" thickBot="1" x14ac:dyDescent="0.25">
      <c r="A16" s="116" t="s">
        <v>19</v>
      </c>
      <c r="B16" s="197"/>
      <c r="C16" s="197"/>
      <c r="D16" s="197"/>
      <c r="E16" s="197"/>
      <c r="F16" s="197"/>
      <c r="G16" s="136"/>
    </row>
    <row r="17" spans="1:7" ht="15" customHeight="1" outlineLevel="1" x14ac:dyDescent="0.2">
      <c r="A17" s="9">
        <v>1</v>
      </c>
      <c r="B17" s="117" t="s">
        <v>20</v>
      </c>
      <c r="C17" s="104"/>
      <c r="D17" s="104"/>
      <c r="E17" s="104"/>
      <c r="F17" s="173" t="s">
        <v>128</v>
      </c>
      <c r="G17" s="174"/>
    </row>
    <row r="18" spans="1:7" ht="15" customHeight="1" outlineLevel="1" x14ac:dyDescent="0.2">
      <c r="A18" s="4">
        <v>2</v>
      </c>
      <c r="B18" s="118" t="s">
        <v>21</v>
      </c>
      <c r="C18" s="107"/>
      <c r="D18" s="107"/>
      <c r="E18" s="107"/>
      <c r="F18" s="191" t="s">
        <v>149</v>
      </c>
      <c r="G18" s="192"/>
    </row>
    <row r="19" spans="1:7" ht="15" customHeight="1" outlineLevel="1" x14ac:dyDescent="0.2">
      <c r="A19" s="4">
        <v>3</v>
      </c>
      <c r="B19" s="118" t="s">
        <v>22</v>
      </c>
      <c r="C19" s="107"/>
      <c r="D19" s="107"/>
      <c r="E19" s="107"/>
      <c r="F19" s="193">
        <v>8154</v>
      </c>
      <c r="G19" s="174"/>
    </row>
    <row r="20" spans="1:7" ht="15" customHeight="1" outlineLevel="1" x14ac:dyDescent="0.2">
      <c r="A20" s="4">
        <v>4</v>
      </c>
      <c r="B20" s="118" t="s">
        <v>23</v>
      </c>
      <c r="C20" s="107"/>
      <c r="D20" s="107"/>
      <c r="E20" s="107"/>
      <c r="F20" s="173" t="s">
        <v>150</v>
      </c>
      <c r="G20" s="174"/>
    </row>
    <row r="21" spans="1:7" ht="15" customHeight="1" outlineLevel="1" thickBot="1" x14ac:dyDescent="0.25">
      <c r="A21" s="6">
        <v>5</v>
      </c>
      <c r="B21" s="119" t="s">
        <v>24</v>
      </c>
      <c r="C21" s="120"/>
      <c r="D21" s="120"/>
      <c r="E21" s="120"/>
      <c r="F21" s="194">
        <v>46157</v>
      </c>
      <c r="G21" s="178"/>
    </row>
    <row r="22" spans="1:7" ht="15" customHeight="1" thickBot="1" x14ac:dyDescent="0.25">
      <c r="A22" s="95"/>
      <c r="B22" s="96"/>
      <c r="C22" s="96"/>
      <c r="D22" s="96"/>
      <c r="E22" s="96"/>
      <c r="F22" s="96"/>
      <c r="G22" s="96"/>
    </row>
    <row r="23" spans="1:7" ht="13.5" thickBot="1" x14ac:dyDescent="0.25">
      <c r="A23" s="97" t="s">
        <v>25</v>
      </c>
      <c r="B23" s="196"/>
      <c r="C23" s="196"/>
      <c r="D23" s="196"/>
      <c r="E23" s="196"/>
      <c r="F23" s="196"/>
      <c r="G23" s="99"/>
    </row>
    <row r="24" spans="1:7" ht="15.75" thickBot="1" x14ac:dyDescent="0.25">
      <c r="A24" s="62">
        <v>1</v>
      </c>
      <c r="B24" s="126" t="s">
        <v>26</v>
      </c>
      <c r="C24" s="197"/>
      <c r="D24" s="197"/>
      <c r="E24" s="197"/>
      <c r="F24" s="102"/>
      <c r="G24" s="64" t="s">
        <v>27</v>
      </c>
    </row>
    <row r="25" spans="1:7" ht="15" outlineLevel="1" x14ac:dyDescent="0.2">
      <c r="A25" s="9" t="s">
        <v>1</v>
      </c>
      <c r="B25" s="117" t="s">
        <v>142</v>
      </c>
      <c r="C25" s="104"/>
      <c r="D25" s="104"/>
      <c r="E25" s="104"/>
      <c r="F25" s="105"/>
      <c r="G25" s="10">
        <v>8154</v>
      </c>
    </row>
    <row r="26" spans="1:7" ht="15" outlineLevel="1" x14ac:dyDescent="0.2">
      <c r="A26" s="4" t="s">
        <v>3</v>
      </c>
      <c r="B26" s="118" t="s">
        <v>28</v>
      </c>
      <c r="C26" s="140"/>
      <c r="D26" s="141"/>
      <c r="E26" s="12">
        <f>G25</f>
        <v>8154</v>
      </c>
      <c r="F26" s="13">
        <v>0</v>
      </c>
      <c r="G26" s="10">
        <v>0</v>
      </c>
    </row>
    <row r="27" spans="1:7" ht="15" outlineLevel="1" x14ac:dyDescent="0.2">
      <c r="A27" s="4" t="s">
        <v>5</v>
      </c>
      <c r="B27" s="161" t="s">
        <v>29</v>
      </c>
      <c r="C27" s="107"/>
      <c r="D27" s="108"/>
      <c r="E27" s="12">
        <f>G25</f>
        <v>8154</v>
      </c>
      <c r="F27" s="13">
        <v>0.4</v>
      </c>
      <c r="G27" s="14">
        <f>ROUND(E27*F27,2)</f>
        <v>3261.6</v>
      </c>
    </row>
    <row r="28" spans="1:7" ht="15" outlineLevel="1" x14ac:dyDescent="0.2">
      <c r="A28" s="4" t="s">
        <v>7</v>
      </c>
      <c r="B28" s="118" t="s">
        <v>138</v>
      </c>
      <c r="C28" s="107"/>
      <c r="D28" s="107"/>
      <c r="E28" s="107"/>
      <c r="F28" s="108"/>
      <c r="G28" s="14">
        <f>SUM(G25+G27)/210*56*0.2</f>
        <v>608.83199999999999</v>
      </c>
    </row>
    <row r="29" spans="1:7" ht="15.75" outlineLevel="1" thickBot="1" x14ac:dyDescent="0.25">
      <c r="A29" s="6" t="s">
        <v>10</v>
      </c>
      <c r="B29" s="119" t="s">
        <v>31</v>
      </c>
      <c r="C29" s="120"/>
      <c r="D29" s="120"/>
      <c r="E29" s="120"/>
      <c r="F29" s="121"/>
      <c r="G29" s="15">
        <v>0</v>
      </c>
    </row>
    <row r="30" spans="1:7" ht="15.75" thickBot="1" x14ac:dyDescent="0.25">
      <c r="A30" s="92" t="s">
        <v>32</v>
      </c>
      <c r="B30" s="115"/>
      <c r="C30" s="115"/>
      <c r="D30" s="115"/>
      <c r="E30" s="115"/>
      <c r="F30" s="94"/>
      <c r="G30" s="16">
        <f>ROUND(SUM(G25:G29),2)</f>
        <v>12024.43</v>
      </c>
    </row>
    <row r="31" spans="1:7" ht="15.75" thickBot="1" x14ac:dyDescent="0.25">
      <c r="A31" s="95"/>
      <c r="B31" s="96"/>
      <c r="C31" s="96"/>
      <c r="D31" s="96"/>
      <c r="E31" s="96"/>
      <c r="F31" s="96"/>
      <c r="G31" s="96"/>
    </row>
    <row r="32" spans="1:7" ht="13.5" thickBot="1" x14ac:dyDescent="0.25">
      <c r="A32" s="97" t="s">
        <v>33</v>
      </c>
      <c r="B32" s="196"/>
      <c r="C32" s="196"/>
      <c r="D32" s="196"/>
      <c r="E32" s="196"/>
      <c r="F32" s="196"/>
      <c r="G32" s="99"/>
    </row>
    <row r="33" spans="1:7" ht="13.5" thickBot="1" x14ac:dyDescent="0.25">
      <c r="A33" s="116" t="s">
        <v>34</v>
      </c>
      <c r="B33" s="197"/>
      <c r="C33" s="197"/>
      <c r="D33" s="197"/>
      <c r="E33" s="197"/>
      <c r="F33" s="197"/>
      <c r="G33" s="136"/>
    </row>
    <row r="34" spans="1:7" ht="15.75" thickBot="1" x14ac:dyDescent="0.25">
      <c r="A34" s="62" t="s">
        <v>35</v>
      </c>
      <c r="B34" s="126" t="s">
        <v>36</v>
      </c>
      <c r="C34" s="197"/>
      <c r="D34" s="197"/>
      <c r="E34" s="60" t="s">
        <v>37</v>
      </c>
      <c r="F34" s="65" t="s">
        <v>38</v>
      </c>
      <c r="G34" s="61" t="s">
        <v>39</v>
      </c>
    </row>
    <row r="35" spans="1:7" ht="15" outlineLevel="1" x14ac:dyDescent="0.2">
      <c r="A35" s="9" t="s">
        <v>1</v>
      </c>
      <c r="B35" s="127" t="s">
        <v>40</v>
      </c>
      <c r="C35" s="104"/>
      <c r="D35" s="105"/>
      <c r="E35" s="153">
        <f>G30</f>
        <v>12024.43</v>
      </c>
      <c r="F35" s="17">
        <f t="shared" ref="F35:F36" si="0">1/12</f>
        <v>8.3333333333333329E-2</v>
      </c>
      <c r="G35" s="18">
        <f t="shared" ref="G35:G37" si="1">ROUND($E$35*F35,2)</f>
        <v>1002.04</v>
      </c>
    </row>
    <row r="36" spans="1:7" ht="15" outlineLevel="1" x14ac:dyDescent="0.2">
      <c r="A36" s="4" t="s">
        <v>3</v>
      </c>
      <c r="B36" s="161" t="s">
        <v>41</v>
      </c>
      <c r="C36" s="107"/>
      <c r="D36" s="108"/>
      <c r="E36" s="139"/>
      <c r="F36" s="13">
        <f t="shared" si="0"/>
        <v>8.3333333333333329E-2</v>
      </c>
      <c r="G36" s="19">
        <f t="shared" si="1"/>
        <v>1002.04</v>
      </c>
    </row>
    <row r="37" spans="1:7" ht="15.75" outlineLevel="1" thickBot="1" x14ac:dyDescent="0.25">
      <c r="A37" s="20" t="s">
        <v>5</v>
      </c>
      <c r="B37" s="135" t="s">
        <v>42</v>
      </c>
      <c r="C37" s="129"/>
      <c r="D37" s="130"/>
      <c r="E37" s="150"/>
      <c r="F37" s="21">
        <f>1/12/3</f>
        <v>2.7777777777777776E-2</v>
      </c>
      <c r="G37" s="22">
        <f t="shared" si="1"/>
        <v>334.01</v>
      </c>
    </row>
    <row r="38" spans="1:7" ht="15.75" thickBot="1" x14ac:dyDescent="0.25">
      <c r="A38" s="92" t="s">
        <v>32</v>
      </c>
      <c r="B38" s="115"/>
      <c r="C38" s="115"/>
      <c r="D38" s="115"/>
      <c r="E38" s="115"/>
      <c r="F38" s="94"/>
      <c r="G38" s="16">
        <f>ROUND(SUM(G35:G37),2)</f>
        <v>2338.09</v>
      </c>
    </row>
    <row r="39" spans="1:7" ht="13.5" thickBot="1" x14ac:dyDescent="0.25">
      <c r="A39" s="116" t="s">
        <v>43</v>
      </c>
      <c r="B39" s="197"/>
      <c r="C39" s="197"/>
      <c r="D39" s="197"/>
      <c r="E39" s="197"/>
      <c r="F39" s="197"/>
      <c r="G39" s="136"/>
    </row>
    <row r="40" spans="1:7" ht="15.75" thickBot="1" x14ac:dyDescent="0.25">
      <c r="A40" s="62" t="s">
        <v>44</v>
      </c>
      <c r="B40" s="126" t="s">
        <v>45</v>
      </c>
      <c r="C40" s="197"/>
      <c r="D40" s="102"/>
      <c r="E40" s="60" t="s">
        <v>37</v>
      </c>
      <c r="F40" s="60" t="s">
        <v>46</v>
      </c>
      <c r="G40" s="61" t="s">
        <v>39</v>
      </c>
    </row>
    <row r="41" spans="1:7" ht="15" outlineLevel="1" x14ac:dyDescent="0.2">
      <c r="A41" s="9" t="s">
        <v>1</v>
      </c>
      <c r="B41" s="117" t="s">
        <v>47</v>
      </c>
      <c r="C41" s="104"/>
      <c r="D41" s="105"/>
      <c r="E41" s="153">
        <f>G30+G38</f>
        <v>14362.52</v>
      </c>
      <c r="F41" s="17">
        <v>0.2</v>
      </c>
      <c r="G41" s="18">
        <f>ROUND($E$41*F41,2)</f>
        <v>2872.5</v>
      </c>
    </row>
    <row r="42" spans="1:7" outlineLevel="1" x14ac:dyDescent="0.2">
      <c r="A42" s="162" t="s">
        <v>3</v>
      </c>
      <c r="B42" s="154" t="s">
        <v>48</v>
      </c>
      <c r="C42" s="23" t="s">
        <v>49</v>
      </c>
      <c r="D42" s="23" t="s">
        <v>50</v>
      </c>
      <c r="E42" s="139"/>
      <c r="F42" s="155">
        <f>ROUND(C43*D43,6)</f>
        <v>0.03</v>
      </c>
      <c r="G42" s="164">
        <f t="shared" ref="G42" si="2">ROUND($E$41*F42,2)</f>
        <v>430.88</v>
      </c>
    </row>
    <row r="43" spans="1:7" ht="15" outlineLevel="1" x14ac:dyDescent="0.2">
      <c r="A43" s="163"/>
      <c r="B43" s="150"/>
      <c r="C43" s="25">
        <v>1</v>
      </c>
      <c r="D43" s="26">
        <v>0.03</v>
      </c>
      <c r="E43" s="139"/>
      <c r="F43" s="150"/>
      <c r="G43" s="165"/>
    </row>
    <row r="44" spans="1:7" ht="15" outlineLevel="1" x14ac:dyDescent="0.2">
      <c r="A44" s="4" t="s">
        <v>5</v>
      </c>
      <c r="B44" s="118" t="s">
        <v>51</v>
      </c>
      <c r="C44" s="107"/>
      <c r="D44" s="108"/>
      <c r="E44" s="139"/>
      <c r="F44" s="13">
        <v>2.5000000000000001E-2</v>
      </c>
      <c r="G44" s="19">
        <f t="shared" ref="G44:G49" si="3">ROUND($E$41*F44,2)</f>
        <v>359.06</v>
      </c>
    </row>
    <row r="45" spans="1:7" ht="15" outlineLevel="1" x14ac:dyDescent="0.2">
      <c r="A45" s="4" t="s">
        <v>7</v>
      </c>
      <c r="B45" s="118" t="s">
        <v>52</v>
      </c>
      <c r="C45" s="107"/>
      <c r="D45" s="108"/>
      <c r="E45" s="139"/>
      <c r="F45" s="13">
        <v>1.4999999999999999E-2</v>
      </c>
      <c r="G45" s="19">
        <f t="shared" si="3"/>
        <v>215.44</v>
      </c>
    </row>
    <row r="46" spans="1:7" ht="15" outlineLevel="1" x14ac:dyDescent="0.2">
      <c r="A46" s="4" t="s">
        <v>10</v>
      </c>
      <c r="B46" s="118" t="s">
        <v>53</v>
      </c>
      <c r="C46" s="107"/>
      <c r="D46" s="108"/>
      <c r="E46" s="139"/>
      <c r="F46" s="13">
        <v>0.01</v>
      </c>
      <c r="G46" s="19">
        <f t="shared" si="3"/>
        <v>143.63</v>
      </c>
    </row>
    <row r="47" spans="1:7" ht="15" outlineLevel="1" x14ac:dyDescent="0.2">
      <c r="A47" s="4" t="s">
        <v>30</v>
      </c>
      <c r="B47" s="118" t="s">
        <v>54</v>
      </c>
      <c r="C47" s="107"/>
      <c r="D47" s="108"/>
      <c r="E47" s="139"/>
      <c r="F47" s="13">
        <v>6.0000000000000001E-3</v>
      </c>
      <c r="G47" s="19">
        <f t="shared" si="3"/>
        <v>86.18</v>
      </c>
    </row>
    <row r="48" spans="1:7" ht="15" outlineLevel="1" x14ac:dyDescent="0.2">
      <c r="A48" s="4" t="s">
        <v>55</v>
      </c>
      <c r="B48" s="118" t="s">
        <v>56</v>
      </c>
      <c r="C48" s="107"/>
      <c r="D48" s="108"/>
      <c r="E48" s="139"/>
      <c r="F48" s="13">
        <v>2E-3</v>
      </c>
      <c r="G48" s="19">
        <f t="shared" si="3"/>
        <v>28.73</v>
      </c>
    </row>
    <row r="49" spans="1:7" ht="15.75" outlineLevel="1" thickBot="1" x14ac:dyDescent="0.25">
      <c r="A49" s="20" t="s">
        <v>57</v>
      </c>
      <c r="B49" s="135" t="s">
        <v>58</v>
      </c>
      <c r="C49" s="129"/>
      <c r="D49" s="130"/>
      <c r="E49" s="150"/>
      <c r="F49" s="21">
        <v>0.08</v>
      </c>
      <c r="G49" s="24">
        <f t="shared" si="3"/>
        <v>1149</v>
      </c>
    </row>
    <row r="50" spans="1:7" ht="15.75" thickBot="1" x14ac:dyDescent="0.25">
      <c r="A50" s="92" t="s">
        <v>32</v>
      </c>
      <c r="B50" s="115"/>
      <c r="C50" s="115"/>
      <c r="D50" s="115"/>
      <c r="E50" s="94"/>
      <c r="F50" s="27">
        <f>SUM(F41:F49)</f>
        <v>0.36800000000000005</v>
      </c>
      <c r="G50" s="16">
        <f>ROUND(SUM(G41:G49),2)</f>
        <v>5285.42</v>
      </c>
    </row>
    <row r="51" spans="1:7" ht="13.5" thickBot="1" x14ac:dyDescent="0.25">
      <c r="A51" s="146" t="s">
        <v>59</v>
      </c>
      <c r="B51" s="147"/>
      <c r="C51" s="147"/>
      <c r="D51" s="147"/>
      <c r="E51" s="147"/>
      <c r="F51" s="147"/>
      <c r="G51" s="148"/>
    </row>
    <row r="52" spans="1:7" ht="27.6" customHeight="1" thickBot="1" x14ac:dyDescent="0.25">
      <c r="A52" s="79" t="s">
        <v>60</v>
      </c>
      <c r="B52" s="156" t="s">
        <v>61</v>
      </c>
      <c r="C52" s="157"/>
      <c r="D52" s="80" t="s">
        <v>62</v>
      </c>
      <c r="E52" s="80" t="s">
        <v>63</v>
      </c>
      <c r="F52" s="81" t="s">
        <v>64</v>
      </c>
      <c r="G52" s="82" t="s">
        <v>65</v>
      </c>
    </row>
    <row r="53" spans="1:7" ht="15" outlineLevel="1" x14ac:dyDescent="0.2">
      <c r="A53" s="77" t="s">
        <v>1</v>
      </c>
      <c r="B53" s="158" t="s">
        <v>125</v>
      </c>
      <c r="C53" s="159"/>
      <c r="D53" s="78">
        <v>16</v>
      </c>
      <c r="E53" s="28">
        <v>5.5</v>
      </c>
      <c r="F53" s="28">
        <f>ROUND(G25*6%,2)</f>
        <v>489.24</v>
      </c>
      <c r="G53" s="18">
        <v>0</v>
      </c>
    </row>
    <row r="54" spans="1:7" ht="15" outlineLevel="1" x14ac:dyDescent="0.2">
      <c r="A54" s="75" t="s">
        <v>3</v>
      </c>
      <c r="B54" s="160" t="s">
        <v>66</v>
      </c>
      <c r="C54" s="160"/>
      <c r="D54" s="76">
        <v>8</v>
      </c>
      <c r="E54" s="28">
        <v>35</v>
      </c>
      <c r="F54" s="28">
        <f>ROUND(E54*19%,2)</f>
        <v>6.65</v>
      </c>
      <c r="G54" s="19">
        <f>D54*(E54-F54)</f>
        <v>226.8</v>
      </c>
    </row>
    <row r="55" spans="1:7" ht="15.75" outlineLevel="1" thickBot="1" x14ac:dyDescent="0.25">
      <c r="A55" s="20" t="s">
        <v>5</v>
      </c>
      <c r="B55" s="135" t="s">
        <v>31</v>
      </c>
      <c r="C55" s="129"/>
      <c r="D55" s="129"/>
      <c r="E55" s="129"/>
      <c r="F55" s="130"/>
      <c r="G55" s="24">
        <v>0</v>
      </c>
    </row>
    <row r="56" spans="1:7" ht="15.75" thickBot="1" x14ac:dyDescent="0.25">
      <c r="A56" s="92" t="s">
        <v>32</v>
      </c>
      <c r="B56" s="115"/>
      <c r="C56" s="115"/>
      <c r="D56" s="115"/>
      <c r="E56" s="115"/>
      <c r="F56" s="94"/>
      <c r="G56" s="16">
        <f>ROUND(SUM(G53:G55),2)</f>
        <v>226.8</v>
      </c>
    </row>
    <row r="57" spans="1:7" ht="15.75" thickBot="1" x14ac:dyDescent="0.25">
      <c r="A57" s="29"/>
      <c r="B57" s="29"/>
      <c r="C57" s="29"/>
      <c r="D57" s="29"/>
      <c r="E57" s="29"/>
      <c r="F57" s="29"/>
      <c r="G57" s="29"/>
    </row>
    <row r="58" spans="1:7" ht="13.5" thickBot="1" x14ac:dyDescent="0.25">
      <c r="A58" s="116" t="s">
        <v>67</v>
      </c>
      <c r="B58" s="197"/>
      <c r="C58" s="197"/>
      <c r="D58" s="197"/>
      <c r="E58" s="197"/>
      <c r="F58" s="197"/>
      <c r="G58" s="136"/>
    </row>
    <row r="59" spans="1:7" ht="15.75" thickBot="1" x14ac:dyDescent="0.25">
      <c r="A59" s="66">
        <v>2</v>
      </c>
      <c r="B59" s="132" t="s">
        <v>68</v>
      </c>
      <c r="C59" s="133"/>
      <c r="D59" s="133"/>
      <c r="E59" s="133"/>
      <c r="F59" s="134"/>
      <c r="G59" s="67" t="s">
        <v>39</v>
      </c>
    </row>
    <row r="60" spans="1:7" ht="15" outlineLevel="1" x14ac:dyDescent="0.2">
      <c r="A60" s="30" t="s">
        <v>35</v>
      </c>
      <c r="B60" s="117" t="s">
        <v>69</v>
      </c>
      <c r="C60" s="104"/>
      <c r="D60" s="104"/>
      <c r="E60" s="104"/>
      <c r="F60" s="105"/>
      <c r="G60" s="18">
        <f>G38</f>
        <v>2338.09</v>
      </c>
    </row>
    <row r="61" spans="1:7" ht="15" outlineLevel="1" x14ac:dyDescent="0.2">
      <c r="A61" s="31" t="s">
        <v>44</v>
      </c>
      <c r="B61" s="118" t="s">
        <v>70</v>
      </c>
      <c r="C61" s="107"/>
      <c r="D61" s="107"/>
      <c r="E61" s="107"/>
      <c r="F61" s="108"/>
      <c r="G61" s="19">
        <f>G50</f>
        <v>5285.42</v>
      </c>
    </row>
    <row r="62" spans="1:7" ht="15.75" outlineLevel="1" thickBot="1" x14ac:dyDescent="0.25">
      <c r="A62" s="32" t="s">
        <v>60</v>
      </c>
      <c r="B62" s="135" t="s">
        <v>61</v>
      </c>
      <c r="C62" s="129"/>
      <c r="D62" s="129"/>
      <c r="E62" s="129"/>
      <c r="F62" s="130"/>
      <c r="G62" s="24">
        <f>G56</f>
        <v>226.8</v>
      </c>
    </row>
    <row r="63" spans="1:7" ht="15.75" thickBot="1" x14ac:dyDescent="0.25">
      <c r="A63" s="92" t="s">
        <v>32</v>
      </c>
      <c r="B63" s="115"/>
      <c r="C63" s="115"/>
      <c r="D63" s="115"/>
      <c r="E63" s="115"/>
      <c r="F63" s="94"/>
      <c r="G63" s="16">
        <f>ROUND(SUM(G60:G62),2)</f>
        <v>7850.31</v>
      </c>
    </row>
    <row r="64" spans="1:7" ht="15.75" thickBot="1" x14ac:dyDescent="0.25">
      <c r="A64" s="95"/>
      <c r="B64" s="96"/>
      <c r="C64" s="96"/>
      <c r="D64" s="96"/>
      <c r="E64" s="96"/>
      <c r="F64" s="96"/>
      <c r="G64" s="96"/>
    </row>
    <row r="65" spans="1:7" ht="13.5" thickBot="1" x14ac:dyDescent="0.25">
      <c r="A65" s="97" t="s">
        <v>71</v>
      </c>
      <c r="B65" s="196"/>
      <c r="C65" s="196"/>
      <c r="D65" s="196"/>
      <c r="E65" s="196"/>
      <c r="F65" s="196"/>
      <c r="G65" s="99"/>
    </row>
    <row r="66" spans="1:7" ht="30.75" thickBot="1" x14ac:dyDescent="0.25">
      <c r="A66" s="62">
        <v>3</v>
      </c>
      <c r="B66" s="63" t="s">
        <v>72</v>
      </c>
      <c r="C66" s="60" t="s">
        <v>73</v>
      </c>
      <c r="D66" s="60" t="s">
        <v>37</v>
      </c>
      <c r="E66" s="60" t="s">
        <v>74</v>
      </c>
      <c r="F66" s="60" t="s">
        <v>75</v>
      </c>
      <c r="G66" s="61" t="s">
        <v>39</v>
      </c>
    </row>
    <row r="67" spans="1:7" ht="15" outlineLevel="1" x14ac:dyDescent="0.2">
      <c r="A67" s="9" t="s">
        <v>1</v>
      </c>
      <c r="B67" s="117" t="s">
        <v>76</v>
      </c>
      <c r="C67" s="104"/>
      <c r="D67" s="33">
        <f>ROUND(G30/30*36,2)</f>
        <v>14429.32</v>
      </c>
      <c r="E67" s="149">
        <f>1/30</f>
        <v>3.3333333333333333E-2</v>
      </c>
      <c r="F67" s="149">
        <v>0.02</v>
      </c>
      <c r="G67" s="18">
        <f>ROUND(D67*$E$67*$F$67,2)</f>
        <v>9.6199999999999992</v>
      </c>
    </row>
    <row r="68" spans="1:7" ht="15" outlineLevel="1" x14ac:dyDescent="0.2">
      <c r="A68" s="4" t="s">
        <v>3</v>
      </c>
      <c r="B68" s="118" t="s">
        <v>77</v>
      </c>
      <c r="C68" s="107"/>
      <c r="D68" s="33">
        <f>ROUND(D67/12,2)</f>
        <v>1202.44</v>
      </c>
      <c r="E68" s="139"/>
      <c r="F68" s="139"/>
      <c r="G68" s="18">
        <f>ROUND(D68*$E$67*$F$67,2)</f>
        <v>0.8</v>
      </c>
    </row>
    <row r="69" spans="1:7" ht="15" outlineLevel="1" x14ac:dyDescent="0.2">
      <c r="A69" s="4" t="s">
        <v>5</v>
      </c>
      <c r="B69" s="118" t="s">
        <v>78</v>
      </c>
      <c r="C69" s="107"/>
      <c r="D69" s="33">
        <f>ROUND(D67/12+D67/12/3,2)</f>
        <v>1603.26</v>
      </c>
      <c r="E69" s="139"/>
      <c r="F69" s="139"/>
      <c r="G69" s="18">
        <f>ROUND(D69*$E$67*$F$67,2)</f>
        <v>1.07</v>
      </c>
    </row>
    <row r="70" spans="1:7" ht="30" outlineLevel="1" x14ac:dyDescent="0.2">
      <c r="A70" s="4" t="s">
        <v>7</v>
      </c>
      <c r="B70" s="5" t="s">
        <v>79</v>
      </c>
      <c r="C70" s="13">
        <f>F49</f>
        <v>0.08</v>
      </c>
      <c r="D70" s="33">
        <f>SUM(D67:D68)</f>
        <v>15631.76</v>
      </c>
      <c r="E70" s="139"/>
      <c r="F70" s="150"/>
      <c r="G70" s="18">
        <f>ROUND(D70*$E$67*$F$67*C70,2)</f>
        <v>0.83</v>
      </c>
    </row>
    <row r="71" spans="1:7" ht="15" outlineLevel="1" x14ac:dyDescent="0.2">
      <c r="A71" s="4" t="s">
        <v>10</v>
      </c>
      <c r="B71" s="118" t="s">
        <v>80</v>
      </c>
      <c r="C71" s="107"/>
      <c r="D71" s="151">
        <f>ROUND(G30/30*7,2)</f>
        <v>2805.7</v>
      </c>
      <c r="E71" s="139"/>
      <c r="F71" s="152">
        <v>0.05</v>
      </c>
      <c r="G71" s="18">
        <f>ROUND($D$71*$E$67*$F$71,2)</f>
        <v>4.68</v>
      </c>
    </row>
    <row r="72" spans="1:7" ht="15" outlineLevel="1" x14ac:dyDescent="0.2">
      <c r="A72" s="4" t="s">
        <v>30</v>
      </c>
      <c r="B72" s="5" t="s">
        <v>81</v>
      </c>
      <c r="C72" s="13">
        <f>F49</f>
        <v>0.08</v>
      </c>
      <c r="D72" s="139"/>
      <c r="E72" s="139"/>
      <c r="F72" s="139"/>
      <c r="G72" s="18">
        <f t="shared" ref="G72:G73" si="4">ROUND($D$71*$E$67*$F$71*C72,2)</f>
        <v>0.37</v>
      </c>
    </row>
    <row r="73" spans="1:7" ht="30" outlineLevel="1" x14ac:dyDescent="0.2">
      <c r="A73" s="4" t="s">
        <v>55</v>
      </c>
      <c r="B73" s="5" t="s">
        <v>82</v>
      </c>
      <c r="C73" s="34">
        <f>F50-F49</f>
        <v>0.28800000000000003</v>
      </c>
      <c r="D73" s="150"/>
      <c r="E73" s="150"/>
      <c r="F73" s="150"/>
      <c r="G73" s="18">
        <f t="shared" si="4"/>
        <v>1.35</v>
      </c>
    </row>
    <row r="74" spans="1:7" ht="15.75" outlineLevel="1" thickBot="1" x14ac:dyDescent="0.25">
      <c r="A74" s="4" t="s">
        <v>57</v>
      </c>
      <c r="B74" s="35" t="s">
        <v>83</v>
      </c>
      <c r="C74" s="36">
        <v>0.4</v>
      </c>
      <c r="D74" s="33">
        <f>G49+G70+G72</f>
        <v>1150.1999999999998</v>
      </c>
      <c r="E74" s="37" t="s">
        <v>84</v>
      </c>
      <c r="F74" s="13">
        <f>F67+F71</f>
        <v>7.0000000000000007E-2</v>
      </c>
      <c r="G74" s="18">
        <f>ROUND(D74*$F$74*C74,2)</f>
        <v>32.21</v>
      </c>
    </row>
    <row r="75" spans="1:7" ht="15.75" thickBot="1" x14ac:dyDescent="0.25">
      <c r="A75" s="92" t="s">
        <v>32</v>
      </c>
      <c r="B75" s="115"/>
      <c r="C75" s="115"/>
      <c r="D75" s="115"/>
      <c r="E75" s="115"/>
      <c r="F75" s="115"/>
      <c r="G75" s="16">
        <f>SUM(G67:G74)</f>
        <v>50.930000000000007</v>
      </c>
    </row>
    <row r="76" spans="1:7" ht="15.75" thickBot="1" x14ac:dyDescent="0.25">
      <c r="A76" s="95"/>
      <c r="B76" s="96"/>
      <c r="C76" s="96"/>
      <c r="D76" s="96"/>
      <c r="E76" s="96"/>
      <c r="F76" s="96"/>
      <c r="G76" s="96"/>
    </row>
    <row r="77" spans="1:7" ht="13.5" thickBot="1" x14ac:dyDescent="0.25">
      <c r="A77" s="97" t="s">
        <v>85</v>
      </c>
      <c r="B77" s="196"/>
      <c r="C77" s="196"/>
      <c r="D77" s="196"/>
      <c r="E77" s="196"/>
      <c r="F77" s="196"/>
      <c r="G77" s="99"/>
    </row>
    <row r="78" spans="1:7" ht="13.5" thickBot="1" x14ac:dyDescent="0.25">
      <c r="A78" s="116" t="s">
        <v>86</v>
      </c>
      <c r="B78" s="197"/>
      <c r="C78" s="197"/>
      <c r="D78" s="197"/>
      <c r="E78" s="197"/>
      <c r="F78" s="197"/>
      <c r="G78" s="136"/>
    </row>
    <row r="79" spans="1:7" ht="15.75" outlineLevel="1" thickBot="1" x14ac:dyDescent="0.25">
      <c r="A79" s="68">
        <v>43469</v>
      </c>
      <c r="B79" s="126" t="s">
        <v>87</v>
      </c>
      <c r="C79" s="197"/>
      <c r="D79" s="60" t="s">
        <v>37</v>
      </c>
      <c r="E79" s="60" t="s">
        <v>126</v>
      </c>
      <c r="F79" s="60" t="s">
        <v>38</v>
      </c>
      <c r="G79" s="61" t="s">
        <v>39</v>
      </c>
    </row>
    <row r="80" spans="1:7" ht="15" outlineLevel="1" x14ac:dyDescent="0.2">
      <c r="A80" s="9" t="s">
        <v>1</v>
      </c>
      <c r="B80" s="127" t="s">
        <v>88</v>
      </c>
      <c r="C80" s="104"/>
      <c r="D80" s="38">
        <f>G38+(G38*F50)+G55+G75</f>
        <v>3249.43712</v>
      </c>
      <c r="E80" s="39">
        <v>0</v>
      </c>
      <c r="F80" s="17">
        <f>1/12</f>
        <v>8.3333333333333329E-2</v>
      </c>
      <c r="G80" s="40">
        <f>ROUND(D80*F80,2)</f>
        <v>270.79000000000002</v>
      </c>
    </row>
    <row r="81" spans="1:7" ht="15" outlineLevel="1" x14ac:dyDescent="0.2">
      <c r="A81" s="4" t="s">
        <v>3</v>
      </c>
      <c r="B81" s="137" t="s">
        <v>89</v>
      </c>
      <c r="C81" s="107"/>
      <c r="D81" s="138">
        <f>G30+G38+G50+(G56-G53-G54)+G75</f>
        <v>19698.870000000003</v>
      </c>
      <c r="E81" s="41">
        <v>8.3000000000000001E-3</v>
      </c>
      <c r="F81" s="37" t="s">
        <v>84</v>
      </c>
      <c r="G81" s="42">
        <f>ROUND($D$81*E81,2)</f>
        <v>163.5</v>
      </c>
    </row>
    <row r="82" spans="1:7" ht="15" outlineLevel="1" x14ac:dyDescent="0.2">
      <c r="A82" s="4" t="s">
        <v>5</v>
      </c>
      <c r="B82" s="137" t="s">
        <v>90</v>
      </c>
      <c r="C82" s="107"/>
      <c r="D82" s="139"/>
      <c r="E82" s="41">
        <v>2.9999999999999997E-4</v>
      </c>
      <c r="F82" s="37" t="s">
        <v>84</v>
      </c>
      <c r="G82" s="42">
        <f>ROUND($D$81*5/250*E82,2)</f>
        <v>0.12</v>
      </c>
    </row>
    <row r="83" spans="1:7" ht="15" outlineLevel="1" x14ac:dyDescent="0.2">
      <c r="A83" s="4" t="s">
        <v>7</v>
      </c>
      <c r="B83" s="127" t="s">
        <v>91</v>
      </c>
      <c r="C83" s="104"/>
      <c r="D83" s="139"/>
      <c r="E83" s="41">
        <v>1.2999999999999999E-3</v>
      </c>
      <c r="F83" s="37" t="s">
        <v>84</v>
      </c>
      <c r="G83" s="42">
        <f>ROUND($D$81*15/365.25*E83,2)</f>
        <v>1.05</v>
      </c>
    </row>
    <row r="84" spans="1:7" ht="15" outlineLevel="1" x14ac:dyDescent="0.2">
      <c r="A84" s="4" t="s">
        <v>10</v>
      </c>
      <c r="B84" s="127" t="s">
        <v>92</v>
      </c>
      <c r="C84" s="104"/>
      <c r="D84" s="43">
        <f>ROUND((G36+G37+G49+G56-G53-G54+G75),2)</f>
        <v>2535.98</v>
      </c>
      <c r="E84" s="41">
        <v>6.9999999999999999E-4</v>
      </c>
      <c r="F84" s="13">
        <f>120/900</f>
        <v>0.13333333333333333</v>
      </c>
      <c r="G84" s="42">
        <f>ROUND($D$84*E84*F84,2)</f>
        <v>0.24</v>
      </c>
    </row>
    <row r="85" spans="1:7" ht="15.75" outlineLevel="1" thickBot="1" x14ac:dyDescent="0.25">
      <c r="A85" s="4" t="s">
        <v>30</v>
      </c>
      <c r="B85" s="127" t="s">
        <v>93</v>
      </c>
      <c r="C85" s="104"/>
      <c r="D85" s="35"/>
      <c r="E85" s="44"/>
      <c r="F85" s="13"/>
      <c r="G85" s="42"/>
    </row>
    <row r="86" spans="1:7" ht="15.75" thickBot="1" x14ac:dyDescent="0.25">
      <c r="A86" s="92" t="s">
        <v>32</v>
      </c>
      <c r="B86" s="115"/>
      <c r="C86" s="115"/>
      <c r="D86" s="115"/>
      <c r="E86" s="115"/>
      <c r="F86" s="94"/>
      <c r="G86" s="16">
        <f>ROUND(SUM(G80:G85),2)</f>
        <v>435.7</v>
      </c>
    </row>
    <row r="87" spans="1:7" ht="15.75" thickBot="1" x14ac:dyDescent="0.25">
      <c r="A87" s="69" t="s">
        <v>94</v>
      </c>
      <c r="B87" s="142" t="s">
        <v>95</v>
      </c>
      <c r="C87" s="143"/>
      <c r="D87" s="143"/>
      <c r="E87" s="143"/>
      <c r="F87" s="144"/>
      <c r="G87" s="70" t="s">
        <v>39</v>
      </c>
    </row>
    <row r="88" spans="1:7" ht="15.75" outlineLevel="1" thickBot="1" x14ac:dyDescent="0.25">
      <c r="A88" s="45" t="s">
        <v>96</v>
      </c>
      <c r="B88" s="145" t="s">
        <v>97</v>
      </c>
      <c r="C88" s="115"/>
      <c r="D88" s="115"/>
      <c r="E88" s="115"/>
      <c r="F88" s="94"/>
      <c r="G88" s="46">
        <v>0</v>
      </c>
    </row>
    <row r="89" spans="1:7" ht="15.75" thickBot="1" x14ac:dyDescent="0.25">
      <c r="A89" s="122" t="s">
        <v>32</v>
      </c>
      <c r="B89" s="115"/>
      <c r="C89" s="115"/>
      <c r="D89" s="115"/>
      <c r="E89" s="115"/>
      <c r="F89" s="94"/>
      <c r="G89" s="47">
        <v>0</v>
      </c>
    </row>
    <row r="90" spans="1:7" ht="15.75" thickBot="1" x14ac:dyDescent="0.25">
      <c r="A90" s="2"/>
      <c r="B90" s="1"/>
      <c r="C90" s="1"/>
      <c r="D90" s="1"/>
      <c r="E90" s="1"/>
      <c r="F90" s="1"/>
      <c r="G90" s="1"/>
    </row>
    <row r="91" spans="1:7" ht="13.5" thickBot="1" x14ac:dyDescent="0.25">
      <c r="A91" s="146" t="s">
        <v>98</v>
      </c>
      <c r="B91" s="147"/>
      <c r="C91" s="147"/>
      <c r="D91" s="147"/>
      <c r="E91" s="147"/>
      <c r="F91" s="147"/>
      <c r="G91" s="148"/>
    </row>
    <row r="92" spans="1:7" ht="15.75" thickBot="1" x14ac:dyDescent="0.25">
      <c r="A92" s="62">
        <v>4</v>
      </c>
      <c r="B92" s="126" t="s">
        <v>99</v>
      </c>
      <c r="C92" s="197"/>
      <c r="D92" s="197"/>
      <c r="E92" s="197"/>
      <c r="F92" s="102"/>
      <c r="G92" s="61" t="s">
        <v>39</v>
      </c>
    </row>
    <row r="93" spans="1:7" ht="15" outlineLevel="1" x14ac:dyDescent="0.2">
      <c r="A93" s="30" t="s">
        <v>100</v>
      </c>
      <c r="B93" s="127" t="s">
        <v>101</v>
      </c>
      <c r="C93" s="104"/>
      <c r="D93" s="104"/>
      <c r="E93" s="104"/>
      <c r="F93" s="105"/>
      <c r="G93" s="18">
        <f>G86</f>
        <v>435.7</v>
      </c>
    </row>
    <row r="94" spans="1:7" ht="15.75" outlineLevel="1" thickBot="1" x14ac:dyDescent="0.25">
      <c r="A94" s="32" t="s">
        <v>94</v>
      </c>
      <c r="B94" s="128" t="s">
        <v>102</v>
      </c>
      <c r="C94" s="129"/>
      <c r="D94" s="129"/>
      <c r="E94" s="129"/>
      <c r="F94" s="130"/>
      <c r="G94" s="24">
        <f>G89</f>
        <v>0</v>
      </c>
    </row>
    <row r="95" spans="1:7" ht="15.75" thickBot="1" x14ac:dyDescent="0.25">
      <c r="A95" s="92" t="s">
        <v>32</v>
      </c>
      <c r="B95" s="115"/>
      <c r="C95" s="115"/>
      <c r="D95" s="115"/>
      <c r="E95" s="115"/>
      <c r="F95" s="94"/>
      <c r="G95" s="16">
        <f>ROUND(SUM(G93:G94),2)</f>
        <v>435.7</v>
      </c>
    </row>
    <row r="96" spans="1:7" ht="15.75" thickBot="1" x14ac:dyDescent="0.25">
      <c r="A96" s="199"/>
      <c r="B96" s="115"/>
      <c r="C96" s="115"/>
      <c r="D96" s="115"/>
      <c r="E96" s="115"/>
      <c r="F96" s="115"/>
      <c r="G96" s="115"/>
    </row>
    <row r="97" spans="1:7" ht="13.5" thickBot="1" x14ac:dyDescent="0.25">
      <c r="A97" s="97" t="s">
        <v>103</v>
      </c>
      <c r="B97" s="196"/>
      <c r="C97" s="196"/>
      <c r="D97" s="196"/>
      <c r="E97" s="196"/>
      <c r="F97" s="196"/>
      <c r="G97" s="99"/>
    </row>
    <row r="98" spans="1:7" ht="30.75" outlineLevel="1" thickBot="1" x14ac:dyDescent="0.25">
      <c r="A98" s="62">
        <v>5</v>
      </c>
      <c r="B98" s="126" t="s">
        <v>104</v>
      </c>
      <c r="C98" s="197"/>
      <c r="D98" s="197"/>
      <c r="E98" s="197"/>
      <c r="F98" s="102"/>
      <c r="G98" s="74" t="s">
        <v>105</v>
      </c>
    </row>
    <row r="99" spans="1:7" ht="15" outlineLevel="1" x14ac:dyDescent="0.2">
      <c r="A99" s="9" t="s">
        <v>1</v>
      </c>
      <c r="B99" s="117" t="s">
        <v>137</v>
      </c>
      <c r="C99" s="104"/>
      <c r="D99" s="104"/>
      <c r="E99" s="104"/>
      <c r="F99" s="105"/>
      <c r="G99" s="40">
        <f>450/2</f>
        <v>225</v>
      </c>
    </row>
    <row r="100" spans="1:7" ht="15" outlineLevel="1" x14ac:dyDescent="0.2">
      <c r="A100" s="4" t="s">
        <v>3</v>
      </c>
      <c r="B100" s="118" t="s">
        <v>133</v>
      </c>
      <c r="C100" s="107"/>
      <c r="D100" s="107"/>
      <c r="E100" s="107"/>
      <c r="F100" s="108"/>
      <c r="G100" s="40">
        <f>250/2</f>
        <v>125</v>
      </c>
    </row>
    <row r="101" spans="1:7" ht="15" outlineLevel="1" x14ac:dyDescent="0.2">
      <c r="A101" s="4" t="s">
        <v>5</v>
      </c>
      <c r="B101" s="118" t="s">
        <v>134</v>
      </c>
      <c r="C101" s="140"/>
      <c r="D101" s="140"/>
      <c r="E101" s="140"/>
      <c r="F101" s="141"/>
      <c r="G101" s="19">
        <v>175</v>
      </c>
    </row>
    <row r="102" spans="1:7" ht="15" outlineLevel="1" x14ac:dyDescent="0.2">
      <c r="A102" s="4" t="s">
        <v>7</v>
      </c>
      <c r="B102" s="118" t="s">
        <v>135</v>
      </c>
      <c r="C102" s="140"/>
      <c r="D102" s="140"/>
      <c r="E102" s="140"/>
      <c r="F102" s="141"/>
      <c r="G102" s="19">
        <v>80</v>
      </c>
    </row>
    <row r="103" spans="1:7" ht="15" outlineLevel="1" x14ac:dyDescent="0.2">
      <c r="A103" s="4" t="s">
        <v>10</v>
      </c>
      <c r="B103" s="118" t="s">
        <v>136</v>
      </c>
      <c r="C103" s="140"/>
      <c r="D103" s="140"/>
      <c r="E103" s="140"/>
      <c r="F103" s="141"/>
      <c r="G103" s="42">
        <v>20</v>
      </c>
    </row>
    <row r="104" spans="1:7" ht="15.75" outlineLevel="1" thickBot="1" x14ac:dyDescent="0.25">
      <c r="A104" s="4" t="s">
        <v>30</v>
      </c>
      <c r="B104" s="118" t="s">
        <v>31</v>
      </c>
      <c r="C104" s="107"/>
      <c r="D104" s="107"/>
      <c r="E104" s="107"/>
      <c r="F104" s="108"/>
      <c r="G104" s="48">
        <v>0</v>
      </c>
    </row>
    <row r="105" spans="1:7" ht="15.75" thickBot="1" x14ac:dyDescent="0.25">
      <c r="A105" s="92" t="s">
        <v>32</v>
      </c>
      <c r="B105" s="115"/>
      <c r="C105" s="115"/>
      <c r="D105" s="115"/>
      <c r="E105" s="115"/>
      <c r="F105" s="94"/>
      <c r="G105" s="16">
        <f>ROUND(SUM(G99:G104),2)</f>
        <v>625</v>
      </c>
    </row>
    <row r="106" spans="1:7" ht="15.75" thickBot="1" x14ac:dyDescent="0.25">
      <c r="A106" s="95"/>
      <c r="B106" s="96"/>
      <c r="C106" s="96"/>
      <c r="D106" s="96"/>
      <c r="E106" s="96"/>
      <c r="F106" s="96"/>
      <c r="G106" s="96"/>
    </row>
    <row r="107" spans="1:7" ht="13.5" thickBot="1" x14ac:dyDescent="0.25">
      <c r="A107" s="97" t="s">
        <v>106</v>
      </c>
      <c r="B107" s="196"/>
      <c r="C107" s="196"/>
      <c r="D107" s="196"/>
      <c r="E107" s="196"/>
      <c r="F107" s="196"/>
      <c r="G107" s="99"/>
    </row>
    <row r="108" spans="1:7" ht="15.75" outlineLevel="1" thickBot="1" x14ac:dyDescent="0.25">
      <c r="A108" s="71">
        <v>6</v>
      </c>
      <c r="B108" s="100" t="s">
        <v>107</v>
      </c>
      <c r="C108" s="197"/>
      <c r="D108" s="102"/>
      <c r="E108" s="72" t="s">
        <v>37</v>
      </c>
      <c r="F108" s="72" t="s">
        <v>46</v>
      </c>
      <c r="G108" s="73" t="s">
        <v>39</v>
      </c>
    </row>
    <row r="109" spans="1:7" ht="15" outlineLevel="1" x14ac:dyDescent="0.2">
      <c r="A109" s="49" t="s">
        <v>1</v>
      </c>
      <c r="B109" s="103" t="s">
        <v>108</v>
      </c>
      <c r="C109" s="104"/>
      <c r="D109" s="105"/>
      <c r="E109" s="50">
        <f>G30+G63+G75+G95+G105</f>
        <v>20986.370000000003</v>
      </c>
      <c r="F109" s="17">
        <v>0.05</v>
      </c>
      <c r="G109" s="51">
        <f t="shared" ref="G109:G110" si="5">ROUND(E109*F109,2)</f>
        <v>1049.32</v>
      </c>
    </row>
    <row r="110" spans="1:7" ht="15" outlineLevel="1" x14ac:dyDescent="0.2">
      <c r="A110" s="52" t="s">
        <v>3</v>
      </c>
      <c r="B110" s="106" t="s">
        <v>109</v>
      </c>
      <c r="C110" s="107"/>
      <c r="D110" s="108"/>
      <c r="E110" s="53">
        <f>E109+G109</f>
        <v>22035.690000000002</v>
      </c>
      <c r="F110" s="13">
        <v>0.05</v>
      </c>
      <c r="G110" s="54">
        <f t="shared" si="5"/>
        <v>1101.78</v>
      </c>
    </row>
    <row r="111" spans="1:7" ht="15" outlineLevel="1" x14ac:dyDescent="0.2">
      <c r="A111" s="52" t="s">
        <v>5</v>
      </c>
      <c r="B111" s="106" t="s">
        <v>110</v>
      </c>
      <c r="C111" s="124"/>
      <c r="D111" s="125"/>
      <c r="E111" s="109">
        <f>((E109+G109+G110))</f>
        <v>23137.47</v>
      </c>
      <c r="F111" s="13">
        <v>6.4999999999999997E-3</v>
      </c>
      <c r="G111" s="19">
        <f>ROUND(($E$111*F111)/(100%-$F$115),2)</f>
        <v>161.11000000000001</v>
      </c>
    </row>
    <row r="112" spans="1:7" ht="15" outlineLevel="1" x14ac:dyDescent="0.2">
      <c r="A112" s="52" t="s">
        <v>7</v>
      </c>
      <c r="B112" s="106" t="s">
        <v>111</v>
      </c>
      <c r="C112" s="124"/>
      <c r="D112" s="125"/>
      <c r="E112" s="110"/>
      <c r="F112" s="13">
        <v>0.03</v>
      </c>
      <c r="G112" s="19">
        <f>ROUND(($E$111*F112)/(100%-$F$115),2)</f>
        <v>743.57</v>
      </c>
    </row>
    <row r="113" spans="1:7" ht="15" outlineLevel="1" x14ac:dyDescent="0.2">
      <c r="A113" s="52" t="s">
        <v>10</v>
      </c>
      <c r="B113" s="106" t="s">
        <v>112</v>
      </c>
      <c r="C113" s="107"/>
      <c r="D113" s="108"/>
      <c r="E113" s="110"/>
      <c r="F113" s="13">
        <v>0.03</v>
      </c>
      <c r="G113" s="19">
        <f>ROUND(($E$111*F113)/(100%-$F$115),2)</f>
        <v>743.57</v>
      </c>
    </row>
    <row r="114" spans="1:7" ht="15" outlineLevel="1" x14ac:dyDescent="0.2">
      <c r="A114" s="52" t="s">
        <v>30</v>
      </c>
      <c r="B114" s="106" t="s">
        <v>31</v>
      </c>
      <c r="C114" s="107"/>
      <c r="D114" s="108"/>
      <c r="E114" s="110"/>
      <c r="F114" s="13">
        <v>0</v>
      </c>
      <c r="G114" s="19">
        <f>ROUND(($E$111*F114)/(100%-$F$115),2)</f>
        <v>0</v>
      </c>
    </row>
    <row r="115" spans="1:7" ht="15.75" outlineLevel="1" thickBot="1" x14ac:dyDescent="0.25">
      <c r="A115" s="52" t="s">
        <v>57</v>
      </c>
      <c r="B115" s="106" t="s">
        <v>113</v>
      </c>
      <c r="C115" s="107"/>
      <c r="D115" s="107"/>
      <c r="E115" s="108"/>
      <c r="F115" s="13">
        <f>SUM(F111:F114)</f>
        <v>6.6500000000000004E-2</v>
      </c>
      <c r="G115" s="19">
        <v>0</v>
      </c>
    </row>
    <row r="116" spans="1:7" ht="15.75" thickBot="1" x14ac:dyDescent="0.25">
      <c r="A116" s="114" t="s">
        <v>32</v>
      </c>
      <c r="B116" s="115"/>
      <c r="C116" s="115"/>
      <c r="D116" s="115"/>
      <c r="E116" s="115"/>
      <c r="F116" s="115"/>
      <c r="G116" s="16">
        <f>SUM(G109:G115)</f>
        <v>3799.3500000000004</v>
      </c>
    </row>
    <row r="117" spans="1:7" ht="15.75" thickBot="1" x14ac:dyDescent="0.25">
      <c r="A117" s="95"/>
      <c r="B117" s="96"/>
      <c r="C117" s="96"/>
      <c r="D117" s="96"/>
      <c r="E117" s="96"/>
      <c r="F117" s="96"/>
      <c r="G117" s="96"/>
    </row>
    <row r="118" spans="1:7" ht="13.5" thickBot="1" x14ac:dyDescent="0.25">
      <c r="A118" s="97" t="s">
        <v>114</v>
      </c>
      <c r="B118" s="196"/>
      <c r="C118" s="196"/>
      <c r="D118" s="196"/>
      <c r="E118" s="196"/>
      <c r="F118" s="196"/>
      <c r="G118" s="99"/>
    </row>
    <row r="119" spans="1:7" ht="15.75" thickBot="1" x14ac:dyDescent="0.25">
      <c r="A119" s="116" t="s">
        <v>115</v>
      </c>
      <c r="B119" s="197"/>
      <c r="C119" s="197"/>
      <c r="D119" s="197"/>
      <c r="E119" s="197"/>
      <c r="F119" s="102"/>
      <c r="G119" s="61" t="s">
        <v>27</v>
      </c>
    </row>
    <row r="120" spans="1:7" ht="15" x14ac:dyDescent="0.2">
      <c r="A120" s="30" t="s">
        <v>1</v>
      </c>
      <c r="B120" s="117" t="s">
        <v>116</v>
      </c>
      <c r="C120" s="104"/>
      <c r="D120" s="104"/>
      <c r="E120" s="104"/>
      <c r="F120" s="105"/>
      <c r="G120" s="18">
        <f>G30</f>
        <v>12024.43</v>
      </c>
    </row>
    <row r="121" spans="1:7" ht="15" x14ac:dyDescent="0.2">
      <c r="A121" s="31" t="s">
        <v>3</v>
      </c>
      <c r="B121" s="118" t="s">
        <v>117</v>
      </c>
      <c r="C121" s="107"/>
      <c r="D121" s="107"/>
      <c r="E121" s="107"/>
      <c r="F121" s="108"/>
      <c r="G121" s="19">
        <f>G63</f>
        <v>7850.31</v>
      </c>
    </row>
    <row r="122" spans="1:7" ht="15" x14ac:dyDescent="0.2">
      <c r="A122" s="31" t="s">
        <v>5</v>
      </c>
      <c r="B122" s="118" t="s">
        <v>118</v>
      </c>
      <c r="C122" s="107"/>
      <c r="D122" s="107"/>
      <c r="E122" s="107"/>
      <c r="F122" s="108"/>
      <c r="G122" s="19">
        <f>G75</f>
        <v>50.930000000000007</v>
      </c>
    </row>
    <row r="123" spans="1:7" ht="15" x14ac:dyDescent="0.2">
      <c r="A123" s="31" t="s">
        <v>7</v>
      </c>
      <c r="B123" s="118" t="s">
        <v>119</v>
      </c>
      <c r="C123" s="107"/>
      <c r="D123" s="107"/>
      <c r="E123" s="107"/>
      <c r="F123" s="108"/>
      <c r="G123" s="19">
        <f>G95</f>
        <v>435.7</v>
      </c>
    </row>
    <row r="124" spans="1:7" ht="15.75" thickBot="1" x14ac:dyDescent="0.25">
      <c r="A124" s="55" t="s">
        <v>10</v>
      </c>
      <c r="B124" s="119" t="s">
        <v>120</v>
      </c>
      <c r="C124" s="120"/>
      <c r="D124" s="120"/>
      <c r="E124" s="120"/>
      <c r="F124" s="121"/>
      <c r="G124" s="56">
        <f>G105</f>
        <v>625</v>
      </c>
    </row>
    <row r="125" spans="1:7" ht="15.75" thickBot="1" x14ac:dyDescent="0.25">
      <c r="A125" s="122" t="s">
        <v>121</v>
      </c>
      <c r="B125" s="115"/>
      <c r="C125" s="115"/>
      <c r="D125" s="115"/>
      <c r="E125" s="115"/>
      <c r="F125" s="94"/>
      <c r="G125" s="57">
        <f>ROUND(SUM(G120:G124),2)</f>
        <v>20986.37</v>
      </c>
    </row>
    <row r="126" spans="1:7" ht="15.75" thickBot="1" x14ac:dyDescent="0.25">
      <c r="A126" s="58" t="s">
        <v>30</v>
      </c>
      <c r="B126" s="123" t="s">
        <v>122</v>
      </c>
      <c r="C126" s="115"/>
      <c r="D126" s="115"/>
      <c r="E126" s="115"/>
      <c r="F126" s="94"/>
      <c r="G126" s="59">
        <f>G116</f>
        <v>3799.3500000000004</v>
      </c>
    </row>
    <row r="127" spans="1:7" ht="15.75" thickBot="1" x14ac:dyDescent="0.25">
      <c r="A127" s="83" t="s">
        <v>55</v>
      </c>
      <c r="B127" s="111" t="s">
        <v>123</v>
      </c>
      <c r="C127" s="112"/>
      <c r="D127" s="112"/>
      <c r="E127" s="112"/>
      <c r="F127" s="113"/>
      <c r="G127" s="84">
        <f>G125+G126</f>
        <v>24785.72</v>
      </c>
    </row>
    <row r="128" spans="1:7" ht="13.5" thickBot="1" x14ac:dyDescent="0.25">
      <c r="A128" s="86" t="s">
        <v>57</v>
      </c>
      <c r="B128" s="89" t="s">
        <v>127</v>
      </c>
      <c r="C128" s="90"/>
      <c r="D128" s="90"/>
      <c r="E128" s="90"/>
      <c r="F128" s="91"/>
      <c r="G128" s="85">
        <f>G127/220</f>
        <v>112.66236363636364</v>
      </c>
    </row>
  </sheetData>
  <mergeCells count="141">
    <mergeCell ref="B128:F128"/>
    <mergeCell ref="B122:F122"/>
    <mergeCell ref="B123:F123"/>
    <mergeCell ref="B124:F124"/>
    <mergeCell ref="A125:F125"/>
    <mergeCell ref="B126:F126"/>
    <mergeCell ref="B127:F127"/>
    <mergeCell ref="A116:F116"/>
    <mergeCell ref="A117:G117"/>
    <mergeCell ref="A118:G118"/>
    <mergeCell ref="A119:F119"/>
    <mergeCell ref="B120:F120"/>
    <mergeCell ref="B121:F121"/>
    <mergeCell ref="B111:D111"/>
    <mergeCell ref="E111:E114"/>
    <mergeCell ref="B112:D112"/>
    <mergeCell ref="B113:D113"/>
    <mergeCell ref="B114:D114"/>
    <mergeCell ref="B115:E115"/>
    <mergeCell ref="A105:F105"/>
    <mergeCell ref="A106:G106"/>
    <mergeCell ref="A107:G107"/>
    <mergeCell ref="B108:D108"/>
    <mergeCell ref="B109:D109"/>
    <mergeCell ref="B110:D110"/>
    <mergeCell ref="B99:F99"/>
    <mergeCell ref="B100:F100"/>
    <mergeCell ref="B101:F101"/>
    <mergeCell ref="B102:F102"/>
    <mergeCell ref="B103:F103"/>
    <mergeCell ref="B104:F104"/>
    <mergeCell ref="B93:F93"/>
    <mergeCell ref="B94:F94"/>
    <mergeCell ref="A95:F95"/>
    <mergeCell ref="A96:G96"/>
    <mergeCell ref="A97:G97"/>
    <mergeCell ref="B98:F98"/>
    <mergeCell ref="A86:F86"/>
    <mergeCell ref="B87:F87"/>
    <mergeCell ref="B88:F88"/>
    <mergeCell ref="A89:F89"/>
    <mergeCell ref="A91:G91"/>
    <mergeCell ref="B92:F92"/>
    <mergeCell ref="B81:C81"/>
    <mergeCell ref="D81:D83"/>
    <mergeCell ref="B82:C82"/>
    <mergeCell ref="B83:C83"/>
    <mergeCell ref="B84:C84"/>
    <mergeCell ref="B85:C85"/>
    <mergeCell ref="A75:F75"/>
    <mergeCell ref="A76:G76"/>
    <mergeCell ref="A77:G77"/>
    <mergeCell ref="A78:G78"/>
    <mergeCell ref="B79:C79"/>
    <mergeCell ref="B80:C80"/>
    <mergeCell ref="A65:G65"/>
    <mergeCell ref="B67:C67"/>
    <mergeCell ref="E67:E73"/>
    <mergeCell ref="F67:F70"/>
    <mergeCell ref="B68:C68"/>
    <mergeCell ref="B69:C69"/>
    <mergeCell ref="B71:C71"/>
    <mergeCell ref="D71:D73"/>
    <mergeCell ref="F71:F73"/>
    <mergeCell ref="B59:F59"/>
    <mergeCell ref="B60:F60"/>
    <mergeCell ref="B61:F61"/>
    <mergeCell ref="B62:F62"/>
    <mergeCell ref="A63:F63"/>
    <mergeCell ref="A64:G64"/>
    <mergeCell ref="B52:C52"/>
    <mergeCell ref="B53:C53"/>
    <mergeCell ref="B54:C54"/>
    <mergeCell ref="B55:F55"/>
    <mergeCell ref="A56:F56"/>
    <mergeCell ref="A58:G58"/>
    <mergeCell ref="B46:D46"/>
    <mergeCell ref="B47:D47"/>
    <mergeCell ref="B48:D48"/>
    <mergeCell ref="B49:D49"/>
    <mergeCell ref="A50:E50"/>
    <mergeCell ref="A51:G51"/>
    <mergeCell ref="A39:G39"/>
    <mergeCell ref="B40:D40"/>
    <mergeCell ref="B41:D41"/>
    <mergeCell ref="E41:E49"/>
    <mergeCell ref="A42:A43"/>
    <mergeCell ref="B42:B43"/>
    <mergeCell ref="F42:F43"/>
    <mergeCell ref="G42:G43"/>
    <mergeCell ref="B44:D44"/>
    <mergeCell ref="B45:D45"/>
    <mergeCell ref="B34:D34"/>
    <mergeCell ref="B35:D35"/>
    <mergeCell ref="E35:E37"/>
    <mergeCell ref="B36:D36"/>
    <mergeCell ref="B37:D37"/>
    <mergeCell ref="A38:F38"/>
    <mergeCell ref="B28:F28"/>
    <mergeCell ref="B29:F29"/>
    <mergeCell ref="A30:F30"/>
    <mergeCell ref="A31:G31"/>
    <mergeCell ref="A32:G32"/>
    <mergeCell ref="A33:G33"/>
    <mergeCell ref="A22:G22"/>
    <mergeCell ref="A23:G23"/>
    <mergeCell ref="B24:F24"/>
    <mergeCell ref="B25:F25"/>
    <mergeCell ref="B26:D26"/>
    <mergeCell ref="B27:D27"/>
    <mergeCell ref="B19:E19"/>
    <mergeCell ref="F19:G19"/>
    <mergeCell ref="B20:E20"/>
    <mergeCell ref="F20:G20"/>
    <mergeCell ref="B21:E21"/>
    <mergeCell ref="F21:G21"/>
    <mergeCell ref="A15:G15"/>
    <mergeCell ref="A16:G16"/>
    <mergeCell ref="B17:E17"/>
    <mergeCell ref="F17:G17"/>
    <mergeCell ref="B18:E18"/>
    <mergeCell ref="F18:G18"/>
    <mergeCell ref="A9:G9"/>
    <mergeCell ref="A10:G10"/>
    <mergeCell ref="A11:E11"/>
    <mergeCell ref="A12:E12"/>
    <mergeCell ref="A13:G13"/>
    <mergeCell ref="A14:G14"/>
    <mergeCell ref="B6:E6"/>
    <mergeCell ref="F6:G6"/>
    <mergeCell ref="B7:E7"/>
    <mergeCell ref="F7:G7"/>
    <mergeCell ref="B8:E8"/>
    <mergeCell ref="F8:G8"/>
    <mergeCell ref="A1:G1"/>
    <mergeCell ref="A2:G2"/>
    <mergeCell ref="A3:G3"/>
    <mergeCell ref="B4:E4"/>
    <mergeCell ref="F4:G4"/>
    <mergeCell ref="B5:E5"/>
    <mergeCell ref="F5:G5"/>
  </mergeCells>
  <dataValidations count="1">
    <dataValidation type="list" allowBlank="1" sqref="F7" xr:uid="{1272B768-C142-463A-9676-C35481BE4800}">
      <formula1>"Lucro Real,Lucro Presumido,Lucro Arbitrado"</formula1>
    </dataValidation>
  </dataValidations>
  <pageMargins left="0.511811024" right="0.511811024" top="0.78740157499999996" bottom="0.78740157499999996" header="0.31496062000000002" footer="0.31496062000000002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DFDEA-8857-4003-B7E5-3ED001BB9FAF}">
  <dimension ref="A1:G128"/>
  <sheetViews>
    <sheetView tabSelected="1" topLeftCell="A64" workbookViewId="0">
      <selection activeCell="A15" sqref="A15:G15"/>
    </sheetView>
  </sheetViews>
  <sheetFormatPr defaultColWidth="14.42578125" defaultRowHeight="12.75" outlineLevelRow="1" x14ac:dyDescent="0.2"/>
  <cols>
    <col min="1" max="1" width="8.7109375" customWidth="1"/>
    <col min="2" max="2" width="39.42578125" customWidth="1"/>
    <col min="3" max="5" width="15.140625" customWidth="1"/>
    <col min="6" max="6" width="19.28515625" bestFit="1" customWidth="1"/>
    <col min="7" max="7" width="17.42578125" bestFit="1" customWidth="1"/>
  </cols>
  <sheetData>
    <row r="1" spans="1:7" ht="15" customHeight="1" outlineLevel="1" thickBot="1" x14ac:dyDescent="0.25">
      <c r="A1" s="166" t="s">
        <v>124</v>
      </c>
      <c r="B1" s="167"/>
      <c r="C1" s="167"/>
      <c r="D1" s="167"/>
      <c r="E1" s="167"/>
      <c r="F1" s="167"/>
      <c r="G1" s="168"/>
    </row>
    <row r="2" spans="1:7" ht="15" customHeight="1" outlineLevel="1" thickBot="1" x14ac:dyDescent="0.25">
      <c r="A2" s="97" t="s">
        <v>145</v>
      </c>
      <c r="B2" s="98"/>
      <c r="C2" s="98"/>
      <c r="D2" s="98"/>
      <c r="E2" s="98"/>
      <c r="F2" s="98"/>
      <c r="G2" s="99"/>
    </row>
    <row r="3" spans="1:7" ht="15" customHeight="1" outlineLevel="1" thickBot="1" x14ac:dyDescent="0.25">
      <c r="A3" s="116" t="s">
        <v>0</v>
      </c>
      <c r="B3" s="101"/>
      <c r="C3" s="101"/>
      <c r="D3" s="101"/>
      <c r="E3" s="101"/>
      <c r="F3" s="101"/>
      <c r="G3" s="136"/>
    </row>
    <row r="4" spans="1:7" ht="15" customHeight="1" outlineLevel="1" x14ac:dyDescent="0.2">
      <c r="A4" s="3" t="s">
        <v>1</v>
      </c>
      <c r="B4" s="169" t="s">
        <v>2</v>
      </c>
      <c r="C4" s="170"/>
      <c r="D4" s="170"/>
      <c r="E4" s="170"/>
      <c r="F4" s="171" t="s">
        <v>141</v>
      </c>
      <c r="G4" s="172"/>
    </row>
    <row r="5" spans="1:7" ht="15" customHeight="1" outlineLevel="1" x14ac:dyDescent="0.2">
      <c r="A5" s="4" t="s">
        <v>3</v>
      </c>
      <c r="B5" s="118" t="s">
        <v>4</v>
      </c>
      <c r="C5" s="107"/>
      <c r="D5" s="107"/>
      <c r="E5" s="107"/>
      <c r="F5" s="173" t="s">
        <v>132</v>
      </c>
      <c r="G5" s="174"/>
    </row>
    <row r="6" spans="1:7" ht="15" customHeight="1" outlineLevel="1" x14ac:dyDescent="0.2">
      <c r="A6" s="4" t="s">
        <v>5</v>
      </c>
      <c r="B6" s="118" t="s">
        <v>6</v>
      </c>
      <c r="C6" s="107"/>
      <c r="D6" s="107"/>
      <c r="E6" s="107"/>
      <c r="F6" s="173" t="s">
        <v>84</v>
      </c>
      <c r="G6" s="174"/>
    </row>
    <row r="7" spans="1:7" ht="15" customHeight="1" outlineLevel="1" x14ac:dyDescent="0.2">
      <c r="A7" s="4" t="s">
        <v>7</v>
      </c>
      <c r="B7" s="118" t="s">
        <v>8</v>
      </c>
      <c r="C7" s="107"/>
      <c r="D7" s="107"/>
      <c r="E7" s="107"/>
      <c r="F7" s="175" t="s">
        <v>9</v>
      </c>
      <c r="G7" s="176"/>
    </row>
    <row r="8" spans="1:7" ht="15" customHeight="1" outlineLevel="1" thickBot="1" x14ac:dyDescent="0.25">
      <c r="A8" s="6" t="s">
        <v>10</v>
      </c>
      <c r="B8" s="119" t="s">
        <v>11</v>
      </c>
      <c r="C8" s="120"/>
      <c r="D8" s="120"/>
      <c r="E8" s="120"/>
      <c r="F8" s="177">
        <v>1</v>
      </c>
      <c r="G8" s="178"/>
    </row>
    <row r="9" spans="1:7" ht="15" customHeight="1" outlineLevel="1" thickBot="1" x14ac:dyDescent="0.25">
      <c r="A9" s="95"/>
      <c r="B9" s="96"/>
      <c r="C9" s="96"/>
      <c r="D9" s="96"/>
      <c r="E9" s="96"/>
      <c r="F9" s="96"/>
      <c r="G9" s="96"/>
    </row>
    <row r="10" spans="1:7" ht="15" customHeight="1" outlineLevel="1" thickBot="1" x14ac:dyDescent="0.25">
      <c r="A10" s="97" t="s">
        <v>12</v>
      </c>
      <c r="B10" s="98"/>
      <c r="C10" s="98"/>
      <c r="D10" s="98"/>
      <c r="E10" s="98"/>
      <c r="F10" s="98"/>
      <c r="G10" s="99"/>
    </row>
    <row r="11" spans="1:7" ht="30.75" outlineLevel="1" thickBot="1" x14ac:dyDescent="0.25">
      <c r="A11" s="116" t="s">
        <v>13</v>
      </c>
      <c r="B11" s="101"/>
      <c r="C11" s="101"/>
      <c r="D11" s="101"/>
      <c r="E11" s="102"/>
      <c r="F11" s="60" t="s">
        <v>14</v>
      </c>
      <c r="G11" s="61" t="s">
        <v>15</v>
      </c>
    </row>
    <row r="12" spans="1:7" ht="30.75" outlineLevel="1" thickBot="1" x14ac:dyDescent="0.25">
      <c r="A12" s="179" t="s">
        <v>152</v>
      </c>
      <c r="B12" s="96"/>
      <c r="C12" s="96"/>
      <c r="D12" s="96"/>
      <c r="E12" s="180"/>
      <c r="F12" s="7" t="s">
        <v>16</v>
      </c>
      <c r="G12" s="8">
        <v>1</v>
      </c>
    </row>
    <row r="13" spans="1:7" ht="15" customHeight="1" thickBot="1" x14ac:dyDescent="0.25">
      <c r="A13" s="181"/>
      <c r="B13" s="93"/>
      <c r="C13" s="93"/>
      <c r="D13" s="93"/>
      <c r="E13" s="93"/>
      <c r="F13" s="93"/>
      <c r="G13" s="93"/>
    </row>
    <row r="14" spans="1:7" ht="15" customHeight="1" thickBot="1" x14ac:dyDescent="0.25">
      <c r="A14" s="97" t="s">
        <v>17</v>
      </c>
      <c r="B14" s="98"/>
      <c r="C14" s="98"/>
      <c r="D14" s="98"/>
      <c r="E14" s="98"/>
      <c r="F14" s="98"/>
      <c r="G14" s="99"/>
    </row>
    <row r="15" spans="1:7" ht="15" customHeight="1" outlineLevel="1" thickBot="1" x14ac:dyDescent="0.25">
      <c r="A15" s="182" t="s">
        <v>18</v>
      </c>
      <c r="B15" s="133"/>
      <c r="C15" s="133"/>
      <c r="D15" s="133"/>
      <c r="E15" s="133"/>
      <c r="F15" s="133"/>
      <c r="G15" s="183"/>
    </row>
    <row r="16" spans="1:7" ht="15" customHeight="1" outlineLevel="1" thickBot="1" x14ac:dyDescent="0.25">
      <c r="A16" s="116" t="s">
        <v>19</v>
      </c>
      <c r="B16" s="101"/>
      <c r="C16" s="101"/>
      <c r="D16" s="101"/>
      <c r="E16" s="101"/>
      <c r="F16" s="101"/>
      <c r="G16" s="136"/>
    </row>
    <row r="17" spans="1:7" ht="15" customHeight="1" outlineLevel="1" x14ac:dyDescent="0.2">
      <c r="A17" s="9">
        <v>1</v>
      </c>
      <c r="B17" s="117" t="s">
        <v>20</v>
      </c>
      <c r="C17" s="104"/>
      <c r="D17" s="104"/>
      <c r="E17" s="104"/>
      <c r="F17" s="173" t="s">
        <v>128</v>
      </c>
      <c r="G17" s="174"/>
    </row>
    <row r="18" spans="1:7" ht="15" customHeight="1" outlineLevel="1" x14ac:dyDescent="0.2">
      <c r="A18" s="4">
        <v>2</v>
      </c>
      <c r="B18" s="118" t="s">
        <v>21</v>
      </c>
      <c r="C18" s="107"/>
      <c r="D18" s="107"/>
      <c r="E18" s="107"/>
      <c r="F18" s="184" t="s">
        <v>129</v>
      </c>
      <c r="G18" s="185"/>
    </row>
    <row r="19" spans="1:7" ht="15" customHeight="1" outlineLevel="1" x14ac:dyDescent="0.2">
      <c r="A19" s="4">
        <v>3</v>
      </c>
      <c r="B19" s="118" t="s">
        <v>22</v>
      </c>
      <c r="C19" s="107"/>
      <c r="D19" s="107"/>
      <c r="E19" s="107"/>
      <c r="F19" s="186">
        <v>4750</v>
      </c>
      <c r="G19" s="187"/>
    </row>
    <row r="20" spans="1:7" ht="15" customHeight="1" outlineLevel="1" x14ac:dyDescent="0.2">
      <c r="A20" s="4">
        <v>4</v>
      </c>
      <c r="B20" s="118" t="s">
        <v>23</v>
      </c>
      <c r="C20" s="107"/>
      <c r="D20" s="107"/>
      <c r="E20" s="107"/>
      <c r="F20" s="188" t="s">
        <v>130</v>
      </c>
      <c r="G20" s="187"/>
    </row>
    <row r="21" spans="1:7" ht="15" customHeight="1" outlineLevel="1" thickBot="1" x14ac:dyDescent="0.25">
      <c r="A21" s="6">
        <v>5</v>
      </c>
      <c r="B21" s="119" t="s">
        <v>24</v>
      </c>
      <c r="C21" s="120"/>
      <c r="D21" s="120"/>
      <c r="E21" s="120"/>
      <c r="F21" s="194">
        <v>46157</v>
      </c>
      <c r="G21" s="178"/>
    </row>
    <row r="22" spans="1:7" ht="15" customHeight="1" thickBot="1" x14ac:dyDescent="0.25">
      <c r="A22" s="95"/>
      <c r="B22" s="96"/>
      <c r="C22" s="96"/>
      <c r="D22" s="96"/>
      <c r="E22" s="96"/>
      <c r="F22" s="96"/>
      <c r="G22" s="96"/>
    </row>
    <row r="23" spans="1:7" ht="13.5" thickBot="1" x14ac:dyDescent="0.25">
      <c r="A23" s="97" t="s">
        <v>25</v>
      </c>
      <c r="B23" s="98"/>
      <c r="C23" s="98"/>
      <c r="D23" s="98"/>
      <c r="E23" s="98"/>
      <c r="F23" s="98"/>
      <c r="G23" s="99"/>
    </row>
    <row r="24" spans="1:7" ht="15.75" thickBot="1" x14ac:dyDescent="0.25">
      <c r="A24" s="62">
        <v>1</v>
      </c>
      <c r="B24" s="126" t="s">
        <v>26</v>
      </c>
      <c r="C24" s="101"/>
      <c r="D24" s="101"/>
      <c r="E24" s="101"/>
      <c r="F24" s="102"/>
      <c r="G24" s="64" t="s">
        <v>27</v>
      </c>
    </row>
    <row r="25" spans="1:7" ht="15" outlineLevel="1" x14ac:dyDescent="0.2">
      <c r="A25" s="9" t="s">
        <v>1</v>
      </c>
      <c r="B25" s="117" t="s">
        <v>144</v>
      </c>
      <c r="C25" s="104"/>
      <c r="D25" s="104"/>
      <c r="E25" s="104"/>
      <c r="F25" s="105"/>
      <c r="G25" s="10">
        <f>F19/44*30</f>
        <v>3238.6363636363635</v>
      </c>
    </row>
    <row r="26" spans="1:7" ht="15" outlineLevel="1" x14ac:dyDescent="0.2">
      <c r="A26" s="4" t="s">
        <v>3</v>
      </c>
      <c r="B26" s="118" t="s">
        <v>28</v>
      </c>
      <c r="C26" s="140"/>
      <c r="D26" s="141"/>
      <c r="E26" s="12">
        <f>G25</f>
        <v>3238.6363636363635</v>
      </c>
      <c r="F26" s="13">
        <v>0</v>
      </c>
      <c r="G26" s="10">
        <v>0</v>
      </c>
    </row>
    <row r="27" spans="1:7" ht="15" outlineLevel="1" x14ac:dyDescent="0.2">
      <c r="A27" s="4" t="s">
        <v>5</v>
      </c>
      <c r="B27" s="161" t="s">
        <v>29</v>
      </c>
      <c r="C27" s="107"/>
      <c r="D27" s="108"/>
      <c r="E27" s="12">
        <f>G25</f>
        <v>3238.6363636363635</v>
      </c>
      <c r="F27" s="13">
        <v>0.4</v>
      </c>
      <c r="G27" s="14">
        <f>ROUND(E27*F27,2)</f>
        <v>1295.45</v>
      </c>
    </row>
    <row r="28" spans="1:7" ht="15" outlineLevel="1" x14ac:dyDescent="0.2">
      <c r="A28" s="4" t="s">
        <v>7</v>
      </c>
      <c r="B28" s="118" t="s">
        <v>139</v>
      </c>
      <c r="C28" s="107"/>
      <c r="D28" s="107"/>
      <c r="E28" s="107"/>
      <c r="F28" s="108"/>
      <c r="G28" s="14"/>
    </row>
    <row r="29" spans="1:7" ht="15.75" outlineLevel="1" thickBot="1" x14ac:dyDescent="0.25">
      <c r="A29" s="6" t="s">
        <v>10</v>
      </c>
      <c r="B29" s="119" t="s">
        <v>31</v>
      </c>
      <c r="C29" s="120"/>
      <c r="D29" s="120"/>
      <c r="E29" s="120"/>
      <c r="F29" s="121"/>
      <c r="G29" s="15">
        <v>0</v>
      </c>
    </row>
    <row r="30" spans="1:7" ht="15.75" thickBot="1" x14ac:dyDescent="0.25">
      <c r="A30" s="92" t="s">
        <v>32</v>
      </c>
      <c r="B30" s="93"/>
      <c r="C30" s="93"/>
      <c r="D30" s="93"/>
      <c r="E30" s="93"/>
      <c r="F30" s="94"/>
      <c r="G30" s="16">
        <f>ROUND(SUM(G25:G29),2)</f>
        <v>4534.09</v>
      </c>
    </row>
    <row r="31" spans="1:7" ht="15.75" thickBot="1" x14ac:dyDescent="0.25">
      <c r="A31" s="95"/>
      <c r="B31" s="96"/>
      <c r="C31" s="96"/>
      <c r="D31" s="96"/>
      <c r="E31" s="96"/>
      <c r="F31" s="96"/>
      <c r="G31" s="96"/>
    </row>
    <row r="32" spans="1:7" ht="13.5" thickBot="1" x14ac:dyDescent="0.25">
      <c r="A32" s="97" t="s">
        <v>33</v>
      </c>
      <c r="B32" s="98"/>
      <c r="C32" s="98"/>
      <c r="D32" s="98"/>
      <c r="E32" s="98"/>
      <c r="F32" s="98"/>
      <c r="G32" s="99"/>
    </row>
    <row r="33" spans="1:7" ht="13.5" thickBot="1" x14ac:dyDescent="0.25">
      <c r="A33" s="116" t="s">
        <v>34</v>
      </c>
      <c r="B33" s="101"/>
      <c r="C33" s="101"/>
      <c r="D33" s="101"/>
      <c r="E33" s="101"/>
      <c r="F33" s="101"/>
      <c r="G33" s="136"/>
    </row>
    <row r="34" spans="1:7" ht="15.75" thickBot="1" x14ac:dyDescent="0.25">
      <c r="A34" s="62" t="s">
        <v>35</v>
      </c>
      <c r="B34" s="126" t="s">
        <v>36</v>
      </c>
      <c r="C34" s="101"/>
      <c r="D34" s="101"/>
      <c r="E34" s="60" t="s">
        <v>37</v>
      </c>
      <c r="F34" s="65" t="s">
        <v>38</v>
      </c>
      <c r="G34" s="61" t="s">
        <v>39</v>
      </c>
    </row>
    <row r="35" spans="1:7" ht="15" outlineLevel="1" x14ac:dyDescent="0.2">
      <c r="A35" s="9" t="s">
        <v>1</v>
      </c>
      <c r="B35" s="127" t="s">
        <v>40</v>
      </c>
      <c r="C35" s="104"/>
      <c r="D35" s="105"/>
      <c r="E35" s="153">
        <f>G30</f>
        <v>4534.09</v>
      </c>
      <c r="F35" s="17">
        <f t="shared" ref="F35:F36" si="0">1/12</f>
        <v>8.3333333333333329E-2</v>
      </c>
      <c r="G35" s="18">
        <f t="shared" ref="G35:G37" si="1">ROUND($E$35*F35,2)</f>
        <v>377.84</v>
      </c>
    </row>
    <row r="36" spans="1:7" ht="15" outlineLevel="1" x14ac:dyDescent="0.2">
      <c r="A36" s="4" t="s">
        <v>3</v>
      </c>
      <c r="B36" s="161" t="s">
        <v>41</v>
      </c>
      <c r="C36" s="107"/>
      <c r="D36" s="108"/>
      <c r="E36" s="139"/>
      <c r="F36" s="13">
        <f t="shared" si="0"/>
        <v>8.3333333333333329E-2</v>
      </c>
      <c r="G36" s="19">
        <f t="shared" si="1"/>
        <v>377.84</v>
      </c>
    </row>
    <row r="37" spans="1:7" ht="15.75" outlineLevel="1" thickBot="1" x14ac:dyDescent="0.25">
      <c r="A37" s="20" t="s">
        <v>5</v>
      </c>
      <c r="B37" s="135" t="s">
        <v>42</v>
      </c>
      <c r="C37" s="129"/>
      <c r="D37" s="130"/>
      <c r="E37" s="150"/>
      <c r="F37" s="21">
        <f>1/12/3</f>
        <v>2.7777777777777776E-2</v>
      </c>
      <c r="G37" s="22">
        <f t="shared" si="1"/>
        <v>125.95</v>
      </c>
    </row>
    <row r="38" spans="1:7" ht="15.75" thickBot="1" x14ac:dyDescent="0.25">
      <c r="A38" s="92" t="s">
        <v>32</v>
      </c>
      <c r="B38" s="93"/>
      <c r="C38" s="93"/>
      <c r="D38" s="93"/>
      <c r="E38" s="93"/>
      <c r="F38" s="94"/>
      <c r="G38" s="16">
        <f>ROUND(SUM(G35:G37),2)</f>
        <v>881.63</v>
      </c>
    </row>
    <row r="39" spans="1:7" ht="13.5" thickBot="1" x14ac:dyDescent="0.25">
      <c r="A39" s="116" t="s">
        <v>43</v>
      </c>
      <c r="B39" s="101"/>
      <c r="C39" s="101"/>
      <c r="D39" s="101"/>
      <c r="E39" s="101"/>
      <c r="F39" s="101"/>
      <c r="G39" s="136"/>
    </row>
    <row r="40" spans="1:7" ht="15.75" thickBot="1" x14ac:dyDescent="0.25">
      <c r="A40" s="62" t="s">
        <v>44</v>
      </c>
      <c r="B40" s="126" t="s">
        <v>45</v>
      </c>
      <c r="C40" s="101"/>
      <c r="D40" s="102"/>
      <c r="E40" s="60" t="s">
        <v>37</v>
      </c>
      <c r="F40" s="60" t="s">
        <v>46</v>
      </c>
      <c r="G40" s="61" t="s">
        <v>39</v>
      </c>
    </row>
    <row r="41" spans="1:7" ht="15" outlineLevel="1" x14ac:dyDescent="0.2">
      <c r="A41" s="9" t="s">
        <v>1</v>
      </c>
      <c r="B41" s="117" t="s">
        <v>47</v>
      </c>
      <c r="C41" s="104"/>
      <c r="D41" s="105"/>
      <c r="E41" s="153">
        <f>G30+G38</f>
        <v>5415.72</v>
      </c>
      <c r="F41" s="17">
        <v>0.2</v>
      </c>
      <c r="G41" s="18">
        <f>ROUND($E$41*F41,2)</f>
        <v>1083.1400000000001</v>
      </c>
    </row>
    <row r="42" spans="1:7" outlineLevel="1" x14ac:dyDescent="0.2">
      <c r="A42" s="162" t="s">
        <v>3</v>
      </c>
      <c r="B42" s="154" t="s">
        <v>48</v>
      </c>
      <c r="C42" s="23" t="s">
        <v>49</v>
      </c>
      <c r="D42" s="23" t="s">
        <v>50</v>
      </c>
      <c r="E42" s="139"/>
      <c r="F42" s="155">
        <f>ROUND(C43*D43,6)</f>
        <v>0.03</v>
      </c>
      <c r="G42" s="164">
        <f t="shared" ref="G42" si="2">ROUND($E$41*F42,2)</f>
        <v>162.47</v>
      </c>
    </row>
    <row r="43" spans="1:7" ht="15" outlineLevel="1" x14ac:dyDescent="0.2">
      <c r="A43" s="163"/>
      <c r="B43" s="150"/>
      <c r="C43" s="25">
        <v>1</v>
      </c>
      <c r="D43" s="26">
        <v>0.03</v>
      </c>
      <c r="E43" s="139"/>
      <c r="F43" s="150"/>
      <c r="G43" s="165"/>
    </row>
    <row r="44" spans="1:7" ht="15" outlineLevel="1" x14ac:dyDescent="0.2">
      <c r="A44" s="4" t="s">
        <v>5</v>
      </c>
      <c r="B44" s="118" t="s">
        <v>51</v>
      </c>
      <c r="C44" s="107"/>
      <c r="D44" s="108"/>
      <c r="E44" s="139"/>
      <c r="F44" s="13">
        <v>2.5000000000000001E-2</v>
      </c>
      <c r="G44" s="19">
        <f t="shared" ref="G44:G49" si="3">ROUND($E$41*F44,2)</f>
        <v>135.38999999999999</v>
      </c>
    </row>
    <row r="45" spans="1:7" ht="15" outlineLevel="1" x14ac:dyDescent="0.2">
      <c r="A45" s="4" t="s">
        <v>7</v>
      </c>
      <c r="B45" s="118" t="s">
        <v>52</v>
      </c>
      <c r="C45" s="107"/>
      <c r="D45" s="108"/>
      <c r="E45" s="139"/>
      <c r="F45" s="13">
        <v>1.4999999999999999E-2</v>
      </c>
      <c r="G45" s="19">
        <f t="shared" si="3"/>
        <v>81.239999999999995</v>
      </c>
    </row>
    <row r="46" spans="1:7" ht="15" outlineLevel="1" x14ac:dyDescent="0.2">
      <c r="A46" s="4" t="s">
        <v>10</v>
      </c>
      <c r="B46" s="118" t="s">
        <v>53</v>
      </c>
      <c r="C46" s="107"/>
      <c r="D46" s="108"/>
      <c r="E46" s="139"/>
      <c r="F46" s="13">
        <v>0.01</v>
      </c>
      <c r="G46" s="19">
        <f t="shared" si="3"/>
        <v>54.16</v>
      </c>
    </row>
    <row r="47" spans="1:7" ht="15" outlineLevel="1" x14ac:dyDescent="0.2">
      <c r="A47" s="4" t="s">
        <v>30</v>
      </c>
      <c r="B47" s="118" t="s">
        <v>54</v>
      </c>
      <c r="C47" s="107"/>
      <c r="D47" s="108"/>
      <c r="E47" s="139"/>
      <c r="F47" s="13">
        <v>6.0000000000000001E-3</v>
      </c>
      <c r="G47" s="19">
        <f t="shared" si="3"/>
        <v>32.49</v>
      </c>
    </row>
    <row r="48" spans="1:7" ht="15" outlineLevel="1" x14ac:dyDescent="0.2">
      <c r="A48" s="4" t="s">
        <v>55</v>
      </c>
      <c r="B48" s="118" t="s">
        <v>56</v>
      </c>
      <c r="C48" s="107"/>
      <c r="D48" s="108"/>
      <c r="E48" s="139"/>
      <c r="F48" s="13">
        <v>2E-3</v>
      </c>
      <c r="G48" s="19">
        <f t="shared" si="3"/>
        <v>10.83</v>
      </c>
    </row>
    <row r="49" spans="1:7" ht="15.75" outlineLevel="1" thickBot="1" x14ac:dyDescent="0.25">
      <c r="A49" s="20" t="s">
        <v>57</v>
      </c>
      <c r="B49" s="135" t="s">
        <v>58</v>
      </c>
      <c r="C49" s="129"/>
      <c r="D49" s="130"/>
      <c r="E49" s="150"/>
      <c r="F49" s="21">
        <v>0.08</v>
      </c>
      <c r="G49" s="24">
        <f t="shared" si="3"/>
        <v>433.26</v>
      </c>
    </row>
    <row r="50" spans="1:7" ht="15.75" thickBot="1" x14ac:dyDescent="0.25">
      <c r="A50" s="92" t="s">
        <v>32</v>
      </c>
      <c r="B50" s="93"/>
      <c r="C50" s="93"/>
      <c r="D50" s="93"/>
      <c r="E50" s="94"/>
      <c r="F50" s="27">
        <f>SUM(F41:F49)</f>
        <v>0.36800000000000005</v>
      </c>
      <c r="G50" s="16">
        <f>ROUND(SUM(G41:G49),2)</f>
        <v>1992.98</v>
      </c>
    </row>
    <row r="51" spans="1:7" ht="13.5" thickBot="1" x14ac:dyDescent="0.25">
      <c r="A51" s="146" t="s">
        <v>59</v>
      </c>
      <c r="B51" s="147"/>
      <c r="C51" s="147"/>
      <c r="D51" s="147"/>
      <c r="E51" s="147"/>
      <c r="F51" s="147"/>
      <c r="G51" s="148"/>
    </row>
    <row r="52" spans="1:7" ht="27.6" customHeight="1" thickBot="1" x14ac:dyDescent="0.25">
      <c r="A52" s="79" t="s">
        <v>60</v>
      </c>
      <c r="B52" s="156" t="s">
        <v>61</v>
      </c>
      <c r="C52" s="157"/>
      <c r="D52" s="80" t="s">
        <v>62</v>
      </c>
      <c r="E52" s="80" t="s">
        <v>63</v>
      </c>
      <c r="F52" s="81" t="s">
        <v>64</v>
      </c>
      <c r="G52" s="82" t="s">
        <v>65</v>
      </c>
    </row>
    <row r="53" spans="1:7" ht="15" outlineLevel="1" x14ac:dyDescent="0.2">
      <c r="A53" s="77" t="s">
        <v>1</v>
      </c>
      <c r="B53" s="158" t="s">
        <v>125</v>
      </c>
      <c r="C53" s="159"/>
      <c r="D53" s="78">
        <v>44</v>
      </c>
      <c r="E53" s="28">
        <v>5.5</v>
      </c>
      <c r="F53" s="28">
        <f>ROUND(G25*6%,2)</f>
        <v>194.32</v>
      </c>
      <c r="G53" s="18">
        <f>ROUND(D53*E53-F53,2)</f>
        <v>47.68</v>
      </c>
    </row>
    <row r="54" spans="1:7" ht="15" outlineLevel="1" x14ac:dyDescent="0.2">
      <c r="A54" s="75" t="s">
        <v>3</v>
      </c>
      <c r="B54" s="160" t="s">
        <v>66</v>
      </c>
      <c r="C54" s="160"/>
      <c r="D54" s="76">
        <v>22</v>
      </c>
      <c r="E54" s="28">
        <v>35</v>
      </c>
      <c r="F54" s="28">
        <f>ROUND(E54*19%,2)</f>
        <v>6.65</v>
      </c>
      <c r="G54" s="19">
        <f>D54*(E54-F54)</f>
        <v>623.70000000000005</v>
      </c>
    </row>
    <row r="55" spans="1:7" ht="15.75" outlineLevel="1" thickBot="1" x14ac:dyDescent="0.25">
      <c r="A55" s="20" t="s">
        <v>5</v>
      </c>
      <c r="B55" s="135" t="s">
        <v>31</v>
      </c>
      <c r="C55" s="129"/>
      <c r="D55" s="129"/>
      <c r="E55" s="129"/>
      <c r="F55" s="130"/>
      <c r="G55" s="24">
        <v>0</v>
      </c>
    </row>
    <row r="56" spans="1:7" ht="15.75" thickBot="1" x14ac:dyDescent="0.25">
      <c r="A56" s="92" t="s">
        <v>32</v>
      </c>
      <c r="B56" s="93"/>
      <c r="C56" s="93"/>
      <c r="D56" s="93"/>
      <c r="E56" s="93"/>
      <c r="F56" s="94"/>
      <c r="G56" s="16">
        <f>ROUND(SUM(G53:G55),2)</f>
        <v>671.38</v>
      </c>
    </row>
    <row r="57" spans="1:7" ht="15.75" thickBot="1" x14ac:dyDescent="0.25">
      <c r="A57" s="29"/>
      <c r="B57" s="29"/>
      <c r="C57" s="29"/>
      <c r="D57" s="29"/>
      <c r="E57" s="29"/>
      <c r="F57" s="29"/>
      <c r="G57" s="29"/>
    </row>
    <row r="58" spans="1:7" ht="13.5" thickBot="1" x14ac:dyDescent="0.25">
      <c r="A58" s="116" t="s">
        <v>67</v>
      </c>
      <c r="B58" s="101"/>
      <c r="C58" s="101"/>
      <c r="D58" s="101"/>
      <c r="E58" s="101"/>
      <c r="F58" s="101"/>
      <c r="G58" s="136"/>
    </row>
    <row r="59" spans="1:7" ht="15.75" thickBot="1" x14ac:dyDescent="0.25">
      <c r="A59" s="66">
        <v>2</v>
      </c>
      <c r="B59" s="132" t="s">
        <v>68</v>
      </c>
      <c r="C59" s="133"/>
      <c r="D59" s="133"/>
      <c r="E59" s="133"/>
      <c r="F59" s="134"/>
      <c r="G59" s="67" t="s">
        <v>39</v>
      </c>
    </row>
    <row r="60" spans="1:7" ht="15" outlineLevel="1" x14ac:dyDescent="0.2">
      <c r="A60" s="30" t="s">
        <v>35</v>
      </c>
      <c r="B60" s="117" t="s">
        <v>69</v>
      </c>
      <c r="C60" s="104"/>
      <c r="D60" s="104"/>
      <c r="E60" s="104"/>
      <c r="F60" s="105"/>
      <c r="G60" s="18">
        <f>G38</f>
        <v>881.63</v>
      </c>
    </row>
    <row r="61" spans="1:7" ht="15" outlineLevel="1" x14ac:dyDescent="0.2">
      <c r="A61" s="31" t="s">
        <v>44</v>
      </c>
      <c r="B61" s="118" t="s">
        <v>70</v>
      </c>
      <c r="C61" s="107"/>
      <c r="D61" s="107"/>
      <c r="E61" s="107"/>
      <c r="F61" s="108"/>
      <c r="G61" s="19">
        <f>G50</f>
        <v>1992.98</v>
      </c>
    </row>
    <row r="62" spans="1:7" ht="15.75" outlineLevel="1" thickBot="1" x14ac:dyDescent="0.25">
      <c r="A62" s="32" t="s">
        <v>60</v>
      </c>
      <c r="B62" s="135" t="s">
        <v>61</v>
      </c>
      <c r="C62" s="129"/>
      <c r="D62" s="129"/>
      <c r="E62" s="129"/>
      <c r="F62" s="130"/>
      <c r="G62" s="24">
        <f>G56</f>
        <v>671.38</v>
      </c>
    </row>
    <row r="63" spans="1:7" ht="15.75" thickBot="1" x14ac:dyDescent="0.25">
      <c r="A63" s="92" t="s">
        <v>32</v>
      </c>
      <c r="B63" s="93"/>
      <c r="C63" s="93"/>
      <c r="D63" s="93"/>
      <c r="E63" s="93"/>
      <c r="F63" s="94"/>
      <c r="G63" s="16">
        <f>ROUND(SUM(G60:G62),2)</f>
        <v>3545.99</v>
      </c>
    </row>
    <row r="64" spans="1:7" ht="15.75" thickBot="1" x14ac:dyDescent="0.25">
      <c r="A64" s="95"/>
      <c r="B64" s="96"/>
      <c r="C64" s="96"/>
      <c r="D64" s="96"/>
      <c r="E64" s="96"/>
      <c r="F64" s="96"/>
      <c r="G64" s="96"/>
    </row>
    <row r="65" spans="1:7" ht="13.5" thickBot="1" x14ac:dyDescent="0.25">
      <c r="A65" s="97" t="s">
        <v>71</v>
      </c>
      <c r="B65" s="98"/>
      <c r="C65" s="98"/>
      <c r="D65" s="98"/>
      <c r="E65" s="98"/>
      <c r="F65" s="98"/>
      <c r="G65" s="99"/>
    </row>
    <row r="66" spans="1:7" ht="30.75" thickBot="1" x14ac:dyDescent="0.25">
      <c r="A66" s="62">
        <v>3</v>
      </c>
      <c r="B66" s="63" t="s">
        <v>72</v>
      </c>
      <c r="C66" s="60" t="s">
        <v>73</v>
      </c>
      <c r="D66" s="60" t="s">
        <v>37</v>
      </c>
      <c r="E66" s="60" t="s">
        <v>74</v>
      </c>
      <c r="F66" s="60" t="s">
        <v>75</v>
      </c>
      <c r="G66" s="61" t="s">
        <v>39</v>
      </c>
    </row>
    <row r="67" spans="1:7" ht="15" outlineLevel="1" x14ac:dyDescent="0.2">
      <c r="A67" s="9" t="s">
        <v>1</v>
      </c>
      <c r="B67" s="117" t="s">
        <v>76</v>
      </c>
      <c r="C67" s="104"/>
      <c r="D67" s="33">
        <f>ROUND(G30/30*36,2)</f>
        <v>5440.91</v>
      </c>
      <c r="E67" s="149">
        <f>1/30</f>
        <v>3.3333333333333333E-2</v>
      </c>
      <c r="F67" s="149">
        <v>0.02</v>
      </c>
      <c r="G67" s="18">
        <f>ROUND(D67*$E$67*$F$67,2)</f>
        <v>3.63</v>
      </c>
    </row>
    <row r="68" spans="1:7" ht="15" outlineLevel="1" x14ac:dyDescent="0.2">
      <c r="A68" s="4" t="s">
        <v>3</v>
      </c>
      <c r="B68" s="118" t="s">
        <v>77</v>
      </c>
      <c r="C68" s="107"/>
      <c r="D68" s="33">
        <f>ROUND(D67/12,2)</f>
        <v>453.41</v>
      </c>
      <c r="E68" s="139"/>
      <c r="F68" s="139"/>
      <c r="G68" s="18">
        <f>ROUND(D68*$E$67*$F$67,2)</f>
        <v>0.3</v>
      </c>
    </row>
    <row r="69" spans="1:7" ht="15" outlineLevel="1" x14ac:dyDescent="0.2">
      <c r="A69" s="4" t="s">
        <v>5</v>
      </c>
      <c r="B69" s="118" t="s">
        <v>78</v>
      </c>
      <c r="C69" s="107"/>
      <c r="D69" s="33">
        <f>ROUND(D67/12+D67/12/3,2)</f>
        <v>604.54999999999995</v>
      </c>
      <c r="E69" s="139"/>
      <c r="F69" s="139"/>
      <c r="G69" s="18">
        <f>ROUND(D69*$E$67*$F$67,2)</f>
        <v>0.4</v>
      </c>
    </row>
    <row r="70" spans="1:7" ht="30" outlineLevel="1" x14ac:dyDescent="0.2">
      <c r="A70" s="4" t="s">
        <v>7</v>
      </c>
      <c r="B70" s="5" t="s">
        <v>79</v>
      </c>
      <c r="C70" s="13">
        <f>F49</f>
        <v>0.08</v>
      </c>
      <c r="D70" s="33">
        <f>SUM(D67:D68)</f>
        <v>5894.32</v>
      </c>
      <c r="E70" s="139"/>
      <c r="F70" s="150"/>
      <c r="G70" s="18">
        <f>ROUND(D70*$E$67*$F$67*C70,2)</f>
        <v>0.31</v>
      </c>
    </row>
    <row r="71" spans="1:7" ht="15" outlineLevel="1" x14ac:dyDescent="0.2">
      <c r="A71" s="4" t="s">
        <v>10</v>
      </c>
      <c r="B71" s="118" t="s">
        <v>80</v>
      </c>
      <c r="C71" s="107"/>
      <c r="D71" s="151">
        <f>ROUND(G30/30*7,2)</f>
        <v>1057.95</v>
      </c>
      <c r="E71" s="139"/>
      <c r="F71" s="152">
        <v>0.05</v>
      </c>
      <c r="G71" s="18">
        <f>ROUND($D$71*$E$67*$F$71,2)</f>
        <v>1.76</v>
      </c>
    </row>
    <row r="72" spans="1:7" ht="15" outlineLevel="1" x14ac:dyDescent="0.2">
      <c r="A72" s="4" t="s">
        <v>30</v>
      </c>
      <c r="B72" s="5" t="s">
        <v>81</v>
      </c>
      <c r="C72" s="13">
        <f>F49</f>
        <v>0.08</v>
      </c>
      <c r="D72" s="139"/>
      <c r="E72" s="139"/>
      <c r="F72" s="139"/>
      <c r="G72" s="18">
        <f t="shared" ref="G72:G73" si="4">ROUND($D$71*$E$67*$F$71*C72,2)</f>
        <v>0.14000000000000001</v>
      </c>
    </row>
    <row r="73" spans="1:7" ht="30" outlineLevel="1" x14ac:dyDescent="0.2">
      <c r="A73" s="4" t="s">
        <v>55</v>
      </c>
      <c r="B73" s="5" t="s">
        <v>82</v>
      </c>
      <c r="C73" s="34">
        <f>F50-F49</f>
        <v>0.28800000000000003</v>
      </c>
      <c r="D73" s="150"/>
      <c r="E73" s="150"/>
      <c r="F73" s="150"/>
      <c r="G73" s="18">
        <f t="shared" si="4"/>
        <v>0.51</v>
      </c>
    </row>
    <row r="74" spans="1:7" ht="15.75" outlineLevel="1" thickBot="1" x14ac:dyDescent="0.25">
      <c r="A74" s="4" t="s">
        <v>57</v>
      </c>
      <c r="B74" s="35" t="s">
        <v>83</v>
      </c>
      <c r="C74" s="36">
        <v>0.4</v>
      </c>
      <c r="D74" s="33">
        <f>G49+G70+G72</f>
        <v>433.71</v>
      </c>
      <c r="E74" s="37" t="s">
        <v>84</v>
      </c>
      <c r="F74" s="13">
        <f>F67+F71</f>
        <v>7.0000000000000007E-2</v>
      </c>
      <c r="G74" s="18">
        <f>ROUND(D74*$F$74*C74,2)</f>
        <v>12.14</v>
      </c>
    </row>
    <row r="75" spans="1:7" ht="15.75" thickBot="1" x14ac:dyDescent="0.25">
      <c r="A75" s="92" t="s">
        <v>32</v>
      </c>
      <c r="B75" s="93"/>
      <c r="C75" s="93"/>
      <c r="D75" s="93"/>
      <c r="E75" s="93"/>
      <c r="F75" s="93"/>
      <c r="G75" s="16">
        <f>SUM(G67:G74)</f>
        <v>19.189999999999998</v>
      </c>
    </row>
    <row r="76" spans="1:7" ht="15.75" thickBot="1" x14ac:dyDescent="0.25">
      <c r="A76" s="95"/>
      <c r="B76" s="96"/>
      <c r="C76" s="96"/>
      <c r="D76" s="96"/>
      <c r="E76" s="96"/>
      <c r="F76" s="96"/>
      <c r="G76" s="96"/>
    </row>
    <row r="77" spans="1:7" ht="13.5" thickBot="1" x14ac:dyDescent="0.25">
      <c r="A77" s="97" t="s">
        <v>85</v>
      </c>
      <c r="B77" s="98"/>
      <c r="C77" s="98"/>
      <c r="D77" s="98"/>
      <c r="E77" s="98"/>
      <c r="F77" s="98"/>
      <c r="G77" s="99"/>
    </row>
    <row r="78" spans="1:7" ht="13.5" thickBot="1" x14ac:dyDescent="0.25">
      <c r="A78" s="116" t="s">
        <v>86</v>
      </c>
      <c r="B78" s="101"/>
      <c r="C78" s="101"/>
      <c r="D78" s="101"/>
      <c r="E78" s="101"/>
      <c r="F78" s="101"/>
      <c r="G78" s="136"/>
    </row>
    <row r="79" spans="1:7" ht="15.75" outlineLevel="1" thickBot="1" x14ac:dyDescent="0.25">
      <c r="A79" s="68">
        <v>43469</v>
      </c>
      <c r="B79" s="126" t="s">
        <v>87</v>
      </c>
      <c r="C79" s="101"/>
      <c r="D79" s="60" t="s">
        <v>37</v>
      </c>
      <c r="E79" s="60" t="s">
        <v>126</v>
      </c>
      <c r="F79" s="60" t="s">
        <v>38</v>
      </c>
      <c r="G79" s="61" t="s">
        <v>39</v>
      </c>
    </row>
    <row r="80" spans="1:7" ht="15" outlineLevel="1" x14ac:dyDescent="0.2">
      <c r="A80" s="9" t="s">
        <v>1</v>
      </c>
      <c r="B80" s="127" t="s">
        <v>88</v>
      </c>
      <c r="C80" s="104"/>
      <c r="D80" s="38">
        <f>G38+(G38*F50)+G55+G75</f>
        <v>1225.2598400000002</v>
      </c>
      <c r="E80" s="39">
        <v>0</v>
      </c>
      <c r="F80" s="17">
        <f>1/12</f>
        <v>8.3333333333333329E-2</v>
      </c>
      <c r="G80" s="40">
        <f>ROUND(D80*F80,2)</f>
        <v>102.1</v>
      </c>
    </row>
    <row r="81" spans="1:7" ht="15" outlineLevel="1" x14ac:dyDescent="0.2">
      <c r="A81" s="4" t="s">
        <v>3</v>
      </c>
      <c r="B81" s="137" t="s">
        <v>89</v>
      </c>
      <c r="C81" s="107"/>
      <c r="D81" s="138">
        <f>G30+G38+G50+(G56-G53-G54)+G75</f>
        <v>7427.89</v>
      </c>
      <c r="E81" s="41">
        <v>8.3000000000000001E-3</v>
      </c>
      <c r="F81" s="37" t="s">
        <v>84</v>
      </c>
      <c r="G81" s="42">
        <f>ROUND($D$81*E81,2)</f>
        <v>61.65</v>
      </c>
    </row>
    <row r="82" spans="1:7" ht="15" outlineLevel="1" x14ac:dyDescent="0.2">
      <c r="A82" s="4" t="s">
        <v>5</v>
      </c>
      <c r="B82" s="137" t="s">
        <v>90</v>
      </c>
      <c r="C82" s="107"/>
      <c r="D82" s="139"/>
      <c r="E82" s="41">
        <v>2.9999999999999997E-4</v>
      </c>
      <c r="F82" s="37" t="s">
        <v>84</v>
      </c>
      <c r="G82" s="42">
        <f>ROUND($D$81*5/250*E82,2)</f>
        <v>0.04</v>
      </c>
    </row>
    <row r="83" spans="1:7" ht="15" outlineLevel="1" x14ac:dyDescent="0.2">
      <c r="A83" s="4" t="s">
        <v>7</v>
      </c>
      <c r="B83" s="127" t="s">
        <v>91</v>
      </c>
      <c r="C83" s="104"/>
      <c r="D83" s="139"/>
      <c r="E83" s="41">
        <v>1.2999999999999999E-3</v>
      </c>
      <c r="F83" s="37" t="s">
        <v>84</v>
      </c>
      <c r="G83" s="42">
        <f>ROUND($D$81*15/365.25*E83,2)</f>
        <v>0.4</v>
      </c>
    </row>
    <row r="84" spans="1:7" ht="15" outlineLevel="1" x14ac:dyDescent="0.2">
      <c r="A84" s="4" t="s">
        <v>10</v>
      </c>
      <c r="B84" s="127" t="s">
        <v>92</v>
      </c>
      <c r="C84" s="104"/>
      <c r="D84" s="43">
        <f>ROUND((G36+G37+G49+G56-G53-G54+G75),2)</f>
        <v>956.24</v>
      </c>
      <c r="E84" s="41">
        <v>6.9999999999999999E-4</v>
      </c>
      <c r="F84" s="13">
        <f>120/900</f>
        <v>0.13333333333333333</v>
      </c>
      <c r="G84" s="42">
        <f>ROUND($D$84*E84*F84,2)</f>
        <v>0.09</v>
      </c>
    </row>
    <row r="85" spans="1:7" ht="15.75" outlineLevel="1" thickBot="1" x14ac:dyDescent="0.25">
      <c r="A85" s="4" t="s">
        <v>30</v>
      </c>
      <c r="B85" s="127" t="s">
        <v>93</v>
      </c>
      <c r="C85" s="104"/>
      <c r="D85" s="35"/>
      <c r="E85" s="44"/>
      <c r="F85" s="13"/>
      <c r="G85" s="42"/>
    </row>
    <row r="86" spans="1:7" ht="15.75" thickBot="1" x14ac:dyDescent="0.25">
      <c r="A86" s="92" t="s">
        <v>32</v>
      </c>
      <c r="B86" s="93"/>
      <c r="C86" s="93"/>
      <c r="D86" s="93"/>
      <c r="E86" s="93"/>
      <c r="F86" s="94"/>
      <c r="G86" s="16">
        <f>ROUND(SUM(G80:G85),2)</f>
        <v>164.28</v>
      </c>
    </row>
    <row r="87" spans="1:7" ht="15.75" thickBot="1" x14ac:dyDescent="0.25">
      <c r="A87" s="69" t="s">
        <v>94</v>
      </c>
      <c r="B87" s="142" t="s">
        <v>95</v>
      </c>
      <c r="C87" s="143"/>
      <c r="D87" s="143"/>
      <c r="E87" s="143"/>
      <c r="F87" s="144"/>
      <c r="G87" s="70" t="s">
        <v>39</v>
      </c>
    </row>
    <row r="88" spans="1:7" ht="15.75" outlineLevel="1" thickBot="1" x14ac:dyDescent="0.25">
      <c r="A88" s="45" t="s">
        <v>96</v>
      </c>
      <c r="B88" s="145" t="s">
        <v>97</v>
      </c>
      <c r="C88" s="93"/>
      <c r="D88" s="93"/>
      <c r="E88" s="93"/>
      <c r="F88" s="94"/>
      <c r="G88" s="46">
        <v>0</v>
      </c>
    </row>
    <row r="89" spans="1:7" ht="15.75" thickBot="1" x14ac:dyDescent="0.25">
      <c r="A89" s="122" t="s">
        <v>32</v>
      </c>
      <c r="B89" s="93"/>
      <c r="C89" s="93"/>
      <c r="D89" s="93"/>
      <c r="E89" s="93"/>
      <c r="F89" s="94"/>
      <c r="G89" s="47">
        <v>0</v>
      </c>
    </row>
    <row r="90" spans="1:7" ht="15.75" thickBot="1" x14ac:dyDescent="0.25">
      <c r="A90" s="2"/>
      <c r="B90" s="1"/>
      <c r="C90" s="1"/>
      <c r="D90" s="1"/>
      <c r="E90" s="1"/>
      <c r="F90" s="1"/>
      <c r="G90" s="1"/>
    </row>
    <row r="91" spans="1:7" ht="13.5" thickBot="1" x14ac:dyDescent="0.25">
      <c r="A91" s="146" t="s">
        <v>98</v>
      </c>
      <c r="B91" s="147"/>
      <c r="C91" s="147"/>
      <c r="D91" s="147"/>
      <c r="E91" s="147"/>
      <c r="F91" s="147"/>
      <c r="G91" s="148"/>
    </row>
    <row r="92" spans="1:7" ht="15.75" thickBot="1" x14ac:dyDescent="0.25">
      <c r="A92" s="62">
        <v>4</v>
      </c>
      <c r="B92" s="126" t="s">
        <v>99</v>
      </c>
      <c r="C92" s="101"/>
      <c r="D92" s="101"/>
      <c r="E92" s="101"/>
      <c r="F92" s="102"/>
      <c r="G92" s="61" t="s">
        <v>39</v>
      </c>
    </row>
    <row r="93" spans="1:7" ht="15" outlineLevel="1" x14ac:dyDescent="0.2">
      <c r="A93" s="30" t="s">
        <v>100</v>
      </c>
      <c r="B93" s="127" t="s">
        <v>101</v>
      </c>
      <c r="C93" s="104"/>
      <c r="D93" s="104"/>
      <c r="E93" s="104"/>
      <c r="F93" s="105"/>
      <c r="G93" s="18">
        <f>G86</f>
        <v>164.28</v>
      </c>
    </row>
    <row r="94" spans="1:7" ht="15.75" outlineLevel="1" thickBot="1" x14ac:dyDescent="0.25">
      <c r="A94" s="32" t="s">
        <v>94</v>
      </c>
      <c r="B94" s="128" t="s">
        <v>102</v>
      </c>
      <c r="C94" s="129"/>
      <c r="D94" s="129"/>
      <c r="E94" s="129"/>
      <c r="F94" s="130"/>
      <c r="G94" s="24">
        <f>G89</f>
        <v>0</v>
      </c>
    </row>
    <row r="95" spans="1:7" ht="15.75" thickBot="1" x14ac:dyDescent="0.25">
      <c r="A95" s="92" t="s">
        <v>32</v>
      </c>
      <c r="B95" s="93"/>
      <c r="C95" s="93"/>
      <c r="D95" s="93"/>
      <c r="E95" s="93"/>
      <c r="F95" s="94"/>
      <c r="G95" s="16">
        <f>ROUND(SUM(G93:G94),2)</f>
        <v>164.28</v>
      </c>
    </row>
    <row r="96" spans="1:7" ht="15.75" thickBot="1" x14ac:dyDescent="0.25">
      <c r="A96" s="131"/>
      <c r="B96" s="93"/>
      <c r="C96" s="93"/>
      <c r="D96" s="93"/>
      <c r="E96" s="93"/>
      <c r="F96" s="93"/>
      <c r="G96" s="93"/>
    </row>
    <row r="97" spans="1:7" ht="13.5" thickBot="1" x14ac:dyDescent="0.25">
      <c r="A97" s="97" t="s">
        <v>103</v>
      </c>
      <c r="B97" s="98"/>
      <c r="C97" s="98"/>
      <c r="D97" s="98"/>
      <c r="E97" s="98"/>
      <c r="F97" s="98"/>
      <c r="G97" s="99"/>
    </row>
    <row r="98" spans="1:7" ht="30.75" outlineLevel="1" thickBot="1" x14ac:dyDescent="0.25">
      <c r="A98" s="62">
        <v>5</v>
      </c>
      <c r="B98" s="126" t="s">
        <v>104</v>
      </c>
      <c r="C98" s="101"/>
      <c r="D98" s="101"/>
      <c r="E98" s="101"/>
      <c r="F98" s="102"/>
      <c r="G98" s="74" t="s">
        <v>105</v>
      </c>
    </row>
    <row r="99" spans="1:7" ht="15" outlineLevel="1" x14ac:dyDescent="0.2">
      <c r="A99" s="9" t="s">
        <v>1</v>
      </c>
      <c r="B99" s="117" t="s">
        <v>137</v>
      </c>
      <c r="C99" s="104"/>
      <c r="D99" s="104"/>
      <c r="E99" s="104"/>
      <c r="F99" s="105"/>
      <c r="G99" s="40">
        <f>450/2</f>
        <v>225</v>
      </c>
    </row>
    <row r="100" spans="1:7" ht="15" outlineLevel="1" x14ac:dyDescent="0.2">
      <c r="A100" s="4" t="s">
        <v>3</v>
      </c>
      <c r="B100" s="118" t="s">
        <v>133</v>
      </c>
      <c r="C100" s="107"/>
      <c r="D100" s="107"/>
      <c r="E100" s="107"/>
      <c r="F100" s="108"/>
      <c r="G100" s="40">
        <f>250/2</f>
        <v>125</v>
      </c>
    </row>
    <row r="101" spans="1:7" ht="15" outlineLevel="1" x14ac:dyDescent="0.2">
      <c r="A101" s="4" t="s">
        <v>5</v>
      </c>
      <c r="B101" s="118" t="s">
        <v>134</v>
      </c>
      <c r="C101" s="140"/>
      <c r="D101" s="140"/>
      <c r="E101" s="140"/>
      <c r="F101" s="141"/>
      <c r="G101" s="19">
        <v>175</v>
      </c>
    </row>
    <row r="102" spans="1:7" ht="15" outlineLevel="1" x14ac:dyDescent="0.2">
      <c r="A102" s="4" t="s">
        <v>7</v>
      </c>
      <c r="B102" s="118" t="s">
        <v>135</v>
      </c>
      <c r="C102" s="140"/>
      <c r="D102" s="140"/>
      <c r="E102" s="140"/>
      <c r="F102" s="141"/>
      <c r="G102" s="19">
        <v>80</v>
      </c>
    </row>
    <row r="103" spans="1:7" ht="15" outlineLevel="1" x14ac:dyDescent="0.2">
      <c r="A103" s="4" t="s">
        <v>10</v>
      </c>
      <c r="B103" s="118" t="s">
        <v>136</v>
      </c>
      <c r="C103" s="140"/>
      <c r="D103" s="140"/>
      <c r="E103" s="140"/>
      <c r="F103" s="141"/>
      <c r="G103" s="42">
        <v>20</v>
      </c>
    </row>
    <row r="104" spans="1:7" ht="15.75" outlineLevel="1" thickBot="1" x14ac:dyDescent="0.25">
      <c r="A104" s="4" t="s">
        <v>30</v>
      </c>
      <c r="B104" s="118" t="s">
        <v>31</v>
      </c>
      <c r="C104" s="107"/>
      <c r="D104" s="107"/>
      <c r="E104" s="107"/>
      <c r="F104" s="108"/>
      <c r="G104" s="48">
        <v>0</v>
      </c>
    </row>
    <row r="105" spans="1:7" ht="15.75" thickBot="1" x14ac:dyDescent="0.25">
      <c r="A105" s="92" t="s">
        <v>32</v>
      </c>
      <c r="B105" s="93"/>
      <c r="C105" s="93"/>
      <c r="D105" s="93"/>
      <c r="E105" s="93"/>
      <c r="F105" s="94"/>
      <c r="G105" s="16">
        <f>ROUND(SUM(G99:G104),2)</f>
        <v>625</v>
      </c>
    </row>
    <row r="106" spans="1:7" ht="15.75" thickBot="1" x14ac:dyDescent="0.25">
      <c r="A106" s="95"/>
      <c r="B106" s="96"/>
      <c r="C106" s="96"/>
      <c r="D106" s="96"/>
      <c r="E106" s="96"/>
      <c r="F106" s="96"/>
      <c r="G106" s="96"/>
    </row>
    <row r="107" spans="1:7" ht="13.5" thickBot="1" x14ac:dyDescent="0.25">
      <c r="A107" s="97" t="s">
        <v>106</v>
      </c>
      <c r="B107" s="98"/>
      <c r="C107" s="98"/>
      <c r="D107" s="98"/>
      <c r="E107" s="98"/>
      <c r="F107" s="98"/>
      <c r="G107" s="99"/>
    </row>
    <row r="108" spans="1:7" ht="15.75" outlineLevel="1" thickBot="1" x14ac:dyDescent="0.25">
      <c r="A108" s="71">
        <v>6</v>
      </c>
      <c r="B108" s="100" t="s">
        <v>107</v>
      </c>
      <c r="C108" s="101"/>
      <c r="D108" s="102"/>
      <c r="E108" s="72" t="s">
        <v>37</v>
      </c>
      <c r="F108" s="72" t="s">
        <v>46</v>
      </c>
      <c r="G108" s="73" t="s">
        <v>39</v>
      </c>
    </row>
    <row r="109" spans="1:7" ht="15" outlineLevel="1" x14ac:dyDescent="0.2">
      <c r="A109" s="49" t="s">
        <v>1</v>
      </c>
      <c r="B109" s="103" t="s">
        <v>108</v>
      </c>
      <c r="C109" s="104"/>
      <c r="D109" s="105"/>
      <c r="E109" s="50">
        <f>G30+G63+G75+G95+G105</f>
        <v>8888.5499999999993</v>
      </c>
      <c r="F109" s="17">
        <v>0.05</v>
      </c>
      <c r="G109" s="51">
        <f t="shared" ref="G109:G110" si="5">ROUND(E109*F109,2)</f>
        <v>444.43</v>
      </c>
    </row>
    <row r="110" spans="1:7" ht="15" outlineLevel="1" x14ac:dyDescent="0.2">
      <c r="A110" s="52" t="s">
        <v>3</v>
      </c>
      <c r="B110" s="106" t="s">
        <v>109</v>
      </c>
      <c r="C110" s="107"/>
      <c r="D110" s="108"/>
      <c r="E110" s="53">
        <f>E109+G109</f>
        <v>9332.98</v>
      </c>
      <c r="F110" s="13">
        <v>0.05</v>
      </c>
      <c r="G110" s="54">
        <f t="shared" si="5"/>
        <v>466.65</v>
      </c>
    </row>
    <row r="111" spans="1:7" ht="15" outlineLevel="1" x14ac:dyDescent="0.2">
      <c r="A111" s="52" t="s">
        <v>5</v>
      </c>
      <c r="B111" s="106" t="s">
        <v>110</v>
      </c>
      <c r="C111" s="124"/>
      <c r="D111" s="125"/>
      <c r="E111" s="109">
        <f>((E109+G109+G110))</f>
        <v>9799.6299999999992</v>
      </c>
      <c r="F111" s="13">
        <v>6.4999999999999997E-3</v>
      </c>
      <c r="G111" s="19">
        <f>ROUND(($E$111*F111)/(100%-$F$115),2)</f>
        <v>68.239999999999995</v>
      </c>
    </row>
    <row r="112" spans="1:7" ht="15" outlineLevel="1" x14ac:dyDescent="0.2">
      <c r="A112" s="52" t="s">
        <v>7</v>
      </c>
      <c r="B112" s="106" t="s">
        <v>111</v>
      </c>
      <c r="C112" s="124"/>
      <c r="D112" s="125"/>
      <c r="E112" s="110"/>
      <c r="F112" s="13">
        <v>0.03</v>
      </c>
      <c r="G112" s="19">
        <f>ROUND(($E$111*F112)/(100%-$F$115),2)</f>
        <v>314.93</v>
      </c>
    </row>
    <row r="113" spans="1:7" ht="15" outlineLevel="1" x14ac:dyDescent="0.2">
      <c r="A113" s="52" t="s">
        <v>10</v>
      </c>
      <c r="B113" s="106" t="s">
        <v>112</v>
      </c>
      <c r="C113" s="107"/>
      <c r="D113" s="108"/>
      <c r="E113" s="110"/>
      <c r="F113" s="13">
        <v>0.03</v>
      </c>
      <c r="G113" s="19">
        <f>ROUND(($E$111*F113)/(100%-$F$115),2)</f>
        <v>314.93</v>
      </c>
    </row>
    <row r="114" spans="1:7" ht="15" outlineLevel="1" x14ac:dyDescent="0.2">
      <c r="A114" s="52" t="s">
        <v>30</v>
      </c>
      <c r="B114" s="106" t="s">
        <v>31</v>
      </c>
      <c r="C114" s="107"/>
      <c r="D114" s="108"/>
      <c r="E114" s="110"/>
      <c r="F114" s="13">
        <v>0</v>
      </c>
      <c r="G114" s="19">
        <f>ROUND(($E$111*F114)/(100%-$F$115),2)</f>
        <v>0</v>
      </c>
    </row>
    <row r="115" spans="1:7" ht="15.75" outlineLevel="1" thickBot="1" x14ac:dyDescent="0.25">
      <c r="A115" s="52" t="s">
        <v>57</v>
      </c>
      <c r="B115" s="106" t="s">
        <v>113</v>
      </c>
      <c r="C115" s="107"/>
      <c r="D115" s="107"/>
      <c r="E115" s="108"/>
      <c r="F115" s="13">
        <f>SUM(F111:F114)</f>
        <v>6.6500000000000004E-2</v>
      </c>
      <c r="G115" s="19">
        <v>0</v>
      </c>
    </row>
    <row r="116" spans="1:7" ht="15.75" thickBot="1" x14ac:dyDescent="0.25">
      <c r="A116" s="114" t="s">
        <v>32</v>
      </c>
      <c r="B116" s="93"/>
      <c r="C116" s="93"/>
      <c r="D116" s="93"/>
      <c r="E116" s="93"/>
      <c r="F116" s="115"/>
      <c r="G116" s="16">
        <f>SUM(G109:G115)</f>
        <v>1609.18</v>
      </c>
    </row>
    <row r="117" spans="1:7" ht="15.75" thickBot="1" x14ac:dyDescent="0.25">
      <c r="A117" s="95"/>
      <c r="B117" s="96"/>
      <c r="C117" s="96"/>
      <c r="D117" s="96"/>
      <c r="E117" s="96"/>
      <c r="F117" s="96"/>
      <c r="G117" s="96"/>
    </row>
    <row r="118" spans="1:7" ht="13.5" thickBot="1" x14ac:dyDescent="0.25">
      <c r="A118" s="97" t="s">
        <v>114</v>
      </c>
      <c r="B118" s="98"/>
      <c r="C118" s="98"/>
      <c r="D118" s="98"/>
      <c r="E118" s="98"/>
      <c r="F118" s="98"/>
      <c r="G118" s="99"/>
    </row>
    <row r="119" spans="1:7" ht="15.75" thickBot="1" x14ac:dyDescent="0.25">
      <c r="A119" s="116" t="s">
        <v>115</v>
      </c>
      <c r="B119" s="101"/>
      <c r="C119" s="101"/>
      <c r="D119" s="101"/>
      <c r="E119" s="101"/>
      <c r="F119" s="102"/>
      <c r="G119" s="61" t="s">
        <v>27</v>
      </c>
    </row>
    <row r="120" spans="1:7" ht="15" x14ac:dyDescent="0.2">
      <c r="A120" s="30" t="s">
        <v>1</v>
      </c>
      <c r="B120" s="117" t="s">
        <v>116</v>
      </c>
      <c r="C120" s="104"/>
      <c r="D120" s="104"/>
      <c r="E120" s="104"/>
      <c r="F120" s="105"/>
      <c r="G120" s="18">
        <f>G30</f>
        <v>4534.09</v>
      </c>
    </row>
    <row r="121" spans="1:7" ht="15" x14ac:dyDescent="0.2">
      <c r="A121" s="31" t="s">
        <v>3</v>
      </c>
      <c r="B121" s="118" t="s">
        <v>117</v>
      </c>
      <c r="C121" s="107"/>
      <c r="D121" s="107"/>
      <c r="E121" s="107"/>
      <c r="F121" s="108"/>
      <c r="G121" s="19">
        <f>G63</f>
        <v>3545.99</v>
      </c>
    </row>
    <row r="122" spans="1:7" ht="15" x14ac:dyDescent="0.2">
      <c r="A122" s="31" t="s">
        <v>5</v>
      </c>
      <c r="B122" s="118" t="s">
        <v>118</v>
      </c>
      <c r="C122" s="107"/>
      <c r="D122" s="107"/>
      <c r="E122" s="107"/>
      <c r="F122" s="108"/>
      <c r="G122" s="19">
        <f>G75</f>
        <v>19.189999999999998</v>
      </c>
    </row>
    <row r="123" spans="1:7" ht="15" x14ac:dyDescent="0.2">
      <c r="A123" s="31" t="s">
        <v>7</v>
      </c>
      <c r="B123" s="118" t="s">
        <v>119</v>
      </c>
      <c r="C123" s="107"/>
      <c r="D123" s="107"/>
      <c r="E123" s="107"/>
      <c r="F123" s="108"/>
      <c r="G123" s="19">
        <f>G95</f>
        <v>164.28</v>
      </c>
    </row>
    <row r="124" spans="1:7" ht="15.75" thickBot="1" x14ac:dyDescent="0.25">
      <c r="A124" s="55" t="s">
        <v>10</v>
      </c>
      <c r="B124" s="119" t="s">
        <v>120</v>
      </c>
      <c r="C124" s="120"/>
      <c r="D124" s="120"/>
      <c r="E124" s="120"/>
      <c r="F124" s="121"/>
      <c r="G124" s="56">
        <f>G105</f>
        <v>625</v>
      </c>
    </row>
    <row r="125" spans="1:7" ht="15.75" thickBot="1" x14ac:dyDescent="0.25">
      <c r="A125" s="122" t="s">
        <v>121</v>
      </c>
      <c r="B125" s="93"/>
      <c r="C125" s="93"/>
      <c r="D125" s="93"/>
      <c r="E125" s="93"/>
      <c r="F125" s="94"/>
      <c r="G125" s="57">
        <f>ROUND(SUM(G120:G124),2)</f>
        <v>8888.5499999999993</v>
      </c>
    </row>
    <row r="126" spans="1:7" ht="15.75" thickBot="1" x14ac:dyDescent="0.25">
      <c r="A126" s="58" t="s">
        <v>30</v>
      </c>
      <c r="B126" s="123" t="s">
        <v>122</v>
      </c>
      <c r="C126" s="93"/>
      <c r="D126" s="93"/>
      <c r="E126" s="93"/>
      <c r="F126" s="94"/>
      <c r="G126" s="59">
        <f>G116</f>
        <v>1609.18</v>
      </c>
    </row>
    <row r="127" spans="1:7" ht="15.75" thickBot="1" x14ac:dyDescent="0.25">
      <c r="A127" s="83" t="s">
        <v>55</v>
      </c>
      <c r="B127" s="111" t="s">
        <v>123</v>
      </c>
      <c r="C127" s="112"/>
      <c r="D127" s="112"/>
      <c r="E127" s="112"/>
      <c r="F127" s="113"/>
      <c r="G127" s="84">
        <f>G125+G126</f>
        <v>10497.73</v>
      </c>
    </row>
    <row r="128" spans="1:7" ht="13.5" thickBot="1" x14ac:dyDescent="0.25">
      <c r="A128" s="86" t="s">
        <v>57</v>
      </c>
      <c r="B128" s="89" t="s">
        <v>127</v>
      </c>
      <c r="C128" s="90"/>
      <c r="D128" s="90"/>
      <c r="E128" s="90"/>
      <c r="F128" s="91"/>
      <c r="G128" s="85">
        <f>G127/220</f>
        <v>47.716954545454541</v>
      </c>
    </row>
  </sheetData>
  <mergeCells count="141">
    <mergeCell ref="B127:F127"/>
    <mergeCell ref="B128:F128"/>
    <mergeCell ref="B26:D26"/>
    <mergeCell ref="B121:F121"/>
    <mergeCell ref="B122:F122"/>
    <mergeCell ref="B123:F123"/>
    <mergeCell ref="B124:F124"/>
    <mergeCell ref="A125:F125"/>
    <mergeCell ref="B126:F126"/>
    <mergeCell ref="B115:E115"/>
    <mergeCell ref="A116:F116"/>
    <mergeCell ref="A117:G117"/>
    <mergeCell ref="A118:G118"/>
    <mergeCell ref="A119:F119"/>
    <mergeCell ref="B120:F120"/>
    <mergeCell ref="B110:D110"/>
    <mergeCell ref="B111:D111"/>
    <mergeCell ref="E111:E114"/>
    <mergeCell ref="B112:D112"/>
    <mergeCell ref="B113:D113"/>
    <mergeCell ref="B114:D114"/>
    <mergeCell ref="A105:F105"/>
    <mergeCell ref="A106:G106"/>
    <mergeCell ref="A107:G107"/>
    <mergeCell ref="B108:D108"/>
    <mergeCell ref="B109:D109"/>
    <mergeCell ref="B99:F99"/>
    <mergeCell ref="B100:F100"/>
    <mergeCell ref="B101:F101"/>
    <mergeCell ref="B102:F102"/>
    <mergeCell ref="B103:F103"/>
    <mergeCell ref="B104:F104"/>
    <mergeCell ref="B93:F93"/>
    <mergeCell ref="B94:F94"/>
    <mergeCell ref="A95:F95"/>
    <mergeCell ref="A96:G96"/>
    <mergeCell ref="A97:G97"/>
    <mergeCell ref="B98:F98"/>
    <mergeCell ref="A86:F86"/>
    <mergeCell ref="B87:F87"/>
    <mergeCell ref="B88:F88"/>
    <mergeCell ref="A89:F89"/>
    <mergeCell ref="A91:G91"/>
    <mergeCell ref="B92:F92"/>
    <mergeCell ref="B81:C81"/>
    <mergeCell ref="D81:D83"/>
    <mergeCell ref="B82:C82"/>
    <mergeCell ref="B83:C83"/>
    <mergeCell ref="B84:C84"/>
    <mergeCell ref="B85:C85"/>
    <mergeCell ref="A75:F75"/>
    <mergeCell ref="A76:G76"/>
    <mergeCell ref="A77:G77"/>
    <mergeCell ref="A78:G78"/>
    <mergeCell ref="B79:C79"/>
    <mergeCell ref="B80:C80"/>
    <mergeCell ref="A64:G64"/>
    <mergeCell ref="A65:G65"/>
    <mergeCell ref="B67:C67"/>
    <mergeCell ref="E67:E73"/>
    <mergeCell ref="F67:F70"/>
    <mergeCell ref="B68:C68"/>
    <mergeCell ref="B69:C69"/>
    <mergeCell ref="B71:C71"/>
    <mergeCell ref="D71:D73"/>
    <mergeCell ref="F71:F73"/>
    <mergeCell ref="A58:G58"/>
    <mergeCell ref="B59:F59"/>
    <mergeCell ref="B60:F60"/>
    <mergeCell ref="B61:F61"/>
    <mergeCell ref="B62:F62"/>
    <mergeCell ref="A63:F63"/>
    <mergeCell ref="B52:C52"/>
    <mergeCell ref="B53:C53"/>
    <mergeCell ref="B54:C54"/>
    <mergeCell ref="B55:F55"/>
    <mergeCell ref="A56:F56"/>
    <mergeCell ref="B46:D46"/>
    <mergeCell ref="B47:D47"/>
    <mergeCell ref="B48:D48"/>
    <mergeCell ref="B49:D49"/>
    <mergeCell ref="A50:E50"/>
    <mergeCell ref="A51:G51"/>
    <mergeCell ref="A39:G39"/>
    <mergeCell ref="B40:D40"/>
    <mergeCell ref="B41:D41"/>
    <mergeCell ref="E41:E49"/>
    <mergeCell ref="A42:A43"/>
    <mergeCell ref="B42:B43"/>
    <mergeCell ref="F42:F43"/>
    <mergeCell ref="G42:G43"/>
    <mergeCell ref="B44:D44"/>
    <mergeCell ref="B45:D45"/>
    <mergeCell ref="B34:D34"/>
    <mergeCell ref="B35:D35"/>
    <mergeCell ref="E35:E37"/>
    <mergeCell ref="B36:D36"/>
    <mergeCell ref="B37:D37"/>
    <mergeCell ref="A38:F38"/>
    <mergeCell ref="B29:F29"/>
    <mergeCell ref="A30:F30"/>
    <mergeCell ref="A31:G31"/>
    <mergeCell ref="A32:G32"/>
    <mergeCell ref="A33:G33"/>
    <mergeCell ref="A22:G22"/>
    <mergeCell ref="A23:G23"/>
    <mergeCell ref="B24:F24"/>
    <mergeCell ref="B25:F25"/>
    <mergeCell ref="B27:D27"/>
    <mergeCell ref="B28:F28"/>
    <mergeCell ref="B19:E19"/>
    <mergeCell ref="F19:G19"/>
    <mergeCell ref="B20:E20"/>
    <mergeCell ref="F20:G20"/>
    <mergeCell ref="B21:E21"/>
    <mergeCell ref="F21:G21"/>
    <mergeCell ref="A15:G15"/>
    <mergeCell ref="A16:G16"/>
    <mergeCell ref="B17:E17"/>
    <mergeCell ref="F17:G17"/>
    <mergeCell ref="B18:E18"/>
    <mergeCell ref="F18:G18"/>
    <mergeCell ref="A9:G9"/>
    <mergeCell ref="A10:G10"/>
    <mergeCell ref="A11:E11"/>
    <mergeCell ref="A12:E12"/>
    <mergeCell ref="A13:G13"/>
    <mergeCell ref="A14:G14"/>
    <mergeCell ref="B6:E6"/>
    <mergeCell ref="F6:G6"/>
    <mergeCell ref="B7:E7"/>
    <mergeCell ref="F7:G7"/>
    <mergeCell ref="B8:E8"/>
    <mergeCell ref="F8:G8"/>
    <mergeCell ref="A1:G1"/>
    <mergeCell ref="A2:G2"/>
    <mergeCell ref="A3:G3"/>
    <mergeCell ref="B4:E4"/>
    <mergeCell ref="F4:G4"/>
    <mergeCell ref="B5:E5"/>
    <mergeCell ref="F5:G5"/>
  </mergeCells>
  <dataValidations count="1">
    <dataValidation type="list" allowBlank="1" sqref="F7" xr:uid="{0A87D698-1FEB-438E-8FC5-95D18C67A33D}">
      <formula1>"Lucro Real,Lucro Presumido,Lucro Arbitrado"</formula1>
    </dataValidation>
  </dataValidation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CONDUTOR</vt:lpstr>
      <vt:lpstr>ENFERMEIRO</vt:lpstr>
      <vt:lpstr>MÉDICO</vt:lpstr>
      <vt:lpstr>RESP. TÉCNICO </vt:lpstr>
      <vt:lpstr>CONDUTOR!Area_de_impressao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Parobe</dc:creator>
  <cp:lastModifiedBy>licitação</cp:lastModifiedBy>
  <cp:lastPrinted>2025-11-17T14:27:36Z</cp:lastPrinted>
  <dcterms:created xsi:type="dcterms:W3CDTF">2026-05-26T13:06:11Z</dcterms:created>
  <dcterms:modified xsi:type="dcterms:W3CDTF">2026-07-20T16:26:55Z</dcterms:modified>
</cp:coreProperties>
</file>