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\Desktop\"/>
    </mc:Choice>
  </mc:AlternateContent>
  <bookViews>
    <workbookView xWindow="0" yWindow="0" windowWidth="20490" windowHeight="7050" tabRatio="892"/>
  </bookViews>
  <sheets>
    <sheet name="Orçamento" sheetId="110" r:id="rId1"/>
    <sheet name="Plan1" sheetId="114" r:id="rId2"/>
    <sheet name="Cronograma" sheetId="109" r:id="rId3"/>
    <sheet name="COMP" sheetId="113" r:id="rId4"/>
  </sheets>
  <definedNames>
    <definedName name="_Fill" localSheetId="2" hidden="1">#REF!</definedName>
    <definedName name="_Fill" localSheetId="0" hidden="1">#REF!</definedName>
    <definedName name="_Fill" hidden="1">#REF!</definedName>
    <definedName name="_xlnm._FilterDatabase" localSheetId="0" hidden="1">Orçamento!#REF!</definedName>
    <definedName name="_Key1" localSheetId="2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hidden="1">#REF!</definedName>
    <definedName name="ACRE" hidden="1">#REF!</definedName>
    <definedName name="ademir" localSheetId="2" hidden="1">{#N/A,#N/A,FALSE,"Cronograma";#N/A,#N/A,FALSE,"Cronogr. 2"}</definedName>
    <definedName name="ademir" localSheetId="0" hidden="1">{#N/A,#N/A,FALSE,"Cronograma";#N/A,#N/A,FALSE,"Cronogr. 2"}</definedName>
    <definedName name="ademir" hidden="1">{#N/A,#N/A,FALSE,"Cronograma";#N/A,#N/A,FALSE,"Cronogr. 2"}</definedName>
    <definedName name="_xlnm.Print_Area" localSheetId="0">Orçamento!$A$1:$J$250</definedName>
    <definedName name="bosta" localSheetId="2" hidden="1">{#N/A,#N/A,FALSE,"Cronograma";#N/A,#N/A,FALSE,"Cronogr. 2"}</definedName>
    <definedName name="bosta" localSheetId="0" hidden="1">{#N/A,#N/A,FALSE,"Cronograma";#N/A,#N/A,FALSE,"Cronogr. 2"}</definedName>
    <definedName name="bosta" hidden="1">{#N/A,#N/A,FALSE,"Cronograma";#N/A,#N/A,FALSE,"Cronogr. 2"}</definedName>
    <definedName name="CA´L" localSheetId="2" hidden="1">{#N/A,#N/A,FALSE,"Cronograma";#N/A,#N/A,FALSE,"Cronogr. 2"}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oncorrentes" localSheetId="2" hidden="1">{#N/A,#N/A,FALSE,"Cronograma";#N/A,#N/A,FALSE,"Cronogr. 2"}</definedName>
    <definedName name="concorrentes" localSheetId="0" hidden="1">{#N/A,#N/A,FALSE,"Cronograma";#N/A,#N/A,FALSE,"Cronogr. 2"}</definedName>
    <definedName name="concorrentes" hidden="1">{#N/A,#N/A,FALSE,"Cronograma";#N/A,#N/A,FALSE,"Cronogr. 2"}</definedName>
    <definedName name="Popular" localSheetId="2" hidden="1">{#N/A,#N/A,FALSE,"Cronograma";#N/A,#N/A,FALSE,"Cronogr. 2"}</definedName>
    <definedName name="Popular" localSheetId="0" hidden="1">{#N/A,#N/A,FALSE,"Cronograma";#N/A,#N/A,FALSE,"Cronogr. 2"}</definedName>
    <definedName name="Popular" hidden="1">{#N/A,#N/A,FALSE,"Cronograma";#N/A,#N/A,FALSE,"Cronogr. 2"}</definedName>
    <definedName name="rio" localSheetId="2" hidden="1">{#N/A,#N/A,FALSE,"Cronograma";#N/A,#N/A,FALSE,"Cronogr. 2"}</definedName>
    <definedName name="rio" localSheetId="0" hidden="1">{#N/A,#N/A,FALSE,"Cronograma";#N/A,#N/A,FALSE,"Cronogr. 2"}</definedName>
    <definedName name="rio" hidden="1">{#N/A,#N/A,FALSE,"Cronograma";#N/A,#N/A,FALSE,"Cronogr. 2"}</definedName>
    <definedName name="SINAPI_AC" hidden="1">#REF!</definedName>
    <definedName name="ss" localSheetId="2" hidden="1">{#N/A,#N/A,FALSE,"Cronograma";#N/A,#N/A,FALSE,"Cronogr. 2"}</definedName>
    <definedName name="ss" localSheetId="0" hidden="1">{#N/A,#N/A,FALSE,"Cronograma";#N/A,#N/A,FALSE,"Cronogr. 2"}</definedName>
    <definedName name="ss" hidden="1">{#N/A,#N/A,FALSE,"Cronograma";#N/A,#N/A,FALSE,"Cronogr. 2"}</definedName>
    <definedName name="_xlnm.Print_Titles" localSheetId="0">Orçamento!$1:$9</definedName>
    <definedName name="wrn.Cronograma." localSheetId="2" hidden="1">{#N/A,#N/A,FALSE,"Cronograma";#N/A,#N/A,FALSE,"Cronogr. 2"}</definedName>
    <definedName name="wrn.Cronograma." localSheetId="0" hidden="1">{#N/A,#N/A,FALSE,"Cronograma";#N/A,#N/A,FALSE,"Cronogr. 2"}</definedName>
    <definedName name="wrn.Cronograma." hidden="1">{#N/A,#N/A,FALSE,"Cronograma";#N/A,#N/A,FALSE,"Cronogr. 2"}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0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62913"/>
</workbook>
</file>

<file path=xl/calcChain.xml><?xml version="1.0" encoding="utf-8"?>
<calcChain xmlns="http://schemas.openxmlformats.org/spreadsheetml/2006/main">
  <c r="E25" i="113" l="1"/>
  <c r="G240" i="110"/>
  <c r="G103" i="110"/>
  <c r="G116" i="110"/>
  <c r="G98" i="110"/>
  <c r="G104" i="110" s="1"/>
  <c r="G105" i="110" s="1"/>
  <c r="G246" i="110" s="1"/>
  <c r="G80" i="110"/>
  <c r="G82" i="110"/>
  <c r="G83" i="110"/>
  <c r="I38" i="110"/>
  <c r="J38" i="110" s="1"/>
  <c r="I37" i="110"/>
  <c r="J37" i="110" s="1"/>
  <c r="G224" i="110"/>
  <c r="G172" i="110"/>
  <c r="I172" i="110"/>
  <c r="G171" i="110"/>
  <c r="G173" i="110"/>
  <c r="G121" i="110"/>
  <c r="G115" i="110"/>
  <c r="G108" i="110"/>
  <c r="I106" i="110"/>
  <c r="G99" i="110"/>
  <c r="G107" i="110" s="1"/>
  <c r="G94" i="110"/>
  <c r="G88" i="110"/>
  <c r="G87" i="110"/>
  <c r="I82" i="110"/>
  <c r="J82" i="110" l="1"/>
  <c r="J172" i="110"/>
  <c r="J106" i="110"/>
  <c r="I81" i="110"/>
  <c r="G81" i="110"/>
  <c r="I79" i="110"/>
  <c r="J79" i="110" s="1"/>
  <c r="G59" i="110"/>
  <c r="G58" i="110"/>
  <c r="I58" i="110"/>
  <c r="G74" i="110"/>
  <c r="G73" i="110"/>
  <c r="G72" i="110"/>
  <c r="G71" i="110"/>
  <c r="I73" i="110"/>
  <c r="I72" i="110"/>
  <c r="I71" i="110"/>
  <c r="G70" i="110"/>
  <c r="G66" i="110"/>
  <c r="G64" i="110"/>
  <c r="G65" i="110"/>
  <c r="G49" i="110"/>
  <c r="G53" i="110"/>
  <c r="G52" i="110"/>
  <c r="G51" i="110"/>
  <c r="G47" i="110"/>
  <c r="G46" i="110"/>
  <c r="G45" i="110"/>
  <c r="G44" i="110"/>
  <c r="G42" i="110"/>
  <c r="G41" i="110"/>
  <c r="G40" i="110"/>
  <c r="G39" i="110"/>
  <c r="G31" i="110"/>
  <c r="G28" i="110"/>
  <c r="G30" i="110"/>
  <c r="G29" i="110"/>
  <c r="G20" i="110"/>
  <c r="G19" i="110"/>
  <c r="G18" i="110"/>
  <c r="I20" i="110"/>
  <c r="I21" i="110"/>
  <c r="J21" i="110" s="1"/>
  <c r="I22" i="110"/>
  <c r="J22" i="110" s="1"/>
  <c r="I18" i="110"/>
  <c r="I23" i="110"/>
  <c r="I19" i="110"/>
  <c r="G92" i="110" l="1"/>
  <c r="G112" i="110" s="1"/>
  <c r="J72" i="110"/>
  <c r="J58" i="110"/>
  <c r="G32" i="110"/>
  <c r="J81" i="110"/>
  <c r="J73" i="110"/>
  <c r="J71" i="110"/>
  <c r="J20" i="110"/>
  <c r="J18" i="110"/>
  <c r="J19" i="110"/>
  <c r="J23" i="110"/>
  <c r="G114" i="110" l="1"/>
  <c r="G113" i="110"/>
  <c r="J24" i="110"/>
  <c r="D10" i="109" s="1"/>
  <c r="I238" i="110" l="1"/>
  <c r="J238" i="110" s="1"/>
  <c r="I239" i="110"/>
  <c r="J239" i="110" s="1"/>
  <c r="I240" i="110"/>
  <c r="J240" i="110" s="1"/>
  <c r="I241" i="110"/>
  <c r="J241" i="110" s="1"/>
  <c r="I225" i="110"/>
  <c r="J225" i="110" s="1"/>
  <c r="I203" i="110"/>
  <c r="J203" i="110" s="1"/>
  <c r="I202" i="110"/>
  <c r="J202" i="110" s="1"/>
  <c r="I201" i="110"/>
  <c r="J201" i="110" s="1"/>
  <c r="I186" i="110"/>
  <c r="J186" i="110" s="1"/>
  <c r="J24" i="113"/>
  <c r="J25" i="113"/>
  <c r="J26" i="113"/>
  <c r="J27" i="113"/>
  <c r="J28" i="113"/>
  <c r="J29" i="113"/>
  <c r="J23" i="113"/>
  <c r="I175" i="110"/>
  <c r="J175" i="110" s="1"/>
  <c r="I150" i="110"/>
  <c r="J150" i="110" s="1"/>
  <c r="I151" i="110"/>
  <c r="J151" i="110" s="1"/>
  <c r="I148" i="110"/>
  <c r="J148" i="110" s="1"/>
  <c r="I147" i="110"/>
  <c r="J147" i="110" s="1"/>
  <c r="I146" i="110"/>
  <c r="J146" i="110" s="1"/>
  <c r="I152" i="110"/>
  <c r="J152" i="110" s="1"/>
  <c r="I155" i="110"/>
  <c r="J155" i="110" s="1"/>
  <c r="I154" i="110"/>
  <c r="J154" i="110" s="1"/>
  <c r="I127" i="110"/>
  <c r="J127" i="110" s="1"/>
  <c r="I126" i="110"/>
  <c r="J126" i="110" s="1"/>
  <c r="I122" i="110"/>
  <c r="J122" i="110" s="1"/>
  <c r="H6" i="114"/>
  <c r="H4" i="114"/>
  <c r="I70" i="110"/>
  <c r="I66" i="110"/>
  <c r="J66" i="110" s="1"/>
  <c r="G5" i="114"/>
  <c r="G4" i="114"/>
  <c r="J242" i="110" l="1"/>
  <c r="D44" i="109" s="1"/>
  <c r="K45" i="109" s="1"/>
  <c r="J30" i="113"/>
  <c r="J70" i="110"/>
  <c r="I227" i="110" l="1"/>
  <c r="J227" i="110" s="1"/>
  <c r="I226" i="110"/>
  <c r="J226" i="110" s="1"/>
  <c r="J50" i="113"/>
  <c r="J49" i="113"/>
  <c r="J48" i="113"/>
  <c r="J36" i="113"/>
  <c r="J35" i="113"/>
  <c r="J34" i="113"/>
  <c r="J43" i="113"/>
  <c r="J42" i="113"/>
  <c r="J41" i="113"/>
  <c r="I199" i="110"/>
  <c r="J199" i="110" s="1"/>
  <c r="I198" i="110"/>
  <c r="J198" i="110" s="1"/>
  <c r="I197" i="110"/>
  <c r="J197" i="110" s="1"/>
  <c r="I196" i="110"/>
  <c r="J196" i="110" s="1"/>
  <c r="I187" i="110"/>
  <c r="J187" i="110" s="1"/>
  <c r="I194" i="110"/>
  <c r="J194" i="110" s="1"/>
  <c r="I195" i="110"/>
  <c r="J195" i="110" s="1"/>
  <c r="I193" i="110"/>
  <c r="J193" i="110" s="1"/>
  <c r="I192" i="110"/>
  <c r="J192" i="110" s="1"/>
  <c r="I191" i="110"/>
  <c r="J191" i="110" s="1"/>
  <c r="I190" i="110"/>
  <c r="J190" i="110" s="1"/>
  <c r="I180" i="110"/>
  <c r="J180" i="110" s="1"/>
  <c r="I107" i="110"/>
  <c r="I12" i="110"/>
  <c r="J12" i="110" s="1"/>
  <c r="J44" i="113" l="1"/>
  <c r="J51" i="113"/>
  <c r="J37" i="113"/>
  <c r="G245" i="110"/>
  <c r="I215" i="110" l="1"/>
  <c r="J215" i="110" s="1"/>
  <c r="I29" i="110" l="1"/>
  <c r="I30" i="110"/>
  <c r="I31" i="110"/>
  <c r="I32" i="110"/>
  <c r="I28" i="110"/>
  <c r="J29" i="110" l="1"/>
  <c r="J28" i="110"/>
  <c r="J30" i="110"/>
  <c r="J31" i="110"/>
  <c r="I234" i="110"/>
  <c r="J234" i="110" s="1"/>
  <c r="I184" i="110"/>
  <c r="J184" i="110" s="1"/>
  <c r="I185" i="110"/>
  <c r="J185" i="110" s="1"/>
  <c r="I171" i="110"/>
  <c r="I173" i="110"/>
  <c r="N55" i="114"/>
  <c r="N54" i="114"/>
  <c r="N57" i="114" s="1"/>
  <c r="L56" i="114"/>
  <c r="L52" i="114"/>
  <c r="L59" i="114" s="1"/>
  <c r="N42" i="114"/>
  <c r="N45" i="114"/>
  <c r="N46" i="114"/>
  <c r="N47" i="114"/>
  <c r="L46" i="114"/>
  <c r="L44" i="114"/>
  <c r="N44" i="114" s="1"/>
  <c r="L43" i="114"/>
  <c r="N43" i="114" s="1"/>
  <c r="L41" i="114"/>
  <c r="N41" i="114" s="1"/>
  <c r="N33" i="114"/>
  <c r="N37" i="114"/>
  <c r="L37" i="114"/>
  <c r="L36" i="114"/>
  <c r="N36" i="114" s="1"/>
  <c r="L35" i="114"/>
  <c r="N35" i="114" s="1"/>
  <c r="L34" i="114"/>
  <c r="N34" i="114" s="1"/>
  <c r="L33" i="114"/>
  <c r="L28" i="114"/>
  <c r="N28" i="114" s="1"/>
  <c r="L29" i="114"/>
  <c r="N29" i="114" s="1"/>
  <c r="L30" i="114"/>
  <c r="N30" i="114" s="1"/>
  <c r="L31" i="114"/>
  <c r="N31" i="114" s="1"/>
  <c r="L32" i="114"/>
  <c r="N32" i="114" s="1"/>
  <c r="I53" i="110"/>
  <c r="I52" i="110"/>
  <c r="I51" i="110"/>
  <c r="I40" i="110"/>
  <c r="F25" i="114"/>
  <c r="U41" i="114"/>
  <c r="U39" i="114"/>
  <c r="V39" i="114" s="1"/>
  <c r="S26" i="114"/>
  <c r="O22" i="114"/>
  <c r="O21" i="114"/>
  <c r="O15" i="114"/>
  <c r="O12" i="114"/>
  <c r="O10" i="114"/>
  <c r="O9" i="114"/>
  <c r="O8" i="114"/>
  <c r="O7" i="114"/>
  <c r="B64" i="114"/>
  <c r="D64" i="114" s="1"/>
  <c r="B58" i="114"/>
  <c r="D58" i="114" s="1"/>
  <c r="D59" i="114"/>
  <c r="D60" i="114"/>
  <c r="D61" i="114"/>
  <c r="D62" i="114"/>
  <c r="D63" i="114"/>
  <c r="D65" i="114"/>
  <c r="D66" i="114"/>
  <c r="D67" i="114"/>
  <c r="B52" i="114"/>
  <c r="D52" i="114" s="1"/>
  <c r="D47" i="114"/>
  <c r="D48" i="114"/>
  <c r="D49" i="114"/>
  <c r="D50" i="114"/>
  <c r="D51" i="114"/>
  <c r="D53" i="114"/>
  <c r="D55" i="114"/>
  <c r="D56" i="114"/>
  <c r="D57" i="114"/>
  <c r="D46" i="114"/>
  <c r="B54" i="114"/>
  <c r="D54" i="114" s="1"/>
  <c r="D45" i="114"/>
  <c r="D44" i="114"/>
  <c r="D43" i="114"/>
  <c r="D42" i="114"/>
  <c r="D41" i="114"/>
  <c r="D40" i="114"/>
  <c r="D39" i="114"/>
  <c r="D38" i="114"/>
  <c r="D37" i="114"/>
  <c r="D36" i="114"/>
  <c r="D35" i="114"/>
  <c r="D34" i="114"/>
  <c r="D22" i="114"/>
  <c r="G13" i="114"/>
  <c r="G12" i="114"/>
  <c r="G9" i="114"/>
  <c r="G10" i="114"/>
  <c r="G8" i="114"/>
  <c r="G6" i="114"/>
  <c r="G7" i="114"/>
  <c r="G11" i="114"/>
  <c r="E4" i="114"/>
  <c r="E15" i="114"/>
  <c r="E10" i="114"/>
  <c r="I74" i="110"/>
  <c r="J74" i="110" s="1"/>
  <c r="I64" i="110"/>
  <c r="E5" i="114"/>
  <c r="E6" i="114"/>
  <c r="F34" i="114" s="1"/>
  <c r="E7" i="114"/>
  <c r="E8" i="114"/>
  <c r="E9" i="114"/>
  <c r="E12" i="114"/>
  <c r="E13" i="114"/>
  <c r="E14" i="114"/>
  <c r="I233" i="110"/>
  <c r="J233" i="110" s="1"/>
  <c r="I232" i="110"/>
  <c r="J232" i="110" s="1"/>
  <c r="N38" i="114" l="1"/>
  <c r="N48" i="114"/>
  <c r="G16" i="114"/>
  <c r="E18" i="114"/>
  <c r="E16" i="114"/>
  <c r="F26" i="114"/>
  <c r="F27" i="114" s="1"/>
  <c r="F29" i="114" s="1"/>
  <c r="J235" i="110"/>
  <c r="D42" i="109" s="1"/>
  <c r="K43" i="109" s="1"/>
  <c r="J173" i="110"/>
  <c r="J51" i="110"/>
  <c r="J53" i="110"/>
  <c r="J171" i="110"/>
  <c r="J116" i="110"/>
  <c r="J52" i="110"/>
  <c r="J40" i="110"/>
  <c r="B69" i="114"/>
  <c r="J64" i="110"/>
  <c r="M43" i="109" l="1"/>
  <c r="I224" i="110"/>
  <c r="J224" i="110" s="1"/>
  <c r="N24" i="114"/>
  <c r="P24" i="114" s="1"/>
  <c r="N23" i="114"/>
  <c r="P23" i="114" s="1"/>
  <c r="N22" i="114"/>
  <c r="P22" i="114" s="1"/>
  <c r="N21" i="114"/>
  <c r="P21" i="114" s="1"/>
  <c r="N20" i="114"/>
  <c r="P20" i="114" s="1"/>
  <c r="N19" i="114"/>
  <c r="P19" i="114" s="1"/>
  <c r="N18" i="114"/>
  <c r="P18" i="114" s="1"/>
  <c r="N17" i="114"/>
  <c r="P17" i="114" s="1"/>
  <c r="N16" i="114"/>
  <c r="P16" i="114" s="1"/>
  <c r="N4" i="114"/>
  <c r="P4" i="114" s="1"/>
  <c r="N5" i="114"/>
  <c r="P5" i="114" s="1"/>
  <c r="N6" i="114"/>
  <c r="P6" i="114" s="1"/>
  <c r="N7" i="114"/>
  <c r="P7" i="114" s="1"/>
  <c r="N8" i="114"/>
  <c r="P8" i="114" s="1"/>
  <c r="N9" i="114"/>
  <c r="P9" i="114" s="1"/>
  <c r="N10" i="114"/>
  <c r="P10" i="114" s="1"/>
  <c r="N11" i="114"/>
  <c r="P11" i="114" s="1"/>
  <c r="N12" i="114"/>
  <c r="N13" i="114"/>
  <c r="P13" i="114" s="1"/>
  <c r="N14" i="114"/>
  <c r="N15" i="114"/>
  <c r="N3" i="114"/>
  <c r="P3" i="114" s="1"/>
  <c r="D27" i="114"/>
  <c r="D32" i="114"/>
  <c r="D33" i="114"/>
  <c r="D31" i="114"/>
  <c r="D30" i="114"/>
  <c r="D29" i="114"/>
  <c r="D28" i="114"/>
  <c r="D26" i="114"/>
  <c r="D25" i="114"/>
  <c r="D24" i="114"/>
  <c r="P12" i="114" l="1"/>
  <c r="P15" i="114"/>
  <c r="P14" i="114"/>
  <c r="D23" i="114"/>
  <c r="D69" i="114" s="1"/>
  <c r="J9" i="113"/>
  <c r="J10" i="113"/>
  <c r="J11" i="113"/>
  <c r="J8" i="113"/>
  <c r="J7" i="113"/>
  <c r="J6" i="113"/>
  <c r="J57" i="113"/>
  <c r="J56" i="113"/>
  <c r="J55" i="113"/>
  <c r="J17" i="113"/>
  <c r="J18" i="113"/>
  <c r="J16" i="113"/>
  <c r="P25" i="114" l="1"/>
  <c r="F71" i="114"/>
  <c r="F69" i="114"/>
  <c r="J12" i="113"/>
  <c r="J19" i="113"/>
  <c r="F33" i="114"/>
  <c r="F35" i="114" s="1"/>
  <c r="P47" i="114"/>
  <c r="J58" i="113"/>
  <c r="I228" i="110"/>
  <c r="J228" i="110" s="1"/>
  <c r="I113" i="110"/>
  <c r="I88" i="110"/>
  <c r="J88" i="110" s="1"/>
  <c r="I13" i="110" l="1"/>
  <c r="J13" i="110" s="1"/>
  <c r="I103" i="110" l="1"/>
  <c r="J103" i="110" s="1"/>
  <c r="I246" i="110" l="1"/>
  <c r="J50" i="110"/>
  <c r="I49" i="110"/>
  <c r="J49" i="110" s="1"/>
  <c r="I145" i="110"/>
  <c r="J145" i="110" s="1"/>
  <c r="I170" i="110"/>
  <c r="J170" i="110" s="1"/>
  <c r="I169" i="110"/>
  <c r="J169" i="110" s="1"/>
  <c r="I162" i="110"/>
  <c r="J162" i="110" s="1"/>
  <c r="I163" i="110"/>
  <c r="J163" i="110" s="1"/>
  <c r="I161" i="110"/>
  <c r="J161" i="110" s="1"/>
  <c r="I124" i="110"/>
  <c r="J124" i="110" s="1"/>
  <c r="I123" i="110"/>
  <c r="J123" i="110" s="1"/>
  <c r="I68" i="110"/>
  <c r="I114" i="110"/>
  <c r="I115" i="110"/>
  <c r="G93" i="110" l="1"/>
  <c r="J113" i="110"/>
  <c r="J115" i="110"/>
  <c r="J68" i="110"/>
  <c r="I99" i="110"/>
  <c r="J99" i="110" s="1"/>
  <c r="J114" i="110" l="1"/>
  <c r="I46" i="110"/>
  <c r="I44" i="110"/>
  <c r="I41" i="110"/>
  <c r="I39" i="110"/>
  <c r="I156" i="110"/>
  <c r="J156" i="110" s="1"/>
  <c r="J209" i="110"/>
  <c r="J212" i="110"/>
  <c r="J217" i="110"/>
  <c r="J220" i="110"/>
  <c r="J134" i="110"/>
  <c r="J48" i="110"/>
  <c r="J32" i="110"/>
  <c r="J33" i="110" l="1"/>
  <c r="D12" i="109" s="1"/>
  <c r="J246" i="110"/>
  <c r="I245" i="110"/>
  <c r="J245" i="110" s="1"/>
  <c r="I210" i="110"/>
  <c r="J210" i="110" s="1"/>
  <c r="I211" i="110"/>
  <c r="J211" i="110" s="1"/>
  <c r="I213" i="110"/>
  <c r="J213" i="110" s="1"/>
  <c r="I214" i="110"/>
  <c r="J214" i="110" s="1"/>
  <c r="I216" i="110"/>
  <c r="J216" i="110" s="1"/>
  <c r="I218" i="110"/>
  <c r="J218" i="110" s="1"/>
  <c r="I219" i="110"/>
  <c r="J219" i="110" s="1"/>
  <c r="I221" i="110"/>
  <c r="J221" i="110" s="1"/>
  <c r="I222" i="110"/>
  <c r="J222" i="110" s="1"/>
  <c r="I223" i="110"/>
  <c r="J223" i="110" s="1"/>
  <c r="I208" i="110"/>
  <c r="J208" i="110" s="1"/>
  <c r="I182" i="110"/>
  <c r="J182" i="110" s="1"/>
  <c r="I188" i="110"/>
  <c r="J188" i="110" s="1"/>
  <c r="I164" i="110"/>
  <c r="J164" i="110" s="1"/>
  <c r="I165" i="110"/>
  <c r="J165" i="110" s="1"/>
  <c r="I166" i="110"/>
  <c r="J166" i="110" s="1"/>
  <c r="I167" i="110"/>
  <c r="J167" i="110" s="1"/>
  <c r="I168" i="110"/>
  <c r="J168" i="110" s="1"/>
  <c r="I174" i="110"/>
  <c r="J174" i="110" s="1"/>
  <c r="I160" i="110"/>
  <c r="J160" i="110" s="1"/>
  <c r="I140" i="110"/>
  <c r="J140" i="110" s="1"/>
  <c r="I141" i="110"/>
  <c r="J141" i="110" s="1"/>
  <c r="I142" i="110"/>
  <c r="J142" i="110" s="1"/>
  <c r="I143" i="110"/>
  <c r="J143" i="110" s="1"/>
  <c r="I144" i="110"/>
  <c r="J144" i="110" s="1"/>
  <c r="I149" i="110"/>
  <c r="J149" i="110" s="1"/>
  <c r="I153" i="110"/>
  <c r="J153" i="110" s="1"/>
  <c r="I139" i="110"/>
  <c r="J139" i="110" s="1"/>
  <c r="I125" i="110"/>
  <c r="J125" i="110" s="1"/>
  <c r="I128" i="110"/>
  <c r="J128" i="110" s="1"/>
  <c r="I129" i="110"/>
  <c r="J129" i="110" s="1"/>
  <c r="I130" i="110"/>
  <c r="J130" i="110" s="1"/>
  <c r="I131" i="110"/>
  <c r="J131" i="110" s="1"/>
  <c r="I132" i="110"/>
  <c r="J132" i="110" s="1"/>
  <c r="I133" i="110"/>
  <c r="J133" i="110" s="1"/>
  <c r="I135" i="110"/>
  <c r="J135" i="110" s="1"/>
  <c r="I121" i="110"/>
  <c r="J121" i="110" s="1"/>
  <c r="I112" i="110"/>
  <c r="J112" i="110" s="1"/>
  <c r="I105" i="110"/>
  <c r="J105" i="110" s="1"/>
  <c r="J107" i="110"/>
  <c r="I108" i="110"/>
  <c r="J108" i="110" s="1"/>
  <c r="I104" i="110"/>
  <c r="J104" i="110" s="1"/>
  <c r="I98" i="110"/>
  <c r="J98" i="110" s="1"/>
  <c r="J100" i="110" s="1"/>
  <c r="D26" i="109" s="1"/>
  <c r="I93" i="110"/>
  <c r="J93" i="110" s="1"/>
  <c r="I94" i="110"/>
  <c r="J94" i="110" s="1"/>
  <c r="I92" i="110"/>
  <c r="J92" i="110" s="1"/>
  <c r="I87" i="110"/>
  <c r="J87" i="110" s="1"/>
  <c r="J89" i="110" s="1"/>
  <c r="D22" i="109" s="1"/>
  <c r="I78" i="110"/>
  <c r="J78" i="110" s="1"/>
  <c r="I80" i="110"/>
  <c r="J80" i="110" s="1"/>
  <c r="I83" i="110"/>
  <c r="J83" i="110" s="1"/>
  <c r="I65" i="110"/>
  <c r="J65" i="110" s="1"/>
  <c r="J75" i="110" s="1"/>
  <c r="D18" i="109" s="1"/>
  <c r="I59" i="110"/>
  <c r="J59" i="110" s="1"/>
  <c r="J60" i="110" s="1"/>
  <c r="D16" i="109" s="1"/>
  <c r="J41" i="110"/>
  <c r="I42" i="110"/>
  <c r="J42" i="110" s="1"/>
  <c r="J44" i="110"/>
  <c r="I45" i="110"/>
  <c r="J45" i="110" s="1"/>
  <c r="J46" i="110"/>
  <c r="I47" i="110"/>
  <c r="J47" i="110" s="1"/>
  <c r="J39" i="110"/>
  <c r="J117" i="110" l="1"/>
  <c r="D30" i="109" s="1"/>
  <c r="J136" i="110"/>
  <c r="D32" i="109" s="1"/>
  <c r="J176" i="110"/>
  <c r="D36" i="109" s="1"/>
  <c r="J84" i="110"/>
  <c r="D20" i="109" s="1"/>
  <c r="I21" i="109" s="1"/>
  <c r="J157" i="110"/>
  <c r="J204" i="110"/>
  <c r="D38" i="109" s="1"/>
  <c r="J54" i="110"/>
  <c r="D14" i="109" s="1"/>
  <c r="J229" i="110"/>
  <c r="D40" i="109" s="1"/>
  <c r="J247" i="110"/>
  <c r="I19" i="109"/>
  <c r="J109" i="110"/>
  <c r="D28" i="109" s="1"/>
  <c r="J95" i="110"/>
  <c r="I14" i="110"/>
  <c r="J14" i="110" s="1"/>
  <c r="K31" i="109" l="1"/>
  <c r="L31" i="109"/>
  <c r="M39" i="109"/>
  <c r="L39" i="109"/>
  <c r="G39" i="109"/>
  <c r="D46" i="109"/>
  <c r="M47" i="109" s="1"/>
  <c r="M33" i="109"/>
  <c r="D34" i="109"/>
  <c r="M29" i="109"/>
  <c r="L29" i="109"/>
  <c r="K23" i="109"/>
  <c r="D24" i="109"/>
  <c r="J25" i="109" s="1"/>
  <c r="J15" i="110"/>
  <c r="J249" i="110" s="1"/>
  <c r="M31" i="109"/>
  <c r="F13" i="109"/>
  <c r="G15" i="109"/>
  <c r="K27" i="109"/>
  <c r="M37" i="109"/>
  <c r="I33" i="109"/>
  <c r="I49" i="109" s="1"/>
  <c r="H33" i="109"/>
  <c r="G23" i="109"/>
  <c r="J21" i="109"/>
  <c r="H19" i="109"/>
  <c r="H17" i="109"/>
  <c r="G17" i="109"/>
  <c r="F15" i="109"/>
  <c r="F11" i="109"/>
  <c r="K49" i="109" l="1"/>
  <c r="G35" i="109"/>
  <c r="M35" i="109"/>
  <c r="H41" i="109"/>
  <c r="H49" i="109" s="1"/>
  <c r="M41" i="109"/>
  <c r="G41" i="109"/>
  <c r="J41" i="109"/>
  <c r="J49" i="109" s="1"/>
  <c r="L41" i="109"/>
  <c r="L49" i="109" s="1"/>
  <c r="D8" i="109"/>
  <c r="G49" i="109" l="1"/>
  <c r="M49" i="109"/>
  <c r="F9" i="109"/>
  <c r="F49" i="109" s="1"/>
  <c r="D49" i="109"/>
  <c r="E38" i="109" s="1"/>
  <c r="F50" i="109" l="1"/>
  <c r="F51" i="109" s="1"/>
  <c r="E42" i="109"/>
  <c r="L50" i="109"/>
  <c r="M50" i="109"/>
  <c r="K50" i="109"/>
  <c r="I50" i="109"/>
  <c r="E32" i="109"/>
  <c r="E28" i="109"/>
  <c r="E18" i="109"/>
  <c r="E8" i="109"/>
  <c r="E44" i="109"/>
  <c r="E24" i="109"/>
  <c r="E12" i="109"/>
  <c r="H50" i="109" s="1"/>
  <c r="E36" i="109"/>
  <c r="E26" i="109"/>
  <c r="E20" i="109"/>
  <c r="E14" i="109"/>
  <c r="E22" i="109"/>
  <c r="E46" i="109"/>
  <c r="E16" i="109"/>
  <c r="E10" i="109"/>
  <c r="E40" i="109"/>
  <c r="E34" i="109"/>
  <c r="E30" i="109"/>
  <c r="G50" i="109"/>
  <c r="G51" i="109" l="1"/>
  <c r="H51" i="109" s="1"/>
  <c r="I51" i="109" s="1"/>
  <c r="J50" i="109"/>
  <c r="E49" i="109"/>
  <c r="J51" i="109" l="1"/>
  <c r="K51" i="109" s="1"/>
  <c r="L51" i="109" s="1"/>
  <c r="M51" i="109" s="1"/>
</calcChain>
</file>

<file path=xl/sharedStrings.xml><?xml version="1.0" encoding="utf-8"?>
<sst xmlns="http://schemas.openxmlformats.org/spreadsheetml/2006/main" count="1015" uniqueCount="505">
  <si>
    <t>11.4</t>
  </si>
  <si>
    <t>MERCADO</t>
  </si>
  <si>
    <t>14.1</t>
  </si>
  <si>
    <t>TUBULAÇÕES E CONEXÕES DE PVC RÍGIDO</t>
  </si>
  <si>
    <t>14.2</t>
  </si>
  <si>
    <t>17.1</t>
  </si>
  <si>
    <t>SERVIÇOS FINAIS</t>
  </si>
  <si>
    <t>CENTRO DE DISTRIBUIÇÃO</t>
  </si>
  <si>
    <t>ELETRODUTOS E ACESSÓRIOS</t>
  </si>
  <si>
    <t xml:space="preserve">INSTALAÇÃO HIDRÁULICA </t>
  </si>
  <si>
    <t xml:space="preserve">INSTALAÇÃO SANITÁRIA </t>
  </si>
  <si>
    <t>15.1</t>
  </si>
  <si>
    <t>15.3</t>
  </si>
  <si>
    <t>17.2</t>
  </si>
  <si>
    <t>Custo TOTAL com BDI incluso</t>
  </si>
  <si>
    <t xml:space="preserve">Planilha Orçamentária </t>
  </si>
  <si>
    <t>ITEM</t>
  </si>
  <si>
    <t>CÓDIGO</t>
  </si>
  <si>
    <t>FONTE</t>
  </si>
  <si>
    <t>DESCRIÇÃO DOS SERVIÇOS</t>
  </si>
  <si>
    <t>QUANT.</t>
  </si>
  <si>
    <t>VALOR (R$)</t>
  </si>
  <si>
    <t>1.1</t>
  </si>
  <si>
    <t>un</t>
  </si>
  <si>
    <t>m³</t>
  </si>
  <si>
    <t>4.1</t>
  </si>
  <si>
    <t>SINAPI</t>
  </si>
  <si>
    <t>m²</t>
  </si>
  <si>
    <t>kg</t>
  </si>
  <si>
    <t>6.1</t>
  </si>
  <si>
    <t>m</t>
  </si>
  <si>
    <t>7.1</t>
  </si>
  <si>
    <t>8.1</t>
  </si>
  <si>
    <t xml:space="preserve">SERVIÇOS PRELIMINARES </t>
  </si>
  <si>
    <t xml:space="preserve"> m²</t>
  </si>
  <si>
    <t xml:space="preserve">SUPERESTRUTURA </t>
  </si>
  <si>
    <t>CONCRETO ARMADO PARA VERGAS</t>
  </si>
  <si>
    <t>ALVENARIA DE VEDAÇÃO</t>
  </si>
  <si>
    <t xml:space="preserve">ESQUADRIAS </t>
  </si>
  <si>
    <t>9.1</t>
  </si>
  <si>
    <t>FUNDAÇÕES</t>
  </si>
  <si>
    <t xml:space="preserve">SISTEMAS DE COBERTURA </t>
  </si>
  <si>
    <t>SERVIÇOS COMPLEMENTARES</t>
  </si>
  <si>
    <t>SISTEMA DE PROTEÇÃO CONTRA INCÊNDIO</t>
  </si>
  <si>
    <t xml:space="preserve">Subtotal </t>
  </si>
  <si>
    <t>14.7</t>
  </si>
  <si>
    <t>14.8</t>
  </si>
  <si>
    <t>14.9</t>
  </si>
  <si>
    <t>16.1</t>
  </si>
  <si>
    <t>16.2</t>
  </si>
  <si>
    <t>16.3</t>
  </si>
  <si>
    <t>DISJUNTORES</t>
  </si>
  <si>
    <t xml:space="preserve">IMPERMEABILIZAÇÃO </t>
  </si>
  <si>
    <t>11.2</t>
  </si>
  <si>
    <t>14.3</t>
  </si>
  <si>
    <t>14.4</t>
  </si>
  <si>
    <t>3.1.3</t>
  </si>
  <si>
    <t>4.1.1</t>
  </si>
  <si>
    <t>8.2</t>
  </si>
  <si>
    <t>Concreto Bombeado fck= 25MPa; incluindo preparo, lançamento e adensamento</t>
  </si>
  <si>
    <t>Montagem e desmontagem de forma para viga, madeira serrada com reaproveitamento</t>
  </si>
  <si>
    <t>Montagem e desmontagem de forma para pilares, madeira serrada com reaproveitamento</t>
  </si>
  <si>
    <t>Chapisco em paredes, vigas e pilares, com argamassa traço 1:3 (cimento e areia)</t>
  </si>
  <si>
    <t>Emboço de parede, com argamassa traço 1:2:8 (cimento, cal e areia), espessura 2cm</t>
  </si>
  <si>
    <t>Soleira em granito cinza andorinha, L= 15cm, espessura 2cm</t>
  </si>
  <si>
    <t>Limpeza de piso cerâmico e soleiras</t>
  </si>
  <si>
    <t>Cabo de cobre flexível, isolado, seção de 2,5mm²; anti-chama 450/750V</t>
  </si>
  <si>
    <t>Cabo de cobre flexível, isolado, seção de 6mm²; anti-chama 450/750V</t>
  </si>
  <si>
    <t>Interruptor simples 10A, com suporte e placa</t>
  </si>
  <si>
    <t>Interruptor duplo 10A, com suporte e placa</t>
  </si>
  <si>
    <t>Tubo PVC soldável Ø 25mm, fornecimento e instalação</t>
  </si>
  <si>
    <t>Joelho PVC 90º soldável Ø 25mm, fornecimento e instalação</t>
  </si>
  <si>
    <t>Tê PVC 90º soldável Ø 25mm, fornecimento e instalação</t>
  </si>
  <si>
    <t>Adaptador PVC soldável com bolsa e rosca Ø 25mm x ¾", fornecimento e instalação</t>
  </si>
  <si>
    <t>Joelho PVC 90º soldável com bucha de latão Ø 25mm x ¾", fornecimento e instalação</t>
  </si>
  <si>
    <t>Tubo de PVC Série Normal Ø 40mm, fornecimento e instalação</t>
  </si>
  <si>
    <t>Tubo de PVC Série Normal Ø 50mm, fornecimento e instalação</t>
  </si>
  <si>
    <t>Tubo de PVC Série Normal Ø 75mm, fornecimento e instalação</t>
  </si>
  <si>
    <t>Tubo de PVC Série Normal Ø 100mm, fornecimento e instalação</t>
  </si>
  <si>
    <t>Joelho PVC 90º Ø 40mm, fornecimento e instalação</t>
  </si>
  <si>
    <t>Eletroduto PVC flexível corrugado reforçado Ø 25mm, inclusive conexões</t>
  </si>
  <si>
    <t>BDI :</t>
  </si>
  <si>
    <t>UN.</t>
  </si>
  <si>
    <t>PREÇO SEM BDI (R$)</t>
  </si>
  <si>
    <t>PREÇO COM BDI (R$)</t>
  </si>
  <si>
    <t>SISTEMA DE VEDAÇÃO VERTICAL</t>
  </si>
  <si>
    <t>SISTEMAS DE PISOS</t>
  </si>
  <si>
    <t>PINTURAS E ACABAMENTOS</t>
  </si>
  <si>
    <t>REGISTROS E OUTROS</t>
  </si>
  <si>
    <t>LOUÇAS, ACESSÓRIOS E METAIS</t>
  </si>
  <si>
    <t>INSTALAÇÃO ELÉTRICA - 220V</t>
  </si>
  <si>
    <t>CABOS E FIOS CONDUTORES</t>
  </si>
  <si>
    <t>ILUMINAÇÃO, TOMADAS E INTERRUPTORES</t>
  </si>
  <si>
    <t>% ITEM</t>
  </si>
  <si>
    <t xml:space="preserve">FUNDAÇÕES </t>
  </si>
  <si>
    <t xml:space="preserve">LOUÇAS E METAIS </t>
  </si>
  <si>
    <t>INSTALAÇÕES ELÉTRICAS - 220V</t>
  </si>
  <si>
    <t>Valores totais</t>
  </si>
  <si>
    <t>Placa da obra em chapa de aço galvanizado</t>
  </si>
  <si>
    <t>Junção PVC simples 50mm x 50mm, fornecimento e instalação</t>
  </si>
  <si>
    <t xml:space="preserve">Locação convencional da obra (execução de gabarito) </t>
  </si>
  <si>
    <t>Armação de aço CA-50 Ø10mm; incluso fornecimento, corte, dobra e colocação</t>
  </si>
  <si>
    <t>Armação de aço CA-60 Ø 5,0mm; incluso fornecimento, corte, dobra e colocação</t>
  </si>
  <si>
    <t>Concreto Bombeado fck= 25MPa; incluindo bomba, preparo, lançamento e adensamento</t>
  </si>
  <si>
    <t>Verga e contraverga moldada in loco para janelas e portas</t>
  </si>
  <si>
    <t xml:space="preserve">Impermeabilização com tinta betuminosa em fundações </t>
  </si>
  <si>
    <t>Rodapé cerâmico 7 cm de altura em placas tipo esmaltada extra</t>
  </si>
  <si>
    <t>Aplicação de fundo selador acrílico em paredes, 1 demão</t>
  </si>
  <si>
    <t>Caixa de gordura simples 36L</t>
  </si>
  <si>
    <t>Peitoril em granito cinza andorinha, L= 15cm, espessura 2cm</t>
  </si>
  <si>
    <t>Limpeza de revestimento cerâmico em parede</t>
  </si>
  <si>
    <t>FORROS</t>
  </si>
  <si>
    <t>2.1</t>
  </si>
  <si>
    <t>14.5</t>
  </si>
  <si>
    <t>14.6</t>
  </si>
  <si>
    <t>14.10</t>
  </si>
  <si>
    <t>3.1</t>
  </si>
  <si>
    <t>3.1.1</t>
  </si>
  <si>
    <t>3.1.2</t>
  </si>
  <si>
    <t>5.1</t>
  </si>
  <si>
    <t>5.1.2</t>
  </si>
  <si>
    <t>11.1</t>
  </si>
  <si>
    <t>11.3</t>
  </si>
  <si>
    <t>13.1</t>
  </si>
  <si>
    <t>13.2</t>
  </si>
  <si>
    <t>15.2</t>
  </si>
  <si>
    <t>16.2.1</t>
  </si>
  <si>
    <t>16.3.1</t>
  </si>
  <si>
    <t>16.3.2</t>
  </si>
  <si>
    <t>16.3.3</t>
  </si>
  <si>
    <t>16.3.4</t>
  </si>
  <si>
    <t>16.4</t>
  </si>
  <si>
    <t>16.4.1</t>
  </si>
  <si>
    <t>16.4.2</t>
  </si>
  <si>
    <t>16.4.3</t>
  </si>
  <si>
    <t>19.1</t>
  </si>
  <si>
    <t>19.2</t>
  </si>
  <si>
    <t>CREA RS 215.874</t>
  </si>
  <si>
    <t>Prefeito Municipal</t>
  </si>
  <si>
    <t>unid</t>
  </si>
  <si>
    <t>Armação de aço CA-50 Ø8mm; incluso fornecimento, corte, dobra e colocação</t>
  </si>
  <si>
    <t>11.5</t>
  </si>
  <si>
    <t>11.6</t>
  </si>
  <si>
    <t>JANELAS DE ALUMÍNIO</t>
  </si>
  <si>
    <t>10.1</t>
  </si>
  <si>
    <t>10.2</t>
  </si>
  <si>
    <t>Registro de esfera, PVC soldável Ø 25mm para reservatório de água, fornecimento e instal</t>
  </si>
  <si>
    <t>Caixa de água 1000L fibra de vidro,com conexões e bóia, fornecimento e instalação</t>
  </si>
  <si>
    <t>Luva PVC soldável 3/4", fornecimento e instalação</t>
  </si>
  <si>
    <t>Tê PVC 90º soldável Ø 25mm x ¾" com bucha de latão, fornecimento e instalação</t>
  </si>
  <si>
    <t>Vaso sanitário, caixa acoplada, em louça branca, assento plástico, fornec e instalação</t>
  </si>
  <si>
    <t>Dispenser saboneteira plástica para sabonete líquido, incluso fixação</t>
  </si>
  <si>
    <t xml:space="preserve">Dispenser papel toalha </t>
  </si>
  <si>
    <t>Papeleira em metal cromado</t>
  </si>
  <si>
    <t>Assento plástico para vaso sanitário, fornecimento e instalação</t>
  </si>
  <si>
    <t>14.11</t>
  </si>
  <si>
    <t>Vaso sanitário para PCD, caixa acoplada, em louça branca, ,fornecimento e instalação</t>
  </si>
  <si>
    <t>Puxador para porta PCD, fixado na porta</t>
  </si>
  <si>
    <t>Barra de apoio reta, em aço inox polido 80 cm, fixado na parede</t>
  </si>
  <si>
    <t>Torneira cromada para lavatório de mesa bica baixa</t>
  </si>
  <si>
    <t>14.12</t>
  </si>
  <si>
    <t>Joelho PVC 90º Ø 50mm, fornecimento e instalação</t>
  </si>
  <si>
    <t>Joelho PVC 90º Ø 100mm, fornecimento e instalação</t>
  </si>
  <si>
    <t>Execução de piso de concreto com concreto usinado, armado, espessura de 8 cm</t>
  </si>
  <si>
    <t>UN</t>
  </si>
  <si>
    <t>1,0000000</t>
  </si>
  <si>
    <t>COMPOSICAO</t>
  </si>
  <si>
    <t>88247</t>
  </si>
  <si>
    <t>AUXILIAR DE ELETRICISTA COM ENCARGOS COMPLEMENTARES</t>
  </si>
  <si>
    <t>H</t>
  </si>
  <si>
    <t>0,1727000</t>
  </si>
  <si>
    <t>88264</t>
  </si>
  <si>
    <t>ELETRICISTA COM ENCARGOS COMPLEMENTARES</t>
  </si>
  <si>
    <t>0,4144000</t>
  </si>
  <si>
    <t>QTDE</t>
  </si>
  <si>
    <t>VALOR UNITÁRIO</t>
  </si>
  <si>
    <t>VALOR TOTAL</t>
  </si>
  <si>
    <t>COMÉRCIO LOCAL</t>
  </si>
  <si>
    <t>M</t>
  </si>
  <si>
    <t>Painel de LED 36W 40x40 de embutir, fornecimento e instalação</t>
  </si>
  <si>
    <t>5.1.1</t>
  </si>
  <si>
    <t>INSTALAÇÃO SANITÁRIA E DE ÁGUAS PLUVIAIS</t>
  </si>
  <si>
    <t>DESCRIÇÃO</t>
  </si>
  <si>
    <t>TOTAL</t>
  </si>
  <si>
    <t>COMPOSIÇÃO 2</t>
  </si>
  <si>
    <t>COMPOSIÇÃO 3</t>
  </si>
  <si>
    <t>COMPOSIÇÃO 4</t>
  </si>
  <si>
    <t>ENGENHEIRO CIVIL DE OBRA JUNIOR</t>
  </si>
  <si>
    <t>MESTRE DE OBRAS</t>
  </si>
  <si>
    <t>ALMOXARIFE</t>
  </si>
  <si>
    <t>LUMINARIA ARANDELA DE LED 6W, EXTERNA, 3000K, IP66, 220V</t>
  </si>
  <si>
    <t>Administração de Obra</t>
  </si>
  <si>
    <t>Arandela 6W, 2700K, IP66 220V, fornecimento e instalação</t>
  </si>
  <si>
    <t>ADMINISTRAÇÃO DE OBRA - UNID</t>
  </si>
  <si>
    <t>ARANDELA 6W, 3000K, IP66, 220V - FORNECIMENTO E INSTALAÇÃO - UNID</t>
  </si>
  <si>
    <t>PLACA DE OBRA EM CHAPA GALVANIZADA - M²</t>
  </si>
  <si>
    <t>SARRAFO DE MADEIRA 2,5x7 cm</t>
  </si>
  <si>
    <t>CAIBRO 7,5x7,5 cm</t>
  </si>
  <si>
    <t>PREGO DE AÇO 18X30</t>
  </si>
  <si>
    <t>CARPINTEIRO</t>
  </si>
  <si>
    <t>SERVENTE</t>
  </si>
  <si>
    <t>KG</t>
  </si>
  <si>
    <t>INSUMO</t>
  </si>
  <si>
    <t>M²</t>
  </si>
  <si>
    <t>PLACA DE OBRA EM CHPA GALVANIZADA N 22</t>
  </si>
  <si>
    <t>Reaterro manual de valas com compactação</t>
  </si>
  <si>
    <t>CONCRETO ARMADO - VIGAS BALDRAME</t>
  </si>
  <si>
    <t>ESQUADRIAS</t>
  </si>
  <si>
    <t>VÃO</t>
  </si>
  <si>
    <t>ALTURA</t>
  </si>
  <si>
    <t>TIPO</t>
  </si>
  <si>
    <t>MATERIAL</t>
  </si>
  <si>
    <t>JANELA</t>
  </si>
  <si>
    <t>ALVENARIA</t>
  </si>
  <si>
    <t>azulejo</t>
  </si>
  <si>
    <t>moldura</t>
  </si>
  <si>
    <t>Caixa sifonada 150x185x75mm, fornecimento e instalação</t>
  </si>
  <si>
    <t>Quadro de distribuição de energia para 30 disjuntores, fornecimento e instalação</t>
  </si>
  <si>
    <t>Tomada, com 2 módulos 2P+T 20A 250V, com suporte e placa</t>
  </si>
  <si>
    <t>PAINEL DE LED DE SOBREPOR 36w 40x40 cm, 4000 K, LUZ NEUTRA</t>
  </si>
  <si>
    <t>16.4.4</t>
  </si>
  <si>
    <t>Eng. Angelica Gasparetto Sandri</t>
  </si>
  <si>
    <t>17.3</t>
  </si>
  <si>
    <t>17.4</t>
  </si>
  <si>
    <t>17.5</t>
  </si>
  <si>
    <t>EXECUÇÃO DE PASSEIO EM PISO INTERTRAVADO, COM BLOCO RETANGULAR COR NATURAL, 20x10 cm espessura 6 cm</t>
  </si>
  <si>
    <t>ENTORNOS E PAISAGISMO</t>
  </si>
  <si>
    <t>PISO PODOTATIL DE CONCRETO - DIRECIONAL E ALERTA, 40 x 40 x 2,5 cm</t>
  </si>
  <si>
    <t>Revestimento cerâmico para piso com placas de dimensões 80x80cm, porcelanato</t>
  </si>
  <si>
    <t>ALUMÍNIO QUE IMITA MADEIRA</t>
  </si>
  <si>
    <t>PELE DE VIDRO</t>
  </si>
  <si>
    <t>PORTA DE VARANDA</t>
  </si>
  <si>
    <t>PORTA DE ENTRADA</t>
  </si>
  <si>
    <t>JANELAS OITÃO</t>
  </si>
  <si>
    <t>SINAPI-I</t>
  </si>
  <si>
    <t>PORTAS INTERNAS</t>
  </si>
  <si>
    <t>PORTAS EXTERNAS</t>
  </si>
  <si>
    <t>PORTA BANHEIRO</t>
  </si>
  <si>
    <t>TOTAL ESQUADRIAS</t>
  </si>
  <si>
    <t>VERGA</t>
  </si>
  <si>
    <t>TOTAL VERGAS</t>
  </si>
  <si>
    <t>LOCALIZAÇÃO</t>
  </si>
  <si>
    <t>EXTERNA INF</t>
  </si>
  <si>
    <t>ÁREA</t>
  </si>
  <si>
    <t>EXTERNA SUP</t>
  </si>
  <si>
    <t>INTERNA INF</t>
  </si>
  <si>
    <t>INTERNA SUP</t>
  </si>
  <si>
    <t>AZULEJOS</t>
  </si>
  <si>
    <t>RODAPÉ</t>
  </si>
  <si>
    <t>Contrapiso em argamassa, traço 1:4, preparo com betoneira, sobre piso de concreto e: 2 cm</t>
  </si>
  <si>
    <t>Aplicação e lixamento de massa corrida em parede interna, 2 demãos</t>
  </si>
  <si>
    <t>3.1.5</t>
  </si>
  <si>
    <t>CONCRETO ARMADO - VIGAS DE AMARRAÇÃO DAS PAREDES</t>
  </si>
  <si>
    <t>FORRO BEIRAL</t>
  </si>
  <si>
    <t>ESPELHO</t>
  </si>
  <si>
    <t>TELHADO</t>
  </si>
  <si>
    <t>CUMEEIRA</t>
  </si>
  <si>
    <t>Divisória sanitária, tipo cabine, em granito cinza andorinha</t>
  </si>
  <si>
    <t>Engate flexível em inox ½" x 30cm, fornecimento e instalação</t>
  </si>
  <si>
    <t>Placa de sinalização "Saída de emergência" 20x40 cm em PVC 2 mm anti chamas</t>
  </si>
  <si>
    <t>15.4</t>
  </si>
  <si>
    <t>15.5</t>
  </si>
  <si>
    <t>15.6</t>
  </si>
  <si>
    <t>COMPOSIÇÃO 7</t>
  </si>
  <si>
    <t>2.2</t>
  </si>
  <si>
    <t>Disjuntor monopolar 10 até 30A, fornecimento e instalação</t>
  </si>
  <si>
    <t>Disjuntor monopolar 35 até 50A, fornecimento e instalação</t>
  </si>
  <si>
    <t>Caixa de passagem PVC octogonal 4x4", fornecimento e instalação</t>
  </si>
  <si>
    <t>Caixa de passagem PVC 4x2", alta, fornecimento e instalação</t>
  </si>
  <si>
    <t>Caixa de passagem PVC 4x2" média, fornecimento e instalaçao</t>
  </si>
  <si>
    <t>16.4.5</t>
  </si>
  <si>
    <t>16.4.6</t>
  </si>
  <si>
    <t>Tomada alta, com 1 módulo, 2P+T, 20A/250V, com suporte e placa</t>
  </si>
  <si>
    <t>13.1.1</t>
  </si>
  <si>
    <t>13.1.2</t>
  </si>
  <si>
    <t>13.1.3</t>
  </si>
  <si>
    <t>13.1.4</t>
  </si>
  <si>
    <t>13.1.5</t>
  </si>
  <si>
    <t>13.1.6</t>
  </si>
  <si>
    <t>13.1.7</t>
  </si>
  <si>
    <t>13.1.8</t>
  </si>
  <si>
    <t>13.1.9</t>
  </si>
  <si>
    <t>13.1.10</t>
  </si>
  <si>
    <t>13.1.11</t>
  </si>
  <si>
    <t>13.2.1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</si>
  <si>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</si>
  <si>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</si>
  <si>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</si>
  <si>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</si>
  <si>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</si>
  <si>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</si>
  <si>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</si>
  <si>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</si>
  <si>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</si>
  <si>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15.16</t>
  </si>
  <si>
    <t>Espelho cristal 4 mm</t>
  </si>
  <si>
    <t>Placa de sinalização de segurança contra incêndio 20x20 em PVC 2 mm "EXTINTORES"</t>
  </si>
  <si>
    <t>Placa de sinalização de segurança contra incêndio 12x40 em PVC 2 mm "ROTA DE SAÍDA"</t>
  </si>
  <si>
    <t>SINALIZAÇÃO DE EMERGÊNCIA</t>
  </si>
  <si>
    <t>ILUMINAÇÃO DE EMERGÊNCIA</t>
  </si>
  <si>
    <t>16.1.2</t>
  </si>
  <si>
    <t>Luminária de emergência, de LED, 1200 lumens e dois faróis</t>
  </si>
  <si>
    <t>EXTINTORES DE INCÊNDIO</t>
  </si>
  <si>
    <t>HIDRANTES</t>
  </si>
  <si>
    <t>Esguicho jato regulável, com engate rápido 1.1/2"</t>
  </si>
  <si>
    <t>Adaptador em latão, engate rápido 1.1/2"</t>
  </si>
  <si>
    <t>16.4.7</t>
  </si>
  <si>
    <t>16.4.8</t>
  </si>
  <si>
    <t>16.4.9</t>
  </si>
  <si>
    <t>Hidrante de coluna completo, em ferro fundido</t>
  </si>
  <si>
    <t>16.4.10</t>
  </si>
  <si>
    <t>Chave dupla para conexões tipo Storz, engate rápido, 1.1/2", em latão</t>
  </si>
  <si>
    <t>Placa de sinalização de segurança contra incêndio 20x20 em PVC 2 mm "HIDRANTES"</t>
  </si>
  <si>
    <t>PAINEL DE LED DE EMBUTIR 36w 40x40 cm - FORNECIMENTO E INSTALAÇÃO - UNID</t>
  </si>
  <si>
    <t>PAINEL DE LED DE EMBUTIR 24w 30x30 cm - FORNECIMENTO E INSTALAÇÃO - UNID</t>
  </si>
  <si>
    <t>Painel de LED 24W 30x30 de embutir, fornecimento e instalação</t>
  </si>
  <si>
    <t>17.1.1</t>
  </si>
  <si>
    <t>17.2.1</t>
  </si>
  <si>
    <t>17.2.2</t>
  </si>
  <si>
    <t>17.3.1</t>
  </si>
  <si>
    <t>17.3.2</t>
  </si>
  <si>
    <t>17.3.3</t>
  </si>
  <si>
    <t>17.3.4</t>
  </si>
  <si>
    <t>17.4.2</t>
  </si>
  <si>
    <t>17.5.1</t>
  </si>
  <si>
    <t>17.5.2</t>
  </si>
  <si>
    <t>17.5.3</t>
  </si>
  <si>
    <t>17.5.4</t>
  </si>
  <si>
    <t>17.5.5</t>
  </si>
  <si>
    <t>17.5.7</t>
  </si>
  <si>
    <t>17.5.8</t>
  </si>
  <si>
    <t>19.3</t>
  </si>
  <si>
    <t>19.4</t>
  </si>
  <si>
    <t>SERVENTE COM ENCARGOS COMPLEMENTARES</t>
  </si>
  <si>
    <t>Cronograma Físico e Financeiro</t>
  </si>
  <si>
    <t>4.1.2</t>
  </si>
  <si>
    <t>4.2</t>
  </si>
  <si>
    <t>4.2.1</t>
  </si>
  <si>
    <t>4.3</t>
  </si>
  <si>
    <t>4.3.1</t>
  </si>
  <si>
    <t>6.2</t>
  </si>
  <si>
    <t>6.3</t>
  </si>
  <si>
    <t>7.2</t>
  </si>
  <si>
    <t>9.2</t>
  </si>
  <si>
    <t>9.3</t>
  </si>
  <si>
    <t>PEITORIL</t>
  </si>
  <si>
    <t>Impermeabilização de superfície com argamassa polimérica, membrana acrílica em áreas molhadas e ralos</t>
  </si>
  <si>
    <t>Revestimento cerâmico para paredes com placas de dimensões 60x60cm aplicadas à altura inteira das paredes - cor branca</t>
  </si>
  <si>
    <t>MARMORISTA COM ENCARGOS COMPLEMENTARES</t>
  </si>
  <si>
    <t>Pintura com tinta acrílica premium acetinada, sobre paredes internas, 2 demãos</t>
  </si>
  <si>
    <t>Tubo PVC soldável Ø 32mm, fornecimento e instalação</t>
  </si>
  <si>
    <t>13.1.12</t>
  </si>
  <si>
    <t>13.1.13</t>
  </si>
  <si>
    <t>Tê de redução, PVC soldável, Ø 32mm x Ø 25mm, fornecimento e instalação</t>
  </si>
  <si>
    <t>Joelho PVC 90º soldável Ø 32mm, fornecimento e instalação</t>
  </si>
  <si>
    <t>Registro de gaveta com acabamento e canopla cromada1", fornecimento e instalação</t>
  </si>
  <si>
    <t>14.13</t>
  </si>
  <si>
    <t>Caixa sifonada 150x150x50mm, fornecimento e instalação</t>
  </si>
  <si>
    <t>14.14</t>
  </si>
  <si>
    <t>Sifão do tipo flexível em PVC 1x1.1/2", fornecimento e instalação</t>
  </si>
  <si>
    <t>14.15</t>
  </si>
  <si>
    <t>14.16</t>
  </si>
  <si>
    <t>Curva longa 90º Ø 100mm, PVC, para ramal de descarga, fornecimento e instalação</t>
  </si>
  <si>
    <t>14.17</t>
  </si>
  <si>
    <t>Joelho 45º PVC Ø 50mm, fornecimento e instalação</t>
  </si>
  <si>
    <t>Joelho 45º PVC Ø 100mm, fornecimento e instalação</t>
  </si>
  <si>
    <t>Junção PVC simples 100mm x 100mm, fornecimento e instalação</t>
  </si>
  <si>
    <t>Junção PVC simples 100mm x 75mm, fornecimento e instalação</t>
  </si>
  <si>
    <t>14.18</t>
  </si>
  <si>
    <t>Lavatório de louça branca suspenso, fixo na parede, de canto, fornecimento e instalação</t>
  </si>
  <si>
    <t>Barra de apoio, em aço inox polido, fixado na parede, para lavatório 40 cm</t>
  </si>
  <si>
    <t>MASSA PLÁSTICA PARA GRANITO</t>
  </si>
  <si>
    <t>BUCHA DE NYLON S10</t>
  </si>
  <si>
    <t>GRANITO PARA BANCADA, POLIDO, CINZA ANDORINHA E: 2,5 CM</t>
  </si>
  <si>
    <t>REJUNTE EPOXI</t>
  </si>
  <si>
    <t>SUPORTE MÃO FRANCESA EM AÇO, 40 CM</t>
  </si>
  <si>
    <t>Extintor de pó quimico 2A:20BC 4 Kg, fornecimento e instalação</t>
  </si>
  <si>
    <t>Placa de sinalização de segurança contra incêndio 20x20 em PVC 2 mm "ALARME"</t>
  </si>
  <si>
    <t>Caixa de incêndio/abrigo para mangueira, de embutir/interna 75x45x17 cm, em chapa de aço, porta com visor, com a inscrição "INCÊNDIO", pintura vermelha</t>
  </si>
  <si>
    <t>Mangueira de incêndio, Tipo1, de 1.1/2", comprimento 20 m, poliester, com engate rápido</t>
  </si>
  <si>
    <t>16.5</t>
  </si>
  <si>
    <t>ALARME DE INCÊNDIO</t>
  </si>
  <si>
    <t>16.5.1</t>
  </si>
  <si>
    <t>Acionador manual de alarme de Incêndio com sirene 12 V</t>
  </si>
  <si>
    <t>Cabo blindado para alarme de Incêndio 4 vias, 600 V, 2x1,50mm² + 2x0,75mm²</t>
  </si>
  <si>
    <t>Eletroduto em PVC rígido Vermelho 3/4" x 3 m - Antichamas para alarme de Incêndio</t>
  </si>
  <si>
    <t>16.5.2</t>
  </si>
  <si>
    <t>16.5.3</t>
  </si>
  <si>
    <t>Painel de LED 12W 20x20 de sobrepor, fornecimento e instalação</t>
  </si>
  <si>
    <t>PAINEL DE LED DE SOBREPOR 12w 20x20 cm - FORNECIMENTO E INSTALAÇÃO - UNID</t>
  </si>
  <si>
    <t>PAINEL DE LED DE SOBREPOR 12w 20x20 cm, 4000 K, LUZ NEUTRA</t>
  </si>
  <si>
    <t>Tubo de aço galvanizado com costura, DN 2.1/2", instalado em rede de alimentação para hidrante</t>
  </si>
  <si>
    <t>Joelho 90º em ferro galvanizado, DN 2.1/2", instalado em rede de alimentação para hidrante</t>
  </si>
  <si>
    <t>Tê, em ferro galvanizado, DN 2.1/2", instalado em rede de alimentação para hidrante</t>
  </si>
  <si>
    <t>Luva, em ferro galvanizado, DN 2.1/2", instalado em rede de alimentação para hidrante</t>
  </si>
  <si>
    <t>PAINEL DE LED DE SOBREPOR 24w 30x30 cm, 4000 K, LUZ NEUTRA</t>
  </si>
  <si>
    <t>DEMOLIÇÕES/REMOÇÕES</t>
  </si>
  <si>
    <t>2.3</t>
  </si>
  <si>
    <t>2.4</t>
  </si>
  <si>
    <t>Demolição de alvenaria, de forma manual, sem reaproveitamento</t>
  </si>
  <si>
    <t>Remoção de portas, de forma manual, sem reaproveitamento</t>
  </si>
  <si>
    <t>Remoção de janelas, de forma manual, sem reaproveitamento</t>
  </si>
  <si>
    <t>Remoção de tesouras metálicas, de forma manual, sem reaproveitamento</t>
  </si>
  <si>
    <t>Remoção de telhas, de forma manual, sem reaproveitamento</t>
  </si>
  <si>
    <t>Remoção de Louças, de forma manual, sem reaproveitamento</t>
  </si>
  <si>
    <t>2.5</t>
  </si>
  <si>
    <t>2.6</t>
  </si>
  <si>
    <t>SAPATAS</t>
  </si>
  <si>
    <t>Escavação mecanizada, para sapata, com retroescavadeira</t>
  </si>
  <si>
    <t>Montagem e desmontagem de forma para sapata, madeira serrada</t>
  </si>
  <si>
    <t>Concretagem de sapatas Fck 30 Mpa, com uso de bomba</t>
  </si>
  <si>
    <t>4.1.3</t>
  </si>
  <si>
    <t>4.1.4</t>
  </si>
  <si>
    <t>4.2.2</t>
  </si>
  <si>
    <t>4.2.3</t>
  </si>
  <si>
    <t>4.2.4</t>
  </si>
  <si>
    <t>4.4</t>
  </si>
  <si>
    <t>4.4.1</t>
  </si>
  <si>
    <t>4.4.2</t>
  </si>
  <si>
    <t>4.4.3</t>
  </si>
  <si>
    <t>Alvenaria de vedação com blocos cerâmicos maciços 21 furos à vista, assentamento com argamassa traço 1:2:8 (cimento, cal e areia)</t>
  </si>
  <si>
    <t>6.1.1</t>
  </si>
  <si>
    <t>6.1.2</t>
  </si>
  <si>
    <t>6.1.3</t>
  </si>
  <si>
    <t>P4 - Porta de alumínio, de giro, tipo veneziana, dimensões 70x180cm, cor branca, incluso dobradiças, batentes e fechadura</t>
  </si>
  <si>
    <t>P5 - Porta de alumínio, de giro, tipo veneziana, dimensões 90x210cm, cor branca, incluso dobradiças, batentes e fechadura</t>
  </si>
  <si>
    <t>P1 - Porta de abrir com 2 folhas, de perfis de aço,  dotadas de barra anti pânico,  dimensões 220x220 cm, inclusive fechadura e puxadores (conforme detalhamento)</t>
  </si>
  <si>
    <t>J1 - Janela de aço, tipo basculante, 4,40 m x 1,00, com vidro liso, incolor 4 mm</t>
  </si>
  <si>
    <t>J2 - Janela de aço, tipo basculante, 2,00 m x 0,60, com vidro fantasia, incolor 4 mm</t>
  </si>
  <si>
    <t>J3 - Janela de aço, tipo basculante, 0,60 m x 0,60,com vidro fantasia, incolor 4 mm</t>
  </si>
  <si>
    <t>J4 - Janela de aço, tipo basculante, 1,00 m x 0,60,com vidro fantasia, incolor 4 mm</t>
  </si>
  <si>
    <t>6.2.1</t>
  </si>
  <si>
    <t>6.3.1</t>
  </si>
  <si>
    <t>6.3.2</t>
  </si>
  <si>
    <t>6.3.3</t>
  </si>
  <si>
    <t>6.3.4</t>
  </si>
  <si>
    <t>6.3.5</t>
  </si>
  <si>
    <t>P3 - Porta de alumínio, de giro, tipo veneziana, dimensões 90x180cm,cor branca, incluso dobradiças, batentes e fechadura do tipo sanitário</t>
  </si>
  <si>
    <t>Alvenaria de vedação com blocos cerâmicos furados 14x19x39 cm, assentamento com argamassa traço 1:2:8 (cimento, cal e areia)</t>
  </si>
  <si>
    <t>Fabricação e instalação de tesoura interna em aço, vão de 11m, para telhados, incluso içamento</t>
  </si>
  <si>
    <t>Fabricação e instalação de tesoura interna em aço, vão de 6m, para telhados, incluso içamento</t>
  </si>
  <si>
    <t>Telhamento com telha de aço e:0,5 mm, 2 águas, incluso içamento</t>
  </si>
  <si>
    <t>Rufo em chapa de aço galvanizado</t>
  </si>
  <si>
    <t>Calha em chapa de aço galvanizado</t>
  </si>
  <si>
    <t>7.3</t>
  </si>
  <si>
    <t>7.4</t>
  </si>
  <si>
    <t>7.5</t>
  </si>
  <si>
    <t>7.6</t>
  </si>
  <si>
    <t>REVESTIMENTOS INTERNOS</t>
  </si>
  <si>
    <t>Forro em PVC, liso, 10 mm, inclusive sistema de fixação</t>
  </si>
  <si>
    <t>Acabamento para forro, rodaforro em perfil plástico</t>
  </si>
  <si>
    <t>Piso em taco de madeira, fixado com cola PVA</t>
  </si>
  <si>
    <t>Aplicação manual de de membrana a base de resina acrílica, em paredes de tijolos à vista</t>
  </si>
  <si>
    <t>Bancada de granito cinza andorinha para lavatório 4,50x0,50, com quatro cuba esculpida, fornecimento e instalação</t>
  </si>
  <si>
    <t>Mictório sifonado de louça branca, fornecimento e instalação</t>
  </si>
  <si>
    <t>Tapa vista em mictório de granito cinza andorinha</t>
  </si>
  <si>
    <t>PREFEITURA MUNICIPAL DE FLORIANO PEIXOTO - RS</t>
  </si>
  <si>
    <t>Obra: Ampliação do Ginásio Municipal de Esportes Romano Seminotti</t>
  </si>
  <si>
    <r>
      <t xml:space="preserve">Letreiro em INOX, </t>
    </r>
    <r>
      <rPr>
        <b/>
        <sz val="10"/>
        <rFont val="Arial"/>
        <family val="2"/>
      </rPr>
      <t>GINÁSIO MUNICIPAL ROMANO SEMINOTTI</t>
    </r>
  </si>
  <si>
    <t>Fabricação e instalação de pilar metálico com altura de 6,00 metros</t>
  </si>
  <si>
    <t>4.1.5</t>
  </si>
  <si>
    <t xml:space="preserve"> PILARES</t>
  </si>
  <si>
    <t>Fabricação e instalação de pilar metálico com altura de 3,00 metros</t>
  </si>
  <si>
    <t>4.1.6</t>
  </si>
  <si>
    <t>Pintura em esmalte sintético acetinado, sobre superfície metálica, 2 demãos</t>
  </si>
  <si>
    <t>Caixa de inspeção de esgoto em concreto pré-moldado, diâm. 0,60m, profundidade 0,90m</t>
  </si>
  <si>
    <t>17.5.6</t>
  </si>
  <si>
    <t>17.4.1</t>
  </si>
  <si>
    <t xml:space="preserve">Trama de aço composta por ripas, caibros e terças, para telhados de 2 águas para telha </t>
  </si>
  <si>
    <t>Guarda corpo para arquibancada de 1,10 m de altura</t>
  </si>
  <si>
    <t>Fabricação e instalação de tesoura interna em aço, vão de 4m</t>
  </si>
  <si>
    <t>Tábua de madeira para piso de primeira</t>
  </si>
  <si>
    <t>Pintura de verniz sobre tábua de madeira, 3 demãos</t>
  </si>
  <si>
    <t>12.1</t>
  </si>
  <si>
    <t>12.2</t>
  </si>
  <si>
    <t>12.3</t>
  </si>
  <si>
    <t>12.4</t>
  </si>
  <si>
    <t>12.5</t>
  </si>
  <si>
    <t>18.1</t>
  </si>
  <si>
    <t>18.2</t>
  </si>
  <si>
    <t>18.3</t>
  </si>
  <si>
    <t>20.1</t>
  </si>
  <si>
    <t>20.2</t>
  </si>
  <si>
    <t>SISTEMAS DE PROTEÇÃO CONTRA INCÊNDIO</t>
  </si>
  <si>
    <t>Obra: Ampliação do Ginásio Municipal Romano Seminotti</t>
  </si>
  <si>
    <t>COMP. 01</t>
  </si>
  <si>
    <t>COMP. 02</t>
  </si>
  <si>
    <t>COMPOSIÇÃO 1</t>
  </si>
  <si>
    <t>COMP.3</t>
  </si>
  <si>
    <t>BANCADA DE GRANITO POLIDO, 4,50x0,50 m, COM CUBA ESCULPIDA PARA LAVATÓRIO - UNID</t>
  </si>
  <si>
    <t>COMP 4</t>
  </si>
  <si>
    <t>COMP 5</t>
  </si>
  <si>
    <t>COMP 6</t>
  </si>
  <si>
    <t>COMP 7</t>
  </si>
  <si>
    <t>COMPOSICAO 5</t>
  </si>
  <si>
    <t>COMPOSIÇÃO 6</t>
  </si>
  <si>
    <t>1.2</t>
  </si>
  <si>
    <t>1.3</t>
  </si>
  <si>
    <t>3.1.4</t>
  </si>
  <si>
    <t>16.3.5</t>
  </si>
  <si>
    <t>COMPOSIÇÕES PRÓPRIAS</t>
  </si>
  <si>
    <t>Floriano Peixoto/ RS, 04 de setembro de 2026.</t>
  </si>
  <si>
    <t>Jair Antonio Ostrowski</t>
  </si>
  <si>
    <t>Data de preço: julho/2026 Desonerado - SINAPI/RS</t>
  </si>
  <si>
    <t>Floriano Peixoto/RS, 04 de setembro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</si>
</sst>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-* #,##0.00\ _€_-;\-* #,##0.00\ _€_-;_-* &quot;-&quot;??\ _€_-;_-@_-"/>
    <numFmt numFmtId="169" formatCode="#\,##0.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\$#."/>
    <numFmt numFmtId="173" formatCode="#.00"/>
    <numFmt numFmtId="174" formatCode="0.00_)"/>
    <numFmt numFmtId="175" formatCode="%#.00"/>
    <numFmt numFmtId="176" formatCode="#\,##0.00"/>
    <numFmt numFmtId="177" formatCode="#,"/>
    <numFmt numFmtId="178" formatCode="_(* #,##0_);_(* \(#,##0\);_(* &quot;-&quot;_);_(@_)"/>
  </numFmts>
  <fonts count="44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sz val="10"/>
      <name val="Arial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sz val="16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indexed="12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sz val="8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b/>
      <sz val="14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color rgb="FF0070C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0"/>
      <color rgb="FF000000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1">
    <xf numFmtId="0" fontId="0" fillId="0" borderId="0"/>
    <xf numFmtId="0" fontId="12" fillId="0" borderId="0" applyNumberFormat="0" applyBorder="0" applyProtection="0"/>
    <xf numFmtId="0" fontId="12" fillId="0" borderId="0" applyNumberFormat="0" applyBorder="0" applyProtection="0"/>
    <xf numFmtId="165" fontId="12" fillId="0" borderId="0" applyBorder="0" applyProtection="0"/>
    <xf numFmtId="165" fontId="12" fillId="0" borderId="0" applyBorder="0" applyProtection="0"/>
    <xf numFmtId="0" fontId="13" fillId="0" borderId="0" applyNumberFormat="0" applyBorder="0" applyProtection="0"/>
    <xf numFmtId="0" fontId="12" fillId="0" borderId="0" applyNumberFormat="0" applyBorder="0" applyProtection="0"/>
    <xf numFmtId="166" fontId="13" fillId="0" borderId="0" applyBorder="0" applyProtection="0"/>
    <xf numFmtId="0" fontId="14" fillId="0" borderId="0" applyNumberFormat="0" applyBorder="0" applyProtection="0">
      <alignment horizontal="center"/>
    </xf>
    <xf numFmtId="0" fontId="14" fillId="0" borderId="0" applyNumberFormat="0" applyBorder="0" applyProtection="0">
      <alignment horizontal="center" textRotation="90"/>
    </xf>
    <xf numFmtId="0" fontId="8" fillId="0" borderId="0"/>
    <xf numFmtId="9" fontId="8" fillId="0" borderId="0" applyFont="0" applyFill="0" applyBorder="0" applyAlignment="0" applyProtection="0"/>
    <xf numFmtId="0" fontId="15" fillId="0" borderId="0" applyNumberFormat="0" applyBorder="0" applyProtection="0"/>
    <xf numFmtId="167" fontId="15" fillId="0" borderId="0" applyBorder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12" fillId="0" borderId="0" applyBorder="0" applyProtection="0"/>
    <xf numFmtId="0" fontId="8" fillId="0" borderId="0"/>
    <xf numFmtId="0" fontId="8" fillId="0" borderId="0"/>
    <xf numFmtId="0" fontId="8" fillId="0" borderId="0"/>
    <xf numFmtId="0" fontId="16" fillId="0" borderId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7" fillId="0" borderId="0"/>
    <xf numFmtId="0" fontId="6" fillId="0" borderId="0"/>
    <xf numFmtId="0" fontId="19" fillId="0" borderId="0"/>
    <xf numFmtId="164" fontId="10" fillId="0" borderId="0" applyFont="0" applyFill="0" applyBorder="0" applyAlignment="0" applyProtection="0"/>
    <xf numFmtId="0" fontId="16" fillId="0" borderId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3" fillId="0" borderId="0" applyNumberFormat="0" applyBorder="0" applyProtection="0"/>
    <xf numFmtId="0" fontId="20" fillId="0" borderId="0" applyNumberFormat="0" applyFill="0" applyBorder="0" applyAlignment="0" applyProtection="0">
      <alignment vertical="top"/>
      <protection locked="0"/>
    </xf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21" fillId="0" borderId="0"/>
    <xf numFmtId="0" fontId="18" fillId="0" borderId="0"/>
    <xf numFmtId="0" fontId="5" fillId="0" borderId="0"/>
    <xf numFmtId="9" fontId="16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164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24" fillId="0" borderId="0"/>
    <xf numFmtId="9" fontId="23" fillId="0" borderId="0" applyFont="0" applyFill="0" applyBorder="0" applyAlignment="0" applyProtection="0"/>
    <xf numFmtId="0" fontId="25" fillId="0" borderId="0"/>
    <xf numFmtId="168" fontId="8" fillId="0" borderId="0" applyFont="0" applyFill="0" applyBorder="0" applyAlignment="0" applyProtection="0"/>
    <xf numFmtId="169" fontId="26" fillId="0" borderId="0">
      <protection locked="0"/>
    </xf>
    <xf numFmtId="0" fontId="9" fillId="5" borderId="12" applyFill="0" applyBorder="0" applyAlignment="0" applyProtection="0">
      <alignment vertical="center"/>
      <protection locked="0"/>
    </xf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2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173" fontId="26" fillId="0" borderId="0">
      <protection locked="0"/>
    </xf>
    <xf numFmtId="173" fontId="26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38" fontId="28" fillId="2" borderId="0" applyNumberFormat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29" fillId="0" borderId="0"/>
    <xf numFmtId="10" fontId="28" fillId="6" borderId="1" applyNumberFormat="0" applyBorder="0" applyAlignment="0" applyProtection="0"/>
    <xf numFmtId="0" fontId="8" fillId="0" borderId="0">
      <alignment horizontal="centerContinuous" vertical="justify"/>
    </xf>
    <xf numFmtId="0" fontId="30" fillId="0" borderId="0" applyAlignment="0">
      <alignment horizontal="center"/>
    </xf>
    <xf numFmtId="174" fontId="31" fillId="0" borderId="0"/>
    <xf numFmtId="0" fontId="32" fillId="0" borderId="0">
      <alignment horizontal="left" vertical="center" indent="12"/>
    </xf>
    <xf numFmtId="0" fontId="28" fillId="0" borderId="12" applyBorder="0">
      <alignment horizontal="left" vertical="center" wrapText="1" indent="2"/>
      <protection locked="0"/>
    </xf>
    <xf numFmtId="0" fontId="28" fillId="0" borderId="12" applyBorder="0">
      <alignment horizontal="left" vertical="center" wrapText="1" indent="3"/>
      <protection locked="0"/>
    </xf>
    <xf numFmtId="10" fontId="8" fillId="0" borderId="0" applyFont="0" applyFill="0" applyBorder="0" applyAlignment="0" applyProtection="0"/>
    <xf numFmtId="175" fontId="26" fillId="0" borderId="0">
      <protection locked="0"/>
    </xf>
    <xf numFmtId="175" fontId="26" fillId="0" borderId="0">
      <protection locked="0"/>
    </xf>
    <xf numFmtId="176" fontId="26" fillId="0" borderId="0">
      <protection locked="0"/>
    </xf>
    <xf numFmtId="38" fontId="22" fillId="0" borderId="0" applyFont="0" applyFill="0" applyBorder="0" applyAlignment="0" applyProtection="0"/>
    <xf numFmtId="177" fontId="33" fillId="0" borderId="0">
      <protection locked="0"/>
    </xf>
    <xf numFmtId="178" fontId="23" fillId="0" borderId="0" applyFont="0" applyFill="0" applyBorder="0" applyAlignment="0" applyProtection="0"/>
    <xf numFmtId="0" fontId="22" fillId="0" borderId="0"/>
    <xf numFmtId="0" fontId="34" fillId="0" borderId="0">
      <protection locked="0"/>
    </xf>
    <xf numFmtId="0" fontId="34" fillId="0" borderId="0">
      <protection locked="0"/>
    </xf>
    <xf numFmtId="0" fontId="3" fillId="0" borderId="0"/>
    <xf numFmtId="43" fontId="2" fillId="0" borderId="0" applyFont="0" applyFill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9" fontId="16" fillId="0" borderId="0" applyFont="0" applyFill="0" applyBorder="0" applyAlignment="0" applyProtection="0"/>
    <xf numFmtId="0" fontId="8" fillId="0" borderId="0"/>
    <xf numFmtId="0" fontId="3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3" fillId="0" borderId="0"/>
  </cellStyleXfs>
  <cellXfs count="201">
    <xf numFmtId="0" fontId="0" fillId="0" borderId="0" xfId="0"/>
    <xf numFmtId="0" fontId="8" fillId="0" borderId="0" xfId="10" applyFont="1" applyFill="1" applyAlignment="1">
      <alignment vertical="center"/>
    </xf>
    <xf numFmtId="0" fontId="9" fillId="0" borderId="0" xfId="10" applyFont="1" applyFill="1" applyBorder="1" applyAlignment="1">
      <alignment horizontal="center" vertical="center" wrapText="1"/>
    </xf>
    <xf numFmtId="0" fontId="9" fillId="0" borderId="0" xfId="10" applyFont="1" applyFill="1" applyBorder="1" applyAlignment="1">
      <alignment horizontal="center" wrapText="1"/>
    </xf>
    <xf numFmtId="0" fontId="9" fillId="0" borderId="0" xfId="10" applyFont="1" applyFill="1" applyBorder="1" applyAlignment="1">
      <alignment horizontal="center"/>
    </xf>
    <xf numFmtId="0" fontId="8" fillId="0" borderId="0" xfId="10" applyFont="1" applyFill="1" applyBorder="1" applyAlignment="1">
      <alignment horizontal="left" vertical="center" wrapText="1"/>
    </xf>
    <xf numFmtId="0" fontId="8" fillId="0" borderId="0" xfId="10" applyFont="1" applyFill="1" applyBorder="1" applyAlignment="1">
      <alignment vertical="center" wrapText="1"/>
    </xf>
    <xf numFmtId="0" fontId="9" fillId="0" borderId="0" xfId="10" applyFont="1" applyFill="1" applyBorder="1" applyAlignment="1">
      <alignment horizontal="center" vertical="center"/>
    </xf>
    <xf numFmtId="0" fontId="8" fillId="0" borderId="0" xfId="10" applyFont="1" applyFill="1" applyBorder="1" applyAlignment="1">
      <alignment vertical="center"/>
    </xf>
    <xf numFmtId="0" fontId="8" fillId="0" borderId="0" xfId="10" applyFont="1" applyFill="1" applyAlignment="1">
      <alignment horizontal="center" vertical="center"/>
    </xf>
    <xf numFmtId="0" fontId="8" fillId="0" borderId="0" xfId="10" applyFont="1" applyFill="1" applyAlignment="1">
      <alignment horizontal="center"/>
    </xf>
    <xf numFmtId="0" fontId="8" fillId="0" borderId="0" xfId="10" applyFont="1" applyFill="1" applyAlignment="1">
      <alignment horizontal="left" vertical="center"/>
    </xf>
    <xf numFmtId="0" fontId="9" fillId="0" borderId="1" xfId="10" applyFont="1" applyFill="1" applyBorder="1" applyAlignment="1">
      <alignment horizontal="center" vertical="center"/>
    </xf>
    <xf numFmtId="0" fontId="9" fillId="0" borderId="1" xfId="10" applyFont="1" applyFill="1" applyBorder="1" applyAlignment="1">
      <alignment vertical="center"/>
    </xf>
    <xf numFmtId="0" fontId="8" fillId="0" borderId="1" xfId="10" applyFont="1" applyFill="1" applyBorder="1" applyAlignment="1">
      <alignment vertical="center"/>
    </xf>
    <xf numFmtId="0" fontId="8" fillId="0" borderId="1" xfId="10" applyFont="1" applyFill="1" applyBorder="1" applyAlignment="1">
      <alignment horizontal="center" vertical="center" wrapText="1"/>
    </xf>
    <xf numFmtId="0" fontId="8" fillId="0" borderId="1" xfId="10" applyFont="1" applyFill="1" applyBorder="1" applyAlignment="1">
      <alignment horizontal="left" vertical="center"/>
    </xf>
    <xf numFmtId="0" fontId="9" fillId="0" borderId="1" xfId="10" applyFont="1" applyFill="1" applyBorder="1" applyAlignment="1">
      <alignment vertical="center" wrapText="1"/>
    </xf>
    <xf numFmtId="4" fontId="8" fillId="0" borderId="0" xfId="10" applyNumberFormat="1" applyFont="1" applyFill="1" applyAlignment="1">
      <alignment vertical="center"/>
    </xf>
    <xf numFmtId="0" fontId="8" fillId="0" borderId="0" xfId="10" applyFont="1" applyAlignment="1">
      <alignment vertical="center"/>
    </xf>
    <xf numFmtId="0" fontId="9" fillId="0" borderId="1" xfId="10" applyFont="1" applyFill="1" applyBorder="1" applyAlignment="1">
      <alignment horizontal="left" vertical="center" wrapText="1"/>
    </xf>
    <xf numFmtId="0" fontId="9" fillId="2" borderId="1" xfId="10" applyFont="1" applyFill="1" applyBorder="1" applyAlignment="1">
      <alignment horizontal="center"/>
    </xf>
    <xf numFmtId="0" fontId="9" fillId="2" borderId="1" xfId="10" applyFont="1" applyFill="1" applyBorder="1" applyAlignment="1">
      <alignment vertical="center"/>
    </xf>
    <xf numFmtId="0" fontId="8" fillId="0" borderId="1" xfId="10" applyFont="1" applyFill="1" applyBorder="1" applyAlignment="1">
      <alignment vertical="center" wrapText="1"/>
    </xf>
    <xf numFmtId="0" fontId="9" fillId="0" borderId="0" xfId="10" applyFont="1" applyFill="1" applyBorder="1" applyAlignment="1">
      <alignment vertical="center"/>
    </xf>
    <xf numFmtId="0" fontId="8" fillId="0" borderId="0" xfId="10" applyFont="1" applyFill="1" applyBorder="1" applyAlignment="1">
      <alignment horizontal="center"/>
    </xf>
    <xf numFmtId="0" fontId="8" fillId="0" borderId="0" xfId="10" applyFont="1" applyFill="1" applyBorder="1" applyAlignment="1">
      <alignment horizontal="left" vertical="center"/>
    </xf>
    <xf numFmtId="0" fontId="9" fillId="0" borderId="1" xfId="10" applyFont="1" applyFill="1" applyBorder="1" applyAlignment="1">
      <alignment horizontal="center" vertical="center" wrapText="1"/>
    </xf>
    <xf numFmtId="0" fontId="8" fillId="4" borderId="1" xfId="10" applyFont="1" applyFill="1" applyBorder="1" applyAlignment="1">
      <alignment horizontal="center" vertical="center" wrapText="1"/>
    </xf>
    <xf numFmtId="0" fontId="9" fillId="3" borderId="1" xfId="10" applyFont="1" applyFill="1" applyBorder="1" applyAlignment="1">
      <alignment vertical="center" wrapText="1"/>
    </xf>
    <xf numFmtId="0" fontId="9" fillId="2" borderId="1" xfId="10" applyFont="1" applyFill="1" applyBorder="1" applyAlignment="1">
      <alignment horizontal="center" vertical="center"/>
    </xf>
    <xf numFmtId="165" fontId="11" fillId="0" borderId="1" xfId="4" applyFont="1" applyFill="1" applyBorder="1" applyAlignment="1">
      <alignment horizontal="center" vertical="center" wrapText="1"/>
    </xf>
    <xf numFmtId="164" fontId="8" fillId="0" borderId="0" xfId="26" applyFont="1" applyFill="1" applyAlignment="1">
      <alignment vertical="center"/>
    </xf>
    <xf numFmtId="164" fontId="8" fillId="0" borderId="0" xfId="26" applyFont="1" applyFill="1" applyAlignment="1">
      <alignment horizontal="center" vertical="center"/>
    </xf>
    <xf numFmtId="164" fontId="8" fillId="0" borderId="0" xfId="26" applyFont="1" applyFill="1" applyBorder="1" applyAlignment="1">
      <alignment vertical="center"/>
    </xf>
    <xf numFmtId="164" fontId="8" fillId="0" borderId="0" xfId="26" applyFont="1" applyFill="1" applyBorder="1" applyAlignment="1">
      <alignment horizontal="center" vertical="center"/>
    </xf>
    <xf numFmtId="164" fontId="9" fillId="0" borderId="1" xfId="26" applyFont="1" applyFill="1" applyBorder="1" applyAlignment="1">
      <alignment vertical="center" wrapText="1"/>
    </xf>
    <xf numFmtId="164" fontId="8" fillId="0" borderId="1" xfId="26" applyFont="1" applyFill="1" applyBorder="1" applyAlignment="1">
      <alignment vertical="center"/>
    </xf>
    <xf numFmtId="164" fontId="9" fillId="2" borderId="1" xfId="26" applyFont="1" applyFill="1" applyBorder="1" applyAlignment="1">
      <alignment vertical="center"/>
    </xf>
    <xf numFmtId="164" fontId="8" fillId="0" borderId="1" xfId="26" applyFont="1" applyFill="1" applyBorder="1" applyAlignment="1">
      <alignment horizontal="center" vertical="center"/>
    </xf>
    <xf numFmtId="49" fontId="8" fillId="0" borderId="1" xfId="27" applyNumberFormat="1" applyFont="1" applyFill="1" applyBorder="1" applyAlignment="1">
      <alignment horizontal="center" vertical="center" wrapText="1"/>
    </xf>
    <xf numFmtId="164" fontId="9" fillId="3" borderId="1" xfId="26" applyFont="1" applyFill="1" applyBorder="1" applyAlignment="1">
      <alignment vertical="center"/>
    </xf>
    <xf numFmtId="164" fontId="8" fillId="2" borderId="1" xfId="26" applyFont="1" applyFill="1" applyBorder="1" applyAlignment="1">
      <alignment vertical="center"/>
    </xf>
    <xf numFmtId="164" fontId="8" fillId="0" borderId="0" xfId="26" applyFont="1" applyFill="1" applyBorder="1" applyAlignment="1">
      <alignment vertical="center" wrapText="1"/>
    </xf>
    <xf numFmtId="164" fontId="8" fillId="0" borderId="0" xfId="26" applyFont="1" applyFill="1" applyBorder="1" applyAlignment="1">
      <alignment horizontal="center" vertical="center" wrapText="1"/>
    </xf>
    <xf numFmtId="164" fontId="9" fillId="0" borderId="0" xfId="26" applyFont="1" applyFill="1" applyBorder="1" applyAlignment="1">
      <alignment horizontal="center" vertical="center" wrapText="1"/>
    </xf>
    <xf numFmtId="4" fontId="9" fillId="0" borderId="0" xfId="10" applyNumberFormat="1" applyFont="1" applyFill="1" applyBorder="1" applyAlignment="1">
      <alignment vertical="center"/>
    </xf>
    <xf numFmtId="0" fontId="8" fillId="2" borderId="1" xfId="10" applyFont="1" applyFill="1" applyBorder="1" applyAlignment="1">
      <alignment vertical="center"/>
    </xf>
    <xf numFmtId="164" fontId="8" fillId="0" borderId="1" xfId="14" applyFont="1" applyFill="1" applyBorder="1" applyAlignment="1">
      <alignment horizontal="right" vertical="center"/>
    </xf>
    <xf numFmtId="0" fontId="8" fillId="0" borderId="1" xfId="10" applyFont="1" applyFill="1" applyBorder="1" applyAlignment="1">
      <alignment horizontal="left" vertical="center" wrapText="1"/>
    </xf>
    <xf numFmtId="0" fontId="8" fillId="0" borderId="1" xfId="10" applyFont="1" applyFill="1" applyBorder="1" applyAlignment="1">
      <alignment horizontal="center" vertical="center"/>
    </xf>
    <xf numFmtId="0" fontId="8" fillId="4" borderId="0" xfId="10" applyFont="1" applyFill="1" applyAlignment="1">
      <alignment vertical="center"/>
    </xf>
    <xf numFmtId="0" fontId="8" fillId="0" borderId="0" xfId="10" applyFont="1" applyFill="1" applyBorder="1" applyAlignment="1">
      <alignment horizontal="center" vertical="center"/>
    </xf>
    <xf numFmtId="0" fontId="8" fillId="0" borderId="0" xfId="10" applyFont="1" applyFill="1" applyBorder="1" applyAlignment="1">
      <alignment horizontal="center" vertical="center" wrapText="1"/>
    </xf>
    <xf numFmtId="0" fontId="9" fillId="0" borderId="0" xfId="10" applyFont="1" applyFill="1" applyBorder="1" applyAlignment="1">
      <alignment horizontal="left" vertical="center"/>
    </xf>
    <xf numFmtId="164" fontId="8" fillId="0" borderId="0" xfId="14" applyFont="1" applyFill="1" applyAlignment="1">
      <alignment vertical="center"/>
    </xf>
    <xf numFmtId="164" fontId="8" fillId="0" borderId="0" xfId="14" applyFont="1" applyFill="1" applyBorder="1" applyAlignment="1">
      <alignment vertical="center"/>
    </xf>
    <xf numFmtId="164" fontId="9" fillId="2" borderId="1" xfId="14" applyFont="1" applyFill="1" applyBorder="1" applyAlignment="1">
      <alignment vertical="center"/>
    </xf>
    <xf numFmtId="0" fontId="9" fillId="0" borderId="12" xfId="10" applyFont="1" applyFill="1" applyBorder="1" applyAlignment="1">
      <alignment vertical="center" wrapText="1"/>
    </xf>
    <xf numFmtId="0" fontId="9" fillId="0" borderId="11" xfId="10" applyFont="1" applyFill="1" applyBorder="1" applyAlignment="1">
      <alignment vertical="center" wrapText="1"/>
    </xf>
    <xf numFmtId="0" fontId="9" fillId="0" borderId="13" xfId="10" applyFont="1" applyFill="1" applyBorder="1" applyAlignment="1">
      <alignment horizontal="right" vertical="center" wrapText="1"/>
    </xf>
    <xf numFmtId="49" fontId="9" fillId="2" borderId="12" xfId="10" applyNumberFormat="1" applyFont="1" applyFill="1" applyBorder="1" applyAlignment="1">
      <alignment vertical="center"/>
    </xf>
    <xf numFmtId="49" fontId="9" fillId="2" borderId="11" xfId="10" applyNumberFormat="1" applyFont="1" applyFill="1" applyBorder="1" applyAlignment="1">
      <alignment vertical="center"/>
    </xf>
    <xf numFmtId="49" fontId="9" fillId="2" borderId="13" xfId="10" applyNumberFormat="1" applyFont="1" applyFill="1" applyBorder="1" applyAlignment="1">
      <alignment horizontal="right" vertical="center"/>
    </xf>
    <xf numFmtId="0" fontId="8" fillId="0" borderId="7" xfId="10" applyFont="1" applyFill="1" applyBorder="1" applyAlignment="1">
      <alignment vertical="center" wrapText="1"/>
    </xf>
    <xf numFmtId="0" fontId="17" fillId="0" borderId="7" xfId="10" applyFont="1" applyFill="1" applyBorder="1" applyAlignment="1">
      <alignment vertical="center" wrapText="1"/>
    </xf>
    <xf numFmtId="164" fontId="8" fillId="0" borderId="1" xfId="14" applyFont="1" applyFill="1" applyBorder="1" applyAlignment="1">
      <alignment vertical="center"/>
    </xf>
    <xf numFmtId="164" fontId="9" fillId="0" borderId="1" xfId="14" applyFont="1" applyFill="1" applyBorder="1" applyAlignment="1">
      <alignment vertical="center" wrapText="1"/>
    </xf>
    <xf numFmtId="49" fontId="9" fillId="3" borderId="2" xfId="10" applyNumberFormat="1" applyFont="1" applyFill="1" applyBorder="1" applyAlignment="1">
      <alignment horizontal="center" vertical="center" wrapText="1"/>
    </xf>
    <xf numFmtId="4" fontId="9" fillId="3" borderId="3" xfId="10" applyNumberFormat="1" applyFont="1" applyFill="1" applyBorder="1" applyAlignment="1">
      <alignment horizontal="center" vertical="center" wrapText="1"/>
    </xf>
    <xf numFmtId="49" fontId="9" fillId="3" borderId="10" xfId="10" applyNumberFormat="1" applyFont="1" applyFill="1" applyBorder="1" applyAlignment="1">
      <alignment horizontal="center" vertical="center" wrapText="1"/>
    </xf>
    <xf numFmtId="0" fontId="36" fillId="0" borderId="1" xfId="10" applyFont="1" applyFill="1" applyBorder="1" applyAlignment="1">
      <alignment horizontal="center" vertical="center"/>
    </xf>
    <xf numFmtId="0" fontId="36" fillId="0" borderId="1" xfId="10" applyFont="1" applyFill="1" applyBorder="1" applyAlignment="1">
      <alignment horizontal="center" vertical="center" wrapText="1"/>
    </xf>
    <xf numFmtId="49" fontId="8" fillId="0" borderId="11" xfId="10" applyNumberFormat="1" applyFont="1" applyFill="1" applyBorder="1" applyAlignment="1">
      <alignment vertical="center" wrapText="1"/>
    </xf>
    <xf numFmtId="0" fontId="36" fillId="0" borderId="1" xfId="27" applyNumberFormat="1" applyFont="1" applyFill="1" applyBorder="1" applyAlignment="1">
      <alignment horizontal="center" vertical="center" wrapText="1"/>
    </xf>
    <xf numFmtId="49" fontId="36" fillId="0" borderId="1" xfId="27" applyNumberFormat="1" applyFont="1" applyFill="1" applyBorder="1" applyAlignment="1">
      <alignment horizontal="center" vertical="center" wrapText="1"/>
    </xf>
    <xf numFmtId="0" fontId="36" fillId="0" borderId="11" xfId="10" applyFont="1" applyFill="1" applyBorder="1" applyAlignment="1">
      <alignment horizontal="center" vertical="center" wrapText="1"/>
    </xf>
    <xf numFmtId="0" fontId="36" fillId="4" borderId="1" xfId="10" applyFont="1" applyFill="1" applyBorder="1" applyAlignment="1">
      <alignment horizontal="center" vertical="center" wrapText="1"/>
    </xf>
    <xf numFmtId="164" fontId="9" fillId="0" borderId="0" xfId="45" applyFont="1" applyFill="1" applyBorder="1" applyAlignment="1">
      <alignment horizontal="right" vertical="center" wrapText="1"/>
    </xf>
    <xf numFmtId="164" fontId="9" fillId="0" borderId="0" xfId="37" applyFont="1" applyFill="1" applyAlignment="1">
      <alignment vertical="center"/>
    </xf>
    <xf numFmtId="49" fontId="9" fillId="3" borderId="2" xfId="10" applyNumberFormat="1" applyFont="1" applyFill="1" applyBorder="1" applyAlignment="1">
      <alignment horizontal="center" vertical="center"/>
    </xf>
    <xf numFmtId="164" fontId="9" fillId="3" borderId="2" xfId="28" applyFont="1" applyFill="1" applyBorder="1" applyAlignment="1">
      <alignment horizontal="center" vertical="center"/>
    </xf>
    <xf numFmtId="164" fontId="9" fillId="3" borderId="2" xfId="45" applyFont="1" applyFill="1" applyBorder="1" applyAlignment="1">
      <alignment horizontal="center" vertical="center" wrapText="1"/>
    </xf>
    <xf numFmtId="49" fontId="9" fillId="3" borderId="1" xfId="10" applyNumberFormat="1" applyFont="1" applyFill="1" applyBorder="1"/>
    <xf numFmtId="164" fontId="0" fillId="0" borderId="1" xfId="45" applyFont="1" applyBorder="1" applyAlignment="1">
      <alignment horizontal="center"/>
    </xf>
    <xf numFmtId="10" fontId="0" fillId="0" borderId="1" xfId="11" applyNumberFormat="1" applyFont="1" applyBorder="1" applyAlignment="1">
      <alignment horizontal="center"/>
    </xf>
    <xf numFmtId="9" fontId="8" fillId="7" borderId="1" xfId="11" applyFont="1" applyFill="1" applyBorder="1"/>
    <xf numFmtId="10" fontId="0" fillId="0" borderId="1" xfId="11" applyNumberFormat="1" applyFont="1" applyBorder="1"/>
    <xf numFmtId="0" fontId="8" fillId="0" borderId="1" xfId="10" applyBorder="1"/>
    <xf numFmtId="0" fontId="9" fillId="0" borderId="1" xfId="10" applyFont="1" applyBorder="1"/>
    <xf numFmtId="164" fontId="8" fillId="0" borderId="1" xfId="10" applyNumberFormat="1" applyBorder="1"/>
    <xf numFmtId="0" fontId="9" fillId="3" borderId="1" xfId="10" applyFont="1" applyFill="1" applyBorder="1"/>
    <xf numFmtId="9" fontId="8" fillId="0" borderId="1" xfId="11" applyFont="1" applyFill="1" applyBorder="1"/>
    <xf numFmtId="164" fontId="8" fillId="0" borderId="1" xfId="10" applyNumberFormat="1" applyFill="1" applyBorder="1"/>
    <xf numFmtId="164" fontId="8" fillId="0" borderId="1" xfId="14" applyFont="1" applyBorder="1"/>
    <xf numFmtId="43" fontId="8" fillId="0" borderId="1" xfId="10" applyNumberFormat="1" applyBorder="1"/>
    <xf numFmtId="164" fontId="0" fillId="0" borderId="1" xfId="45" applyFont="1" applyBorder="1"/>
    <xf numFmtId="9" fontId="8" fillId="7" borderId="1" xfId="174" applyFont="1" applyFill="1" applyBorder="1"/>
    <xf numFmtId="0" fontId="8" fillId="0" borderId="0" xfId="10"/>
    <xf numFmtId="164" fontId="0" fillId="0" borderId="0" xfId="45" applyFont="1"/>
    <xf numFmtId="164" fontId="9" fillId="3" borderId="14" xfId="45" applyFont="1" applyFill="1" applyBorder="1"/>
    <xf numFmtId="10" fontId="9" fillId="3" borderId="2" xfId="10" applyNumberFormat="1" applyFont="1" applyFill="1" applyBorder="1"/>
    <xf numFmtId="164" fontId="8" fillId="3" borderId="2" xfId="10" applyNumberFormat="1" applyFill="1" applyBorder="1"/>
    <xf numFmtId="10" fontId="0" fillId="8" borderId="6" xfId="11" applyNumberFormat="1" applyFont="1" applyFill="1" applyBorder="1"/>
    <xf numFmtId="10" fontId="8" fillId="3" borderId="10" xfId="10" applyNumberFormat="1" applyFill="1" applyBorder="1"/>
    <xf numFmtId="10" fontId="8" fillId="3" borderId="17" xfId="10" applyNumberFormat="1" applyFill="1" applyBorder="1"/>
    <xf numFmtId="43" fontId="8" fillId="0" borderId="0" xfId="10" applyNumberFormat="1" applyFont="1" applyFill="1" applyAlignment="1">
      <alignment vertical="center"/>
    </xf>
    <xf numFmtId="43" fontId="8" fillId="0" borderId="0" xfId="10" applyNumberFormat="1" applyFont="1" applyAlignment="1">
      <alignment vertical="center"/>
    </xf>
    <xf numFmtId="0" fontId="9" fillId="0" borderId="0" xfId="10" applyFont="1" applyFill="1" applyBorder="1" applyAlignment="1">
      <alignment vertical="center" wrapText="1"/>
    </xf>
    <xf numFmtId="0" fontId="9" fillId="0" borderId="0" xfId="10" applyFont="1" applyFill="1" applyBorder="1" applyAlignment="1">
      <alignment horizontal="right" vertical="center" wrapText="1"/>
    </xf>
    <xf numFmtId="164" fontId="9" fillId="0" borderId="0" xfId="14" applyFont="1" applyFill="1" applyBorder="1" applyAlignment="1">
      <alignment vertical="center" wrapText="1"/>
    </xf>
    <xf numFmtId="9" fontId="8" fillId="4" borderId="1" xfId="174" applyFont="1" applyFill="1" applyBorder="1"/>
    <xf numFmtId="9" fontId="8" fillId="4" borderId="1" xfId="11" applyFont="1" applyFill="1" applyBorder="1"/>
    <xf numFmtId="164" fontId="8" fillId="4" borderId="1" xfId="10" applyNumberFormat="1" applyFill="1" applyBorder="1"/>
    <xf numFmtId="43" fontId="8" fillId="4" borderId="1" xfId="10" applyNumberFormat="1" applyFill="1" applyBorder="1"/>
    <xf numFmtId="0" fontId="39" fillId="3" borderId="0" xfId="0" applyFont="1" applyFill="1" applyAlignment="1">
      <alignment horizontal="center" wrapText="1"/>
    </xf>
    <xf numFmtId="0" fontId="40" fillId="10" borderId="15" xfId="180" applyFont="1" applyFill="1" applyBorder="1" applyAlignment="1">
      <alignment horizontal="center" vertical="center" wrapText="1"/>
    </xf>
    <xf numFmtId="0" fontId="40" fillId="10" borderId="15" xfId="180" applyFont="1" applyFill="1" applyBorder="1" applyAlignment="1">
      <alignment horizontal="left" vertical="center" wrapText="1"/>
    </xf>
    <xf numFmtId="4" fontId="40" fillId="10" borderId="15" xfId="180" applyNumberFormat="1" applyFont="1" applyFill="1" applyBorder="1" applyAlignment="1">
      <alignment horizontal="center" vertical="center" wrapText="1"/>
    </xf>
    <xf numFmtId="14" fontId="40" fillId="10" borderId="15" xfId="180" applyNumberFormat="1" applyFont="1" applyFill="1" applyBorder="1" applyAlignment="1">
      <alignment horizontal="center" vertical="center" wrapText="1"/>
    </xf>
    <xf numFmtId="0" fontId="41" fillId="9" borderId="1" xfId="180" applyFont="1" applyFill="1" applyBorder="1" applyAlignment="1">
      <alignment horizontal="center" vertical="center" wrapText="1"/>
    </xf>
    <xf numFmtId="0" fontId="41" fillId="9" borderId="1" xfId="180" applyFont="1" applyFill="1" applyBorder="1" applyAlignment="1">
      <alignment horizontal="left" vertical="center" wrapText="1"/>
    </xf>
    <xf numFmtId="4" fontId="41" fillId="9" borderId="1" xfId="18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14" fontId="41" fillId="9" borderId="1" xfId="180" applyNumberFormat="1" applyFont="1" applyFill="1" applyBorder="1" applyAlignment="1">
      <alignment horizontal="center" vertical="center" wrapText="1"/>
    </xf>
    <xf numFmtId="4" fontId="41" fillId="9" borderId="18" xfId="180" applyNumberFormat="1" applyFont="1" applyFill="1" applyBorder="1" applyAlignment="1">
      <alignment horizontal="center" vertical="center" wrapText="1"/>
    </xf>
    <xf numFmtId="14" fontId="41" fillId="9" borderId="18" xfId="180" applyNumberFormat="1" applyFont="1" applyFill="1" applyBorder="1" applyAlignment="1">
      <alignment horizontal="center" vertical="center" wrapText="1"/>
    </xf>
    <xf numFmtId="0" fontId="0" fillId="0" borderId="0" xfId="0" applyFont="1"/>
    <xf numFmtId="4" fontId="40" fillId="9" borderId="1" xfId="180" applyNumberFormat="1" applyFont="1" applyFill="1" applyBorder="1" applyAlignment="1">
      <alignment horizontal="center" vertical="center" wrapText="1"/>
    </xf>
    <xf numFmtId="0" fontId="40" fillId="10" borderId="1" xfId="180" applyFont="1" applyFill="1" applyBorder="1" applyAlignment="1">
      <alignment horizontal="center" vertical="center" wrapText="1"/>
    </xf>
    <xf numFmtId="4" fontId="40" fillId="10" borderId="1" xfId="180" applyNumberFormat="1" applyFont="1" applyFill="1" applyBorder="1" applyAlignment="1">
      <alignment horizontal="center" vertical="center" wrapText="1"/>
    </xf>
    <xf numFmtId="14" fontId="40" fillId="10" borderId="1" xfId="180" applyNumberFormat="1" applyFont="1" applyFill="1" applyBorder="1" applyAlignment="1">
      <alignment horizontal="center" vertical="center" wrapText="1"/>
    </xf>
    <xf numFmtId="0" fontId="41" fillId="0" borderId="1" xfId="180" applyFont="1" applyFill="1" applyBorder="1" applyAlignment="1">
      <alignment horizontal="center" vertical="center" wrapText="1"/>
    </xf>
    <xf numFmtId="0" fontId="41" fillId="0" borderId="1" xfId="180" applyFont="1" applyFill="1" applyBorder="1" applyAlignment="1">
      <alignment horizontal="left" vertical="center" wrapText="1"/>
    </xf>
    <xf numFmtId="4" fontId="41" fillId="0" borderId="1" xfId="18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wrapText="1"/>
    </xf>
    <xf numFmtId="14" fontId="41" fillId="0" borderId="1" xfId="180" applyNumberFormat="1" applyFont="1" applyFill="1" applyBorder="1" applyAlignment="1">
      <alignment horizontal="center" vertical="center" wrapText="1"/>
    </xf>
    <xf numFmtId="4" fontId="40" fillId="9" borderId="0" xfId="180" applyNumberFormat="1" applyFont="1" applyFill="1" applyBorder="1" applyAlignment="1">
      <alignment horizontal="center" vertical="center" wrapText="1"/>
    </xf>
    <xf numFmtId="0" fontId="40" fillId="0" borderId="1" xfId="18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1" fillId="9" borderId="18" xfId="180" applyFont="1" applyFill="1" applyBorder="1" applyAlignment="1">
      <alignment horizontal="center" vertical="center" wrapText="1"/>
    </xf>
    <xf numFmtId="0" fontId="41" fillId="9" borderId="18" xfId="180" applyFont="1" applyFill="1" applyBorder="1" applyAlignment="1">
      <alignment horizontal="left" vertical="center" wrapText="1"/>
    </xf>
    <xf numFmtId="4" fontId="41" fillId="0" borderId="18" xfId="18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39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12" borderId="1" xfId="10" applyFont="1" applyFill="1" applyBorder="1" applyAlignment="1">
      <alignment horizontal="center" vertical="center"/>
    </xf>
    <xf numFmtId="0" fontId="39" fillId="0" borderId="0" xfId="0" applyFont="1"/>
    <xf numFmtId="164" fontId="8" fillId="0" borderId="0" xfId="10" applyNumberFormat="1" applyFont="1" applyFill="1" applyAlignment="1">
      <alignment vertical="center"/>
    </xf>
    <xf numFmtId="0" fontId="9" fillId="4" borderId="1" xfId="10" applyFont="1" applyFill="1" applyBorder="1" applyAlignment="1">
      <alignment horizontal="center" vertical="center"/>
    </xf>
    <xf numFmtId="0" fontId="9" fillId="4" borderId="1" xfId="10" applyFont="1" applyFill="1" applyBorder="1" applyAlignment="1">
      <alignment vertical="center"/>
    </xf>
    <xf numFmtId="164" fontId="9" fillId="4" borderId="1" xfId="26" applyFont="1" applyFill="1" applyBorder="1" applyAlignment="1">
      <alignment vertical="center"/>
    </xf>
    <xf numFmtId="164" fontId="9" fillId="4" borderId="1" xfId="14" applyFont="1" applyFill="1" applyBorder="1" applyAlignment="1">
      <alignment vertical="center"/>
    </xf>
    <xf numFmtId="0" fontId="28" fillId="4" borderId="1" xfId="180" applyFont="1" applyFill="1" applyBorder="1" applyAlignment="1">
      <alignment horizontal="center" vertical="center" wrapText="1"/>
    </xf>
    <xf numFmtId="0" fontId="28" fillId="4" borderId="1" xfId="180" applyFont="1" applyFill="1" applyBorder="1" applyAlignment="1">
      <alignment horizontal="left" vertical="center" wrapText="1"/>
    </xf>
    <xf numFmtId="4" fontId="28" fillId="4" borderId="1" xfId="180" applyNumberFormat="1" applyFont="1" applyFill="1" applyBorder="1" applyAlignment="1">
      <alignment horizontal="center" vertical="center" wrapText="1"/>
    </xf>
    <xf numFmtId="0" fontId="43" fillId="4" borderId="0" xfId="0" applyFont="1" applyFill="1" applyAlignment="1">
      <alignment horizontal="center" wrapText="1"/>
    </xf>
    <xf numFmtId="14" fontId="28" fillId="4" borderId="1" xfId="180" applyNumberFormat="1" applyFont="1" applyFill="1" applyBorder="1" applyAlignment="1">
      <alignment horizontal="center" vertical="center" wrapText="1"/>
    </xf>
    <xf numFmtId="0" fontId="28" fillId="0" borderId="1" xfId="180" applyFont="1" applyFill="1" applyBorder="1" applyAlignment="1">
      <alignment horizontal="center" vertical="center" wrapText="1"/>
    </xf>
    <xf numFmtId="0" fontId="28" fillId="0" borderId="1" xfId="180" applyFont="1" applyFill="1" applyBorder="1" applyAlignment="1">
      <alignment horizontal="left" vertical="center" wrapText="1"/>
    </xf>
    <xf numFmtId="4" fontId="28" fillId="0" borderId="1" xfId="180" applyNumberFormat="1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center" wrapText="1"/>
    </xf>
    <xf numFmtId="14" fontId="28" fillId="0" borderId="1" xfId="180" applyNumberFormat="1" applyFont="1" applyFill="1" applyBorder="1" applyAlignment="1">
      <alignment horizontal="center" vertical="center" wrapText="1"/>
    </xf>
    <xf numFmtId="0" fontId="8" fillId="4" borderId="1" xfId="10" applyFont="1" applyFill="1" applyBorder="1" applyAlignment="1">
      <alignment horizontal="left" vertical="center" wrapText="1"/>
    </xf>
    <xf numFmtId="0" fontId="0" fillId="0" borderId="1" xfId="0" applyBorder="1"/>
    <xf numFmtId="0" fontId="9" fillId="4" borderId="1" xfId="10" applyFont="1" applyFill="1" applyBorder="1" applyAlignment="1">
      <alignment vertical="center" wrapText="1"/>
    </xf>
    <xf numFmtId="164" fontId="0" fillId="4" borderId="1" xfId="45" applyFont="1" applyFill="1" applyBorder="1"/>
    <xf numFmtId="10" fontId="0" fillId="4" borderId="1" xfId="11" applyNumberFormat="1" applyFont="1" applyFill="1" applyBorder="1" applyAlignment="1">
      <alignment horizontal="center"/>
    </xf>
    <xf numFmtId="0" fontId="8" fillId="4" borderId="1" xfId="10" applyFill="1" applyBorder="1"/>
    <xf numFmtId="10" fontId="0" fillId="0" borderId="0" xfId="0" applyNumberFormat="1"/>
    <xf numFmtId="164" fontId="0" fillId="0" borderId="0" xfId="0" applyNumberFormat="1"/>
    <xf numFmtId="0" fontId="8" fillId="3" borderId="1" xfId="10" applyFill="1" applyBorder="1" applyAlignment="1">
      <alignment horizontal="center"/>
    </xf>
    <xf numFmtId="0" fontId="8" fillId="0" borderId="1" xfId="10" applyBorder="1" applyAlignment="1">
      <alignment horizontal="center"/>
    </xf>
    <xf numFmtId="9" fontId="8" fillId="0" borderId="1" xfId="174" applyFont="1" applyFill="1" applyBorder="1"/>
    <xf numFmtId="0" fontId="39" fillId="0" borderId="0" xfId="0" applyFont="1" applyAlignment="1">
      <alignment horizontal="center"/>
    </xf>
    <xf numFmtId="0" fontId="8" fillId="4" borderId="1" xfId="10" applyFont="1" applyFill="1" applyBorder="1" applyAlignment="1">
      <alignment vertical="center"/>
    </xf>
    <xf numFmtId="164" fontId="8" fillId="4" borderId="1" xfId="26" applyFont="1" applyFill="1" applyBorder="1" applyAlignment="1">
      <alignment vertical="center"/>
    </xf>
    <xf numFmtId="0" fontId="8" fillId="0" borderId="0" xfId="10" applyFont="1" applyFill="1" applyAlignment="1">
      <alignment horizontal="center"/>
    </xf>
    <xf numFmtId="9" fontId="0" fillId="4" borderId="1" xfId="0" applyNumberFormat="1" applyFill="1" applyBorder="1"/>
    <xf numFmtId="0" fontId="41" fillId="9" borderId="0" xfId="180" applyFont="1" applyFill="1" applyBorder="1" applyAlignment="1">
      <alignment horizontal="center" vertical="center" wrapText="1"/>
    </xf>
    <xf numFmtId="0" fontId="41" fillId="9" borderId="0" xfId="180" applyFont="1" applyFill="1" applyBorder="1" applyAlignment="1">
      <alignment horizontal="left" vertical="center" wrapText="1"/>
    </xf>
    <xf numFmtId="4" fontId="41" fillId="9" borderId="0" xfId="180" applyNumberFormat="1" applyFont="1" applyFill="1" applyBorder="1" applyAlignment="1">
      <alignment horizontal="center" vertical="center" wrapText="1"/>
    </xf>
    <xf numFmtId="10" fontId="9" fillId="0" borderId="0" xfId="11" applyNumberFormat="1" applyFont="1" applyFill="1" applyBorder="1" applyAlignment="1">
      <alignment horizontal="center" vertical="center" wrapText="1"/>
    </xf>
    <xf numFmtId="164" fontId="9" fillId="3" borderId="0" xfId="37" applyFont="1" applyFill="1" applyAlignment="1">
      <alignment vertical="center"/>
    </xf>
    <xf numFmtId="0" fontId="0" fillId="3" borderId="0" xfId="0" applyFill="1"/>
    <xf numFmtId="0" fontId="37" fillId="0" borderId="4" xfId="10" applyFont="1" applyFill="1" applyBorder="1" applyAlignment="1">
      <alignment horizontal="center" vertical="center" wrapText="1"/>
    </xf>
    <xf numFmtId="0" fontId="37" fillId="0" borderId="5" xfId="10" applyFont="1" applyFill="1" applyBorder="1" applyAlignment="1">
      <alignment horizontal="center" vertical="center" wrapText="1"/>
    </xf>
    <xf numFmtId="0" fontId="37" fillId="0" borderId="0" xfId="10" applyFont="1" applyFill="1" applyBorder="1" applyAlignment="1">
      <alignment horizontal="center" vertical="center" wrapText="1"/>
    </xf>
    <xf numFmtId="0" fontId="37" fillId="0" borderId="7" xfId="10" applyFont="1" applyFill="1" applyBorder="1" applyAlignment="1">
      <alignment horizontal="center" vertical="center" wrapText="1"/>
    </xf>
    <xf numFmtId="0" fontId="37" fillId="0" borderId="8" xfId="10" applyFont="1" applyFill="1" applyBorder="1" applyAlignment="1">
      <alignment horizontal="center" vertical="center" wrapText="1"/>
    </xf>
    <xf numFmtId="0" fontId="37" fillId="0" borderId="9" xfId="10" applyFont="1" applyFill="1" applyBorder="1" applyAlignment="1">
      <alignment horizontal="center" vertical="center" wrapText="1"/>
    </xf>
    <xf numFmtId="0" fontId="8" fillId="0" borderId="0" xfId="10" applyFont="1" applyFill="1" applyAlignment="1">
      <alignment horizontal="center"/>
    </xf>
    <xf numFmtId="0" fontId="39" fillId="0" borderId="0" xfId="0" applyFont="1" applyAlignment="1">
      <alignment horizontal="center"/>
    </xf>
    <xf numFmtId="0" fontId="8" fillId="3" borderId="10" xfId="10" applyFill="1" applyBorder="1" applyAlignment="1">
      <alignment horizontal="center"/>
    </xf>
    <xf numFmtId="0" fontId="8" fillId="3" borderId="16" xfId="10" applyFill="1" applyBorder="1" applyAlignment="1">
      <alignment horizontal="center"/>
    </xf>
    <xf numFmtId="0" fontId="37" fillId="0" borderId="1" xfId="1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8" fillId="0" borderId="0" xfId="26" applyFont="1" applyFill="1" applyAlignment="1">
      <alignment horizontal="center" vertical="center"/>
    </xf>
    <xf numFmtId="0" fontId="42" fillId="11" borderId="1" xfId="0" applyFont="1" applyFill="1" applyBorder="1" applyAlignment="1">
      <alignment horizontal="center"/>
    </xf>
    <xf numFmtId="0" fontId="8" fillId="0" borderId="0" xfId="10" applyFont="1" applyFill="1" applyAlignment="1">
      <alignment horizontal="center" vertical="center"/>
    </xf>
  </cellXfs>
  <cellStyles count="181">
    <cellStyle name="_x000d__x000a_JournalTemplate=C:\COMFO\CTALK\JOURSTD.TPL_x000d__x000a_LbStateAddress=3 3 0 251 1 89 2 311_x000d__x000a_LbStateJou" xfId="62"/>
    <cellStyle name="20% - Ênfase1 100" xfId="1"/>
    <cellStyle name="60% - Ênfase6 37" xfId="2"/>
    <cellStyle name="Comma_Arauco Piping list" xfId="63"/>
    <cellStyle name="Comma0" xfId="64"/>
    <cellStyle name="CORES" xfId="65"/>
    <cellStyle name="Currency [0]_Arauco Piping list" xfId="66"/>
    <cellStyle name="Currency_Arauco Piping list" xfId="67"/>
    <cellStyle name="Currency0" xfId="68"/>
    <cellStyle name="Data" xfId="69"/>
    <cellStyle name="Date" xfId="70"/>
    <cellStyle name="Excel Built-in Excel Built-in Excel Built-in Excel Built-in Excel Built-in Excel Built-in Excel Built-in Excel Built-in Separador de milhares 4" xfId="3"/>
    <cellStyle name="Excel Built-in Excel Built-in Excel Built-in Excel Built-in Excel Built-in Excel Built-in Excel Built-in Separador de milhares 4" xfId="4"/>
    <cellStyle name="Excel Built-in Normal" xfId="5"/>
    <cellStyle name="Excel Built-in Normal 1" xfId="6"/>
    <cellStyle name="Excel Built-in Normal 2" xfId="30"/>
    <cellStyle name="Excel Built-in Normal 3" xfId="41"/>
    <cellStyle name="Excel_BuiltIn_Comma" xfId="7"/>
    <cellStyle name="Fixed" xfId="71"/>
    <cellStyle name="Fixo" xfId="72"/>
    <cellStyle name="Followed Hyperlink" xfId="73"/>
    <cellStyle name="Grey" xfId="74"/>
    <cellStyle name="Heading" xfId="8"/>
    <cellStyle name="Heading 1" xfId="75"/>
    <cellStyle name="Heading 2" xfId="76"/>
    <cellStyle name="Heading1" xfId="9"/>
    <cellStyle name="Hiperlink 2" xfId="31"/>
    <cellStyle name="Indefinido" xfId="77"/>
    <cellStyle name="Input [yellow]" xfId="78"/>
    <cellStyle name="material" xfId="79"/>
    <cellStyle name="MINIPG" xfId="80"/>
    <cellStyle name="Moeda 2" xfId="32"/>
    <cellStyle name="Normal" xfId="0" builtinId="0"/>
    <cellStyle name="Normal - Style1" xfId="81"/>
    <cellStyle name="Normal 10" xfId="46"/>
    <cellStyle name="Normal 11" xfId="51"/>
    <cellStyle name="Normal 12" xfId="48"/>
    <cellStyle name="Normal 13" xfId="49"/>
    <cellStyle name="Normal 13 2" xfId="98"/>
    <cellStyle name="Normal 13 3" xfId="99"/>
    <cellStyle name="Normal 14" xfId="52"/>
    <cellStyle name="Normal 14 2" xfId="100"/>
    <cellStyle name="Normal 14 3" xfId="101"/>
    <cellStyle name="Normal 15" xfId="60"/>
    <cellStyle name="Normal 15 2" xfId="97"/>
    <cellStyle name="Normal 16" xfId="95"/>
    <cellStyle name="Normal 16 2" xfId="102"/>
    <cellStyle name="Normal 16 3" xfId="103"/>
    <cellStyle name="Normal 17" xfId="104"/>
    <cellStyle name="Normal 18" xfId="105"/>
    <cellStyle name="Normal 19" xfId="106"/>
    <cellStyle name="Normal 2" xfId="10"/>
    <cellStyle name="Normal 2 2" xfId="17"/>
    <cellStyle name="Normal 2 2 2" xfId="173"/>
    <cellStyle name="Normal 20" xfId="107"/>
    <cellStyle name="Normal 21" xfId="108"/>
    <cellStyle name="Normal 22" xfId="109"/>
    <cellStyle name="Normal 23" xfId="110"/>
    <cellStyle name="Normal 24" xfId="111"/>
    <cellStyle name="Normal 25" xfId="112"/>
    <cellStyle name="Normal 26" xfId="113"/>
    <cellStyle name="Normal 27" xfId="114"/>
    <cellStyle name="Normal 28" xfId="115"/>
    <cellStyle name="Normal 29" xfId="116"/>
    <cellStyle name="Normal 3" xfId="18"/>
    <cellStyle name="Normal 3 2" xfId="19"/>
    <cellStyle name="Normal 3 3" xfId="27"/>
    <cellStyle name="Normal 30" xfId="117"/>
    <cellStyle name="Normal 31" xfId="118"/>
    <cellStyle name="Normal 32" xfId="119"/>
    <cellStyle name="Normal 33" xfId="120"/>
    <cellStyle name="Normal 34" xfId="121"/>
    <cellStyle name="Normal 35" xfId="122"/>
    <cellStyle name="Normal 36" xfId="123"/>
    <cellStyle name="Normal 37" xfId="124"/>
    <cellStyle name="Normal 37 2" xfId="125"/>
    <cellStyle name="Normal 38" xfId="126"/>
    <cellStyle name="Normal 39" xfId="127"/>
    <cellStyle name="Normal 4" xfId="20"/>
    <cellStyle name="Normal 4 2" xfId="175"/>
    <cellStyle name="Normal 40" xfId="128"/>
    <cellStyle name="Normal 41" xfId="129"/>
    <cellStyle name="Normal 42" xfId="130"/>
    <cellStyle name="Normal 43" xfId="131"/>
    <cellStyle name="Normal 44" xfId="132"/>
    <cellStyle name="Normal 45" xfId="133"/>
    <cellStyle name="Normal 46" xfId="134"/>
    <cellStyle name="Normal 47" xfId="135"/>
    <cellStyle name="Normal 48" xfId="136"/>
    <cellStyle name="Normal 49" xfId="137"/>
    <cellStyle name="Normal 5" xfId="23"/>
    <cellStyle name="Normal 5 2" xfId="53"/>
    <cellStyle name="Normal 5 2 2" xfId="138"/>
    <cellStyle name="Normal 5 2 3" xfId="139"/>
    <cellStyle name="Normal 5 3" xfId="140"/>
    <cellStyle name="Normal 5 4" xfId="141"/>
    <cellStyle name="Normal 50" xfId="142"/>
    <cellStyle name="Normal 51" xfId="143"/>
    <cellStyle name="Normal 52" xfId="144"/>
    <cellStyle name="Normal 53" xfId="145"/>
    <cellStyle name="Normal 54" xfId="146"/>
    <cellStyle name="Normal 55" xfId="147"/>
    <cellStyle name="Normal 56" xfId="148"/>
    <cellStyle name="Normal 57" xfId="149"/>
    <cellStyle name="Normal 58" xfId="150"/>
    <cellStyle name="Normal 59" xfId="151"/>
    <cellStyle name="Normal 6" xfId="24"/>
    <cellStyle name="Normal 6 2" xfId="42"/>
    <cellStyle name="Normal 6 2 2" xfId="54"/>
    <cellStyle name="Normal 6 2 2 2" xfId="152"/>
    <cellStyle name="Normal 6 2 2 3" xfId="153"/>
    <cellStyle name="Normal 6 2 3" xfId="154"/>
    <cellStyle name="Normal 6 2 4" xfId="155"/>
    <cellStyle name="Normal 6 3" xfId="55"/>
    <cellStyle name="Normal 6 3 2" xfId="156"/>
    <cellStyle name="Normal 6 3 3" xfId="157"/>
    <cellStyle name="Normal 6 4" xfId="158"/>
    <cellStyle name="Normal 6 5" xfId="159"/>
    <cellStyle name="Normal 60" xfId="160"/>
    <cellStyle name="Normal 61" xfId="161"/>
    <cellStyle name="Normal 62" xfId="162"/>
    <cellStyle name="Normal 63" xfId="163"/>
    <cellStyle name="Normal 64" xfId="176"/>
    <cellStyle name="Normal 7" xfId="25"/>
    <cellStyle name="Normal 7 2" xfId="39"/>
    <cellStyle name="Normal 8" xfId="40"/>
    <cellStyle name="Normal 8 2" xfId="56"/>
    <cellStyle name="Normal 9" xfId="47"/>
    <cellStyle name="Normal_Pesquisa no referencial 10 de maio de 2013" xfId="180"/>
    <cellStyle name="Normal1" xfId="82"/>
    <cellStyle name="Normal2" xfId="83"/>
    <cellStyle name="Normal3" xfId="84"/>
    <cellStyle name="Percent [2]" xfId="85"/>
    <cellStyle name="Percent_Sheet1" xfId="86"/>
    <cellStyle name="Percentual" xfId="87"/>
    <cellStyle name="Ponto" xfId="88"/>
    <cellStyle name="Porcentagem" xfId="174" builtinId="5"/>
    <cellStyle name="Porcentagem 2" xfId="11"/>
    <cellStyle name="Porcentagem 3" xfId="33"/>
    <cellStyle name="Porcentagem 3 2" xfId="43"/>
    <cellStyle name="Porcentagem 4" xfId="29"/>
    <cellStyle name="Porcentagem 4 2" xfId="34"/>
    <cellStyle name="Porcentagem 4 2 2" xfId="177"/>
    <cellStyle name="Porcentagem 5" xfId="61"/>
    <cellStyle name="Porcentagem 6" xfId="164"/>
    <cellStyle name="Porcentagem 6 2" xfId="165"/>
    <cellStyle name="Result" xfId="12"/>
    <cellStyle name="Result2" xfId="13"/>
    <cellStyle name="Sep. milhar [0]" xfId="89"/>
    <cellStyle name="Separador de m" xfId="90"/>
    <cellStyle name="Separador de milhares 2" xfId="15"/>
    <cellStyle name="Separador de milhares 2 2" xfId="21"/>
    <cellStyle name="Separador de milhares 3" xfId="22"/>
    <cellStyle name="Separador de milhares 4" xfId="16"/>
    <cellStyle name="Sepavador de milhares [0]_Pasta2" xfId="91"/>
    <cellStyle name="Standard_RP100_01 (metr.)" xfId="92"/>
    <cellStyle name="Titulo1" xfId="93"/>
    <cellStyle name="Titulo2" xfId="94"/>
    <cellStyle name="Vírgula" xfId="14" builtinId="3"/>
    <cellStyle name="Vírgula 10" xfId="96"/>
    <cellStyle name="Vírgula 10 2" xfId="166"/>
    <cellStyle name="Vírgula 11" xfId="167"/>
    <cellStyle name="Vírgula 12" xfId="168"/>
    <cellStyle name="Vírgula 2" xfId="26"/>
    <cellStyle name="Vírgula 2 2" xfId="45"/>
    <cellStyle name="Vírgula 3" xfId="35"/>
    <cellStyle name="Vírgula 3 2" xfId="36"/>
    <cellStyle name="Vírgula 4" xfId="37"/>
    <cellStyle name="Vírgula 5" xfId="28"/>
    <cellStyle name="Vírgula 5 2" xfId="38"/>
    <cellStyle name="Vírgula 5 2 2" xfId="178"/>
    <cellStyle name="Vírgula 6" xfId="44"/>
    <cellStyle name="Vírgula 6 2" xfId="57"/>
    <cellStyle name="Vírgula 6 3" xfId="179"/>
    <cellStyle name="Vírgula 7" xfId="50"/>
    <cellStyle name="Vírgula 7 2" xfId="169"/>
    <cellStyle name="Vírgula 7 3" xfId="170"/>
    <cellStyle name="Vírgula 8" xfId="58"/>
    <cellStyle name="Vírgula 8 2" xfId="171"/>
    <cellStyle name="Vírgula 8 3" xfId="172"/>
    <cellStyle name="Vírgula 9" xfId="59"/>
  </cellStyles>
  <dxfs count="61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9"/>
  <sheetViews>
    <sheetView showGridLines="0" tabSelected="1" topLeftCell="A220" zoomScale="85" zoomScaleNormal="85" zoomScaleSheetLayoutView="85" workbookViewId="0">
      <selection activeCell="E266" sqref="E266"/>
    </sheetView>
  </sheetViews>
  <sheetFormatPr defaultRowHeight="12.75" outlineLevelRow="1"/>
  <cols>
    <col min="1" max="1" width="1.375" style="9" customWidth="1"/>
    <col min="2" max="2" width="8.625" style="10" customWidth="1"/>
    <col min="3" max="3" width="13.375" style="10" customWidth="1"/>
    <col min="4" max="4" width="11.375" style="10" customWidth="1"/>
    <col min="5" max="5" width="65.875" style="11" customWidth="1"/>
    <col min="6" max="6" width="6.625" style="9" customWidth="1"/>
    <col min="7" max="7" width="11.5" style="33" customWidth="1"/>
    <col min="8" max="8" width="13.875" style="32" customWidth="1"/>
    <col min="9" max="9" width="13.875" style="1" customWidth="1"/>
    <col min="10" max="10" width="15.625" style="1" customWidth="1"/>
    <col min="11" max="11" width="9" style="1"/>
    <col min="12" max="13" width="10.125" style="1" bestFit="1" customWidth="1"/>
    <col min="14" max="16384" width="9" style="1"/>
  </cols>
  <sheetData>
    <row r="1" spans="1:10" ht="12.75" customHeight="1">
      <c r="A1" s="65"/>
      <c r="B1" s="186" t="s">
        <v>456</v>
      </c>
      <c r="C1" s="186"/>
      <c r="D1" s="186"/>
      <c r="E1" s="186"/>
      <c r="F1" s="186"/>
      <c r="G1" s="186"/>
      <c r="H1" s="186"/>
      <c r="I1" s="186"/>
      <c r="J1" s="187"/>
    </row>
    <row r="2" spans="1:10" ht="14.25" customHeight="1">
      <c r="A2" s="64"/>
      <c r="B2" s="188"/>
      <c r="C2" s="188"/>
      <c r="D2" s="188"/>
      <c r="E2" s="188"/>
      <c r="F2" s="188"/>
      <c r="G2" s="188"/>
      <c r="H2" s="188"/>
      <c r="I2" s="188"/>
      <c r="J2" s="189"/>
    </row>
    <row r="3" spans="1:10" ht="15" customHeight="1" thickBot="1">
      <c r="A3" s="64"/>
      <c r="B3" s="190"/>
      <c r="C3" s="190"/>
      <c r="D3" s="190"/>
      <c r="E3" s="190"/>
      <c r="F3" s="190"/>
      <c r="G3" s="190"/>
      <c r="H3" s="190"/>
      <c r="I3" s="190"/>
      <c r="J3" s="191"/>
    </row>
    <row r="4" spans="1:10" ht="20.100000000000001" customHeight="1">
      <c r="A4" s="2"/>
      <c r="B4" s="3"/>
      <c r="C4" s="3"/>
      <c r="D4" s="3"/>
      <c r="E4" s="2"/>
      <c r="F4" s="2"/>
      <c r="G4" s="45"/>
      <c r="H4" s="45"/>
      <c r="I4" s="2"/>
      <c r="J4" s="2"/>
    </row>
    <row r="5" spans="1:10" ht="20.100000000000001" customHeight="1">
      <c r="A5" s="54"/>
      <c r="B5" s="79" t="s">
        <v>457</v>
      </c>
      <c r="C5" s="4"/>
      <c r="D5" s="4"/>
      <c r="E5" s="5"/>
      <c r="F5" s="53"/>
      <c r="G5" s="44"/>
      <c r="H5" s="43"/>
      <c r="I5" s="6"/>
      <c r="J5" s="6"/>
    </row>
    <row r="6" spans="1:10" ht="20.100000000000001" customHeight="1">
      <c r="A6" s="54"/>
      <c r="B6" s="79" t="s">
        <v>503</v>
      </c>
      <c r="C6" s="4"/>
      <c r="D6" s="4"/>
      <c r="E6" s="5"/>
      <c r="F6" s="53"/>
      <c r="G6" s="44"/>
      <c r="H6" s="43"/>
      <c r="I6" s="6"/>
      <c r="J6" s="6"/>
    </row>
    <row r="7" spans="1:10" ht="20.100000000000001" customHeight="1">
      <c r="A7" s="24"/>
      <c r="B7" s="79" t="s">
        <v>15</v>
      </c>
      <c r="C7" s="24"/>
      <c r="D7" s="24"/>
      <c r="E7" s="24"/>
      <c r="F7" s="24"/>
      <c r="G7" s="24"/>
      <c r="H7" s="24"/>
      <c r="I7" s="78" t="s">
        <v>81</v>
      </c>
      <c r="J7" s="183">
        <v>0.28920000000000001</v>
      </c>
    </row>
    <row r="8" spans="1:10" ht="20.100000000000001" customHeight="1" thickBot="1">
      <c r="A8" s="7"/>
      <c r="B8" s="7"/>
      <c r="C8" s="7"/>
      <c r="D8" s="7"/>
      <c r="E8" s="54"/>
      <c r="F8" s="7"/>
      <c r="G8" s="24"/>
      <c r="H8" s="24"/>
      <c r="I8" s="24"/>
      <c r="J8" s="46"/>
    </row>
    <row r="9" spans="1:10" ht="39.75" customHeight="1" thickBot="1">
      <c r="A9" s="8"/>
      <c r="B9" s="70" t="s">
        <v>16</v>
      </c>
      <c r="C9" s="68" t="s">
        <v>17</v>
      </c>
      <c r="D9" s="68" t="s">
        <v>18</v>
      </c>
      <c r="E9" s="68" t="s">
        <v>19</v>
      </c>
      <c r="F9" s="80" t="s">
        <v>82</v>
      </c>
      <c r="G9" s="81" t="s">
        <v>20</v>
      </c>
      <c r="H9" s="82" t="s">
        <v>83</v>
      </c>
      <c r="I9" s="82" t="s">
        <v>84</v>
      </c>
      <c r="J9" s="69" t="s">
        <v>21</v>
      </c>
    </row>
    <row r="10" spans="1:10" ht="20.100000000000001" customHeight="1">
      <c r="A10" s="52"/>
      <c r="B10" s="52"/>
      <c r="C10" s="52"/>
      <c r="D10" s="52"/>
      <c r="E10" s="26"/>
      <c r="F10" s="52"/>
      <c r="G10" s="35"/>
      <c r="H10" s="34"/>
      <c r="I10" s="8"/>
      <c r="J10" s="8"/>
    </row>
    <row r="11" spans="1:10" ht="20.100000000000001" customHeight="1">
      <c r="A11" s="52"/>
      <c r="B11" s="147">
        <v>1</v>
      </c>
      <c r="C11" s="30"/>
      <c r="D11" s="30"/>
      <c r="E11" s="22" t="s">
        <v>33</v>
      </c>
      <c r="F11" s="22"/>
      <c r="G11" s="42"/>
      <c r="H11" s="38"/>
      <c r="I11" s="22"/>
      <c r="J11" s="57"/>
    </row>
    <row r="12" spans="1:10" ht="20.100000000000001" customHeight="1" outlineLevel="1">
      <c r="A12" s="52"/>
      <c r="B12" s="50" t="s">
        <v>22</v>
      </c>
      <c r="C12" s="71" t="s">
        <v>485</v>
      </c>
      <c r="D12" s="31"/>
      <c r="E12" s="16" t="s">
        <v>98</v>
      </c>
      <c r="F12" s="50" t="s">
        <v>34</v>
      </c>
      <c r="G12" s="48">
        <v>4</v>
      </c>
      <c r="H12" s="48">
        <v>408.72</v>
      </c>
      <c r="I12" s="66">
        <f>(H12*$J$7)+H12</f>
        <v>526.92182400000002</v>
      </c>
      <c r="J12" s="66">
        <f>G12*I12</f>
        <v>2107.6872960000001</v>
      </c>
    </row>
    <row r="13" spans="1:10" ht="20.100000000000001" customHeight="1" outlineLevel="1">
      <c r="A13" s="52"/>
      <c r="B13" s="50" t="s">
        <v>496</v>
      </c>
      <c r="C13" s="71" t="s">
        <v>486</v>
      </c>
      <c r="D13" s="50"/>
      <c r="E13" s="16" t="s">
        <v>191</v>
      </c>
      <c r="F13" s="50" t="s">
        <v>139</v>
      </c>
      <c r="G13" s="48">
        <v>1</v>
      </c>
      <c r="H13" s="48">
        <v>8730</v>
      </c>
      <c r="I13" s="66">
        <f t="shared" ref="I13" si="0">(H13*$J$7)+H13</f>
        <v>11254.716</v>
      </c>
      <c r="J13" s="66">
        <f t="shared" ref="J13" si="1">G13*I13</f>
        <v>11254.716</v>
      </c>
    </row>
    <row r="14" spans="1:10" ht="20.100000000000001" customHeight="1" outlineLevel="1">
      <c r="A14" s="52"/>
      <c r="B14" s="50" t="s">
        <v>497</v>
      </c>
      <c r="C14" s="71">
        <v>99059</v>
      </c>
      <c r="D14" s="31" t="s">
        <v>26</v>
      </c>
      <c r="E14" s="49" t="s">
        <v>100</v>
      </c>
      <c r="F14" s="50" t="s">
        <v>30</v>
      </c>
      <c r="G14" s="48">
        <v>80</v>
      </c>
      <c r="H14" s="48">
        <v>65</v>
      </c>
      <c r="I14" s="66">
        <f t="shared" ref="I14" si="2">(H14*$J$7)+H14</f>
        <v>83.798000000000002</v>
      </c>
      <c r="J14" s="66">
        <f t="shared" ref="J14" si="3">G14*I14</f>
        <v>6703.84</v>
      </c>
    </row>
    <row r="15" spans="1:10" ht="20.100000000000001" customHeight="1" outlineLevel="1">
      <c r="A15" s="52"/>
      <c r="B15" s="58"/>
      <c r="C15" s="59"/>
      <c r="D15" s="59"/>
      <c r="E15" s="59"/>
      <c r="F15" s="59"/>
      <c r="G15" s="59"/>
      <c r="H15" s="60" t="s">
        <v>44</v>
      </c>
      <c r="I15" s="17"/>
      <c r="J15" s="67">
        <f>SUM(J12:J14)</f>
        <v>20066.243296000001</v>
      </c>
    </row>
    <row r="16" spans="1:10" ht="20.100000000000001" customHeight="1" outlineLevel="1">
      <c r="A16" s="52"/>
      <c r="B16" s="108"/>
      <c r="C16" s="108"/>
      <c r="D16" s="108"/>
      <c r="E16" s="108"/>
      <c r="F16" s="108"/>
      <c r="G16" s="108"/>
      <c r="H16" s="109"/>
      <c r="I16" s="108"/>
      <c r="J16" s="110"/>
    </row>
    <row r="17" spans="1:12" ht="20.100000000000001" customHeight="1" outlineLevel="1">
      <c r="A17" s="52"/>
      <c r="B17" s="147">
        <v>2</v>
      </c>
      <c r="C17" s="30"/>
      <c r="D17" s="30"/>
      <c r="E17" s="22" t="s">
        <v>396</v>
      </c>
      <c r="F17" s="22"/>
      <c r="G17" s="42"/>
      <c r="H17" s="38"/>
      <c r="I17" s="22"/>
      <c r="J17" s="57"/>
    </row>
    <row r="18" spans="1:12" ht="20.100000000000001" customHeight="1" outlineLevel="1">
      <c r="A18" s="52"/>
      <c r="B18" s="50" t="s">
        <v>112</v>
      </c>
      <c r="C18" s="72">
        <v>97622</v>
      </c>
      <c r="D18" s="15" t="s">
        <v>26</v>
      </c>
      <c r="E18" s="49" t="s">
        <v>399</v>
      </c>
      <c r="F18" s="50" t="s">
        <v>24</v>
      </c>
      <c r="G18" s="48">
        <f>(22.25*0.15*6)+((6+6+6+6+12.4+6+6)*0.15*3.5)</f>
        <v>45.435000000000002</v>
      </c>
      <c r="H18" s="48">
        <v>63.5</v>
      </c>
      <c r="I18" s="66">
        <f>(H18*J7)+H18</f>
        <v>81.864199999999997</v>
      </c>
      <c r="J18" s="66">
        <f>G18*I18</f>
        <v>3719.4999269999998</v>
      </c>
    </row>
    <row r="19" spans="1:12" ht="20.100000000000001" customHeight="1" outlineLevel="1">
      <c r="A19" s="52"/>
      <c r="B19" s="50" t="s">
        <v>264</v>
      </c>
      <c r="C19" s="72">
        <v>97644</v>
      </c>
      <c r="D19" s="15" t="s">
        <v>26</v>
      </c>
      <c r="E19" s="49" t="s">
        <v>400</v>
      </c>
      <c r="F19" s="50" t="s">
        <v>27</v>
      </c>
      <c r="G19" s="48">
        <f>(6*0.6*1.8)+(7*0.8*2)+(2*2)</f>
        <v>21.68</v>
      </c>
      <c r="H19" s="48">
        <v>10.5</v>
      </c>
      <c r="I19" s="66">
        <f>(H19*$J$7)+H19</f>
        <v>13.5366</v>
      </c>
      <c r="J19" s="66">
        <f t="shared" ref="J19:J23" si="4">G19*I19</f>
        <v>293.47348799999997</v>
      </c>
    </row>
    <row r="20" spans="1:12" ht="20.100000000000001" customHeight="1" outlineLevel="1">
      <c r="A20" s="52"/>
      <c r="B20" s="50" t="s">
        <v>397</v>
      </c>
      <c r="C20" s="72">
        <v>97645</v>
      </c>
      <c r="D20" s="15" t="s">
        <v>26</v>
      </c>
      <c r="E20" s="16" t="s">
        <v>401</v>
      </c>
      <c r="F20" s="50" t="s">
        <v>27</v>
      </c>
      <c r="G20" s="48">
        <f>(0.6*3*2)+17</f>
        <v>20.6</v>
      </c>
      <c r="H20" s="48">
        <v>27.5</v>
      </c>
      <c r="I20" s="66">
        <f t="shared" ref="I20:I22" si="5">(H20*$J$7)+H20</f>
        <v>35.453000000000003</v>
      </c>
      <c r="J20" s="66">
        <f t="shared" ref="J20:J22" si="6">G20*I20</f>
        <v>730.33180000000016</v>
      </c>
    </row>
    <row r="21" spans="1:12" ht="20.100000000000001" customHeight="1" outlineLevel="1">
      <c r="A21" s="52"/>
      <c r="B21" s="50" t="s">
        <v>398</v>
      </c>
      <c r="C21" s="72">
        <v>97656</v>
      </c>
      <c r="D21" s="15" t="s">
        <v>26</v>
      </c>
      <c r="E21" s="16" t="s">
        <v>402</v>
      </c>
      <c r="F21" s="50" t="s">
        <v>139</v>
      </c>
      <c r="G21" s="48">
        <v>3</v>
      </c>
      <c r="H21" s="48">
        <v>389</v>
      </c>
      <c r="I21" s="66">
        <f t="shared" si="5"/>
        <v>501.49880000000002</v>
      </c>
      <c r="J21" s="66">
        <f t="shared" si="6"/>
        <v>1504.4964</v>
      </c>
    </row>
    <row r="22" spans="1:12" ht="20.100000000000001" customHeight="1" outlineLevel="1">
      <c r="A22" s="52"/>
      <c r="B22" s="50" t="s">
        <v>405</v>
      </c>
      <c r="C22" s="72">
        <v>97647</v>
      </c>
      <c r="D22" s="15" t="s">
        <v>26</v>
      </c>
      <c r="E22" s="16" t="s">
        <v>403</v>
      </c>
      <c r="F22" s="50" t="s">
        <v>27</v>
      </c>
      <c r="G22" s="48">
        <v>74.5</v>
      </c>
      <c r="H22" s="48">
        <v>3.95</v>
      </c>
      <c r="I22" s="66">
        <f t="shared" si="5"/>
        <v>5.0923400000000001</v>
      </c>
      <c r="J22" s="66">
        <f t="shared" si="6"/>
        <v>379.37932999999998</v>
      </c>
    </row>
    <row r="23" spans="1:12" ht="20.100000000000001" customHeight="1" outlineLevel="1">
      <c r="A23" s="52"/>
      <c r="B23" s="50" t="s">
        <v>406</v>
      </c>
      <c r="C23" s="71">
        <v>97663</v>
      </c>
      <c r="D23" s="15" t="s">
        <v>26</v>
      </c>
      <c r="E23" s="49" t="s">
        <v>404</v>
      </c>
      <c r="F23" s="50" t="s">
        <v>139</v>
      </c>
      <c r="G23" s="48">
        <v>10</v>
      </c>
      <c r="H23" s="48">
        <v>14.1</v>
      </c>
      <c r="I23" s="66">
        <f t="shared" ref="I23" si="7">(H23*$J$7)+H23</f>
        <v>18.177720000000001</v>
      </c>
      <c r="J23" s="66">
        <f t="shared" si="4"/>
        <v>181.77719999999999</v>
      </c>
    </row>
    <row r="24" spans="1:12" ht="20.100000000000001" customHeight="1" outlineLevel="1">
      <c r="A24" s="52"/>
      <c r="B24" s="58"/>
      <c r="C24" s="59"/>
      <c r="D24" s="59"/>
      <c r="E24" s="59"/>
      <c r="F24" s="59"/>
      <c r="G24" s="59"/>
      <c r="H24" s="60" t="s">
        <v>44</v>
      </c>
      <c r="I24" s="17"/>
      <c r="J24" s="67">
        <f>SUM(J18:J23)</f>
        <v>6808.9581450000005</v>
      </c>
    </row>
    <row r="25" spans="1:12" ht="20.100000000000001" customHeight="1">
      <c r="A25" s="52"/>
      <c r="B25" s="52"/>
      <c r="C25" s="52"/>
      <c r="D25" s="52"/>
      <c r="E25" s="26"/>
      <c r="F25" s="52"/>
      <c r="G25" s="35"/>
      <c r="H25" s="34"/>
      <c r="I25" s="8"/>
      <c r="J25" s="56"/>
    </row>
    <row r="26" spans="1:12" ht="20.100000000000001" customHeight="1">
      <c r="A26" s="52"/>
      <c r="B26" s="147">
        <v>3</v>
      </c>
      <c r="C26" s="30"/>
      <c r="D26" s="30"/>
      <c r="E26" s="22" t="s">
        <v>40</v>
      </c>
      <c r="F26" s="22"/>
      <c r="G26" s="42"/>
      <c r="H26" s="38"/>
      <c r="I26" s="22"/>
      <c r="J26" s="57"/>
    </row>
    <row r="27" spans="1:12" ht="20.100000000000001" customHeight="1" outlineLevel="1">
      <c r="A27" s="52"/>
      <c r="B27" s="12" t="s">
        <v>116</v>
      </c>
      <c r="C27" s="12"/>
      <c r="D27" s="12"/>
      <c r="E27" s="13" t="s">
        <v>407</v>
      </c>
      <c r="F27" s="14"/>
      <c r="G27" s="37"/>
      <c r="H27" s="48"/>
      <c r="I27" s="66"/>
      <c r="J27" s="66"/>
    </row>
    <row r="28" spans="1:12" ht="20.100000000000001" customHeight="1" outlineLevel="1">
      <c r="A28" s="52"/>
      <c r="B28" s="50" t="s">
        <v>117</v>
      </c>
      <c r="C28" s="72">
        <v>96520</v>
      </c>
      <c r="D28" s="15" t="s">
        <v>26</v>
      </c>
      <c r="E28" s="49" t="s">
        <v>408</v>
      </c>
      <c r="F28" s="50" t="s">
        <v>24</v>
      </c>
      <c r="G28" s="48">
        <f>(21*0.8*0.8*1)</f>
        <v>13.440000000000001</v>
      </c>
      <c r="H28" s="48">
        <v>95</v>
      </c>
      <c r="I28" s="66">
        <f>(H28*$J$7)+H28</f>
        <v>122.474</v>
      </c>
      <c r="J28" s="66">
        <f t="shared" ref="J28:J31" si="8">G28*I28</f>
        <v>1646.0505600000001</v>
      </c>
    </row>
    <row r="29" spans="1:12" ht="20.100000000000001" customHeight="1" outlineLevel="1">
      <c r="A29" s="52"/>
      <c r="B29" s="50" t="s">
        <v>118</v>
      </c>
      <c r="C29" s="72">
        <v>96531</v>
      </c>
      <c r="D29" s="15" t="s">
        <v>26</v>
      </c>
      <c r="E29" s="16" t="s">
        <v>409</v>
      </c>
      <c r="F29" s="50" t="s">
        <v>27</v>
      </c>
      <c r="G29" s="48">
        <f>((20/2)*(0.8*4)*0.25)</f>
        <v>8</v>
      </c>
      <c r="H29" s="48">
        <v>100</v>
      </c>
      <c r="I29" s="66">
        <f t="shared" ref="I29:I32" si="9">(H29*$J$7)+H29</f>
        <v>128.92000000000002</v>
      </c>
      <c r="J29" s="66">
        <f t="shared" si="8"/>
        <v>1031.3600000000001</v>
      </c>
      <c r="L29" s="149"/>
    </row>
    <row r="30" spans="1:12" ht="18.75" customHeight="1" outlineLevel="1">
      <c r="A30" s="52"/>
      <c r="B30" s="50" t="s">
        <v>56</v>
      </c>
      <c r="C30" s="71">
        <v>96545</v>
      </c>
      <c r="D30" s="15" t="s">
        <v>26</v>
      </c>
      <c r="E30" s="49" t="s">
        <v>140</v>
      </c>
      <c r="F30" s="50" t="s">
        <v>28</v>
      </c>
      <c r="G30" s="48">
        <f>20*4.74</f>
        <v>94.800000000000011</v>
      </c>
      <c r="H30" s="48">
        <v>15</v>
      </c>
      <c r="I30" s="66">
        <f t="shared" si="9"/>
        <v>19.338000000000001</v>
      </c>
      <c r="J30" s="66">
        <f t="shared" si="8"/>
        <v>1833.2424000000003</v>
      </c>
    </row>
    <row r="31" spans="1:12" ht="18.75" customHeight="1" outlineLevel="1">
      <c r="A31" s="52"/>
      <c r="B31" s="50" t="s">
        <v>498</v>
      </c>
      <c r="C31" s="71">
        <v>96557</v>
      </c>
      <c r="D31" s="15" t="s">
        <v>26</v>
      </c>
      <c r="E31" s="49" t="s">
        <v>410</v>
      </c>
      <c r="F31" s="50" t="s">
        <v>24</v>
      </c>
      <c r="G31" s="48">
        <f>(21*0.8*0.8*0.25)</f>
        <v>3.3600000000000003</v>
      </c>
      <c r="H31" s="48">
        <v>910</v>
      </c>
      <c r="I31" s="66">
        <f t="shared" si="9"/>
        <v>1173.172</v>
      </c>
      <c r="J31" s="66">
        <f t="shared" si="8"/>
        <v>3941.8579200000004</v>
      </c>
    </row>
    <row r="32" spans="1:12" ht="18.75" customHeight="1" outlineLevel="1">
      <c r="A32" s="52"/>
      <c r="B32" s="50" t="s">
        <v>251</v>
      </c>
      <c r="C32" s="71">
        <v>93382</v>
      </c>
      <c r="D32" s="15" t="s">
        <v>26</v>
      </c>
      <c r="E32" s="49" t="s">
        <v>205</v>
      </c>
      <c r="F32" s="50" t="s">
        <v>24</v>
      </c>
      <c r="G32" s="48">
        <f>G28-G31</f>
        <v>10.080000000000002</v>
      </c>
      <c r="H32" s="48">
        <v>29</v>
      </c>
      <c r="I32" s="66">
        <f t="shared" si="9"/>
        <v>37.386800000000001</v>
      </c>
      <c r="J32" s="66">
        <f t="shared" ref="J32" si="10">G32*I32</f>
        <v>376.85894400000006</v>
      </c>
    </row>
    <row r="33" spans="1:12" ht="20.100000000000001" customHeight="1" outlineLevel="1" collapsed="1">
      <c r="A33" s="52"/>
      <c r="B33" s="58"/>
      <c r="C33" s="59"/>
      <c r="D33" s="59"/>
      <c r="E33" s="59"/>
      <c r="F33" s="59"/>
      <c r="G33" s="59"/>
      <c r="H33" s="60" t="s">
        <v>44</v>
      </c>
      <c r="I33" s="17"/>
      <c r="J33" s="67">
        <f>SUM(J28:J32)</f>
        <v>8829.3698240000012</v>
      </c>
    </row>
    <row r="34" spans="1:12" ht="20.100000000000001" customHeight="1">
      <c r="A34" s="52"/>
      <c r="B34" s="52"/>
      <c r="C34" s="52"/>
      <c r="D34" s="52"/>
      <c r="E34" s="26"/>
      <c r="F34" s="52"/>
      <c r="G34" s="35"/>
      <c r="H34" s="34"/>
      <c r="I34" s="8"/>
      <c r="J34" s="56"/>
    </row>
    <row r="35" spans="1:12" ht="20.100000000000001" customHeight="1">
      <c r="A35" s="52"/>
      <c r="B35" s="147">
        <v>4</v>
      </c>
      <c r="C35" s="30"/>
      <c r="D35" s="30"/>
      <c r="E35" s="22" t="s">
        <v>35</v>
      </c>
      <c r="F35" s="22"/>
      <c r="G35" s="38"/>
      <c r="H35" s="38"/>
      <c r="I35" s="22"/>
      <c r="J35" s="57"/>
    </row>
    <row r="36" spans="1:12" ht="20.100000000000001" customHeight="1" outlineLevel="1">
      <c r="A36" s="52"/>
      <c r="B36" s="12" t="s">
        <v>25</v>
      </c>
      <c r="C36" s="12"/>
      <c r="D36" s="12"/>
      <c r="E36" s="13" t="s">
        <v>461</v>
      </c>
      <c r="F36" s="14"/>
      <c r="G36" s="37"/>
      <c r="H36" s="48"/>
      <c r="I36" s="66"/>
      <c r="J36" s="66"/>
    </row>
    <row r="37" spans="1:12" ht="20.100000000000001" customHeight="1" outlineLevel="1">
      <c r="A37" s="52"/>
      <c r="B37" s="50" t="s">
        <v>57</v>
      </c>
      <c r="C37" s="71">
        <v>92608</v>
      </c>
      <c r="D37" s="15" t="s">
        <v>26</v>
      </c>
      <c r="E37" s="14" t="s">
        <v>459</v>
      </c>
      <c r="F37" s="50" t="s">
        <v>139</v>
      </c>
      <c r="G37" s="37">
        <v>6</v>
      </c>
      <c r="H37" s="48">
        <v>1214</v>
      </c>
      <c r="I37" s="66">
        <f>(H37*$J$7)+H37</f>
        <v>1565.0888</v>
      </c>
      <c r="J37" s="66">
        <f>G37*I37</f>
        <v>9390.5328000000009</v>
      </c>
    </row>
    <row r="38" spans="1:12" ht="20.100000000000001" customHeight="1" outlineLevel="1">
      <c r="A38" s="52"/>
      <c r="B38" s="50" t="s">
        <v>335</v>
      </c>
      <c r="C38" s="71">
        <v>92602</v>
      </c>
      <c r="D38" s="15" t="s">
        <v>26</v>
      </c>
      <c r="E38" s="14" t="s">
        <v>462</v>
      </c>
      <c r="F38" s="50" t="s">
        <v>139</v>
      </c>
      <c r="G38" s="37">
        <v>2</v>
      </c>
      <c r="H38" s="48">
        <v>670</v>
      </c>
      <c r="I38" s="66">
        <f>(H38*$J$7)+H38</f>
        <v>863.76400000000001</v>
      </c>
      <c r="J38" s="66">
        <f>G38*I38</f>
        <v>1727.528</v>
      </c>
    </row>
    <row r="39" spans="1:12" ht="18.75" customHeight="1" outlineLevel="1">
      <c r="A39" s="52"/>
      <c r="B39" s="50" t="s">
        <v>411</v>
      </c>
      <c r="C39" s="71">
        <v>92413</v>
      </c>
      <c r="D39" s="15" t="s">
        <v>26</v>
      </c>
      <c r="E39" s="16" t="s">
        <v>61</v>
      </c>
      <c r="F39" s="50" t="s">
        <v>27</v>
      </c>
      <c r="G39" s="48">
        <f>(13/3)*(0.15+0.4+0.15+0.4)*3</f>
        <v>14.3</v>
      </c>
      <c r="H39" s="48">
        <v>101</v>
      </c>
      <c r="I39" s="66">
        <f>(H39*$J$7)+H39</f>
        <v>130.20920000000001</v>
      </c>
      <c r="J39" s="66">
        <f>G39*I39</f>
        <v>1861.9915600000002</v>
      </c>
      <c r="L39" s="149"/>
    </row>
    <row r="40" spans="1:12" ht="18.75" customHeight="1" outlineLevel="1">
      <c r="A40" s="52"/>
      <c r="B40" s="50" t="s">
        <v>412</v>
      </c>
      <c r="C40" s="71">
        <v>92762</v>
      </c>
      <c r="D40" s="15" t="s">
        <v>26</v>
      </c>
      <c r="E40" s="49" t="s">
        <v>101</v>
      </c>
      <c r="F40" s="50" t="s">
        <v>28</v>
      </c>
      <c r="G40" s="48">
        <f>((13*1.25)*7.4)</f>
        <v>120.25</v>
      </c>
      <c r="H40" s="48">
        <v>10</v>
      </c>
      <c r="I40" s="66">
        <f t="shared" ref="I40" si="11">(H40*$J$7)+H40</f>
        <v>12.891999999999999</v>
      </c>
      <c r="J40" s="66">
        <f t="shared" ref="J40" si="12">G40*I40</f>
        <v>1550.2629999999999</v>
      </c>
    </row>
    <row r="41" spans="1:12" ht="18.75" customHeight="1" outlineLevel="1">
      <c r="A41" s="52"/>
      <c r="B41" s="50" t="s">
        <v>460</v>
      </c>
      <c r="C41" s="71">
        <v>92759</v>
      </c>
      <c r="D41" s="15" t="s">
        <v>26</v>
      </c>
      <c r="E41" s="49" t="s">
        <v>102</v>
      </c>
      <c r="F41" s="50" t="s">
        <v>28</v>
      </c>
      <c r="G41" s="48">
        <f>(((20*13*1))/12)*1.85</f>
        <v>40.083333333333336</v>
      </c>
      <c r="H41" s="48">
        <v>13</v>
      </c>
      <c r="I41" s="66">
        <f>(H41*$J$7)+H41</f>
        <v>16.759599999999999</v>
      </c>
      <c r="J41" s="66">
        <f t="shared" ref="J41:J48" si="13">G41*I41</f>
        <v>671.7806333333333</v>
      </c>
      <c r="L41" s="149"/>
    </row>
    <row r="42" spans="1:12" ht="18.75" customHeight="1" outlineLevel="1">
      <c r="A42" s="52"/>
      <c r="B42" s="50" t="s">
        <v>463</v>
      </c>
      <c r="C42" s="71">
        <v>103672</v>
      </c>
      <c r="D42" s="15" t="s">
        <v>26</v>
      </c>
      <c r="E42" s="49" t="s">
        <v>103</v>
      </c>
      <c r="F42" s="50" t="s">
        <v>24</v>
      </c>
      <c r="G42" s="48">
        <f>(13*0.15*0.4*3)</f>
        <v>2.34</v>
      </c>
      <c r="H42" s="48">
        <v>815</v>
      </c>
      <c r="I42" s="66">
        <f t="shared" ref="I42:I47" si="14">(H42*$J$7)+H42</f>
        <v>1050.6980000000001</v>
      </c>
      <c r="J42" s="66">
        <f>G42*I42</f>
        <v>2458.6333199999999</v>
      </c>
    </row>
    <row r="43" spans="1:12" ht="20.100000000000001" customHeight="1" outlineLevel="1">
      <c r="A43" s="52"/>
      <c r="B43" s="12" t="s">
        <v>336</v>
      </c>
      <c r="C43" s="12"/>
      <c r="D43" s="12"/>
      <c r="E43" s="13" t="s">
        <v>206</v>
      </c>
      <c r="F43" s="14"/>
      <c r="G43" s="48"/>
      <c r="H43" s="48"/>
      <c r="I43" s="66"/>
      <c r="J43" s="66"/>
    </row>
    <row r="44" spans="1:12" ht="18.75" customHeight="1" outlineLevel="1">
      <c r="A44" s="52"/>
      <c r="B44" s="50" t="s">
        <v>337</v>
      </c>
      <c r="C44" s="71">
        <v>92270</v>
      </c>
      <c r="D44" s="15" t="s">
        <v>26</v>
      </c>
      <c r="E44" s="49" t="s">
        <v>60</v>
      </c>
      <c r="F44" s="50" t="s">
        <v>27</v>
      </c>
      <c r="G44" s="48">
        <f>((10+22.5+10+48+35.5)*0.3*2)/2</f>
        <v>37.799999999999997</v>
      </c>
      <c r="H44" s="48">
        <v>174</v>
      </c>
      <c r="I44" s="66">
        <f>(H44*$J$7)+H44</f>
        <v>224.32080000000002</v>
      </c>
      <c r="J44" s="66">
        <f t="shared" si="13"/>
        <v>8479.3262400000003</v>
      </c>
    </row>
    <row r="45" spans="1:12" ht="18.75" customHeight="1" outlineLevel="1">
      <c r="A45" s="52"/>
      <c r="B45" s="50" t="s">
        <v>413</v>
      </c>
      <c r="C45" s="71">
        <v>92762</v>
      </c>
      <c r="D45" s="15" t="s">
        <v>26</v>
      </c>
      <c r="E45" s="49" t="s">
        <v>101</v>
      </c>
      <c r="F45" s="50" t="s">
        <v>28</v>
      </c>
      <c r="G45" s="48">
        <f>(((10+22.5+10+48+35.5)*4)/12)*7.4</f>
        <v>310.8</v>
      </c>
      <c r="H45" s="48">
        <v>10</v>
      </c>
      <c r="I45" s="66">
        <f t="shared" si="14"/>
        <v>12.891999999999999</v>
      </c>
      <c r="J45" s="66">
        <f t="shared" si="13"/>
        <v>4006.8335999999999</v>
      </c>
      <c r="L45" s="149"/>
    </row>
    <row r="46" spans="1:12" ht="18.75" customHeight="1" outlineLevel="1">
      <c r="A46" s="52"/>
      <c r="B46" s="50" t="s">
        <v>414</v>
      </c>
      <c r="C46" s="71">
        <v>92759</v>
      </c>
      <c r="D46" s="15" t="s">
        <v>26</v>
      </c>
      <c r="E46" s="49" t="s">
        <v>102</v>
      </c>
      <c r="F46" s="50" t="s">
        <v>28</v>
      </c>
      <c r="G46" s="48">
        <f>((((10+22.5+10+48+35.5)/0.15)*1)/12)*1.85</f>
        <v>129.5</v>
      </c>
      <c r="H46" s="48">
        <v>13</v>
      </c>
      <c r="I46" s="66">
        <f>(H46*$J$7)+H46</f>
        <v>16.759599999999999</v>
      </c>
      <c r="J46" s="66">
        <f t="shared" si="13"/>
        <v>2170.3681999999999</v>
      </c>
    </row>
    <row r="47" spans="1:12" ht="18.75" customHeight="1" outlineLevel="1">
      <c r="A47" s="52"/>
      <c r="B47" s="50" t="s">
        <v>415</v>
      </c>
      <c r="C47" s="71">
        <v>103675</v>
      </c>
      <c r="D47" s="15" t="s">
        <v>26</v>
      </c>
      <c r="E47" s="49" t="s">
        <v>59</v>
      </c>
      <c r="F47" s="50" t="s">
        <v>24</v>
      </c>
      <c r="G47" s="48">
        <f>((((10+22.5+10+48+35.5)*0.15*0.3)))</f>
        <v>5.669999999999999</v>
      </c>
      <c r="H47" s="48">
        <v>820</v>
      </c>
      <c r="I47" s="66">
        <f t="shared" si="14"/>
        <v>1057.144</v>
      </c>
      <c r="J47" s="66">
        <f t="shared" si="13"/>
        <v>5994.0064799999991</v>
      </c>
    </row>
    <row r="48" spans="1:12" ht="20.100000000000001" customHeight="1" outlineLevel="1">
      <c r="A48" s="52"/>
      <c r="B48" s="12" t="s">
        <v>338</v>
      </c>
      <c r="C48" s="12"/>
      <c r="D48" s="12"/>
      <c r="E48" s="13" t="s">
        <v>36</v>
      </c>
      <c r="F48" s="14"/>
      <c r="G48" s="48"/>
      <c r="H48" s="48"/>
      <c r="I48" s="66"/>
      <c r="J48" s="66">
        <f t="shared" si="13"/>
        <v>0</v>
      </c>
    </row>
    <row r="49" spans="1:10" ht="20.100000000000001" customHeight="1" outlineLevel="1">
      <c r="A49" s="52"/>
      <c r="B49" s="50" t="s">
        <v>339</v>
      </c>
      <c r="C49" s="71">
        <v>93187</v>
      </c>
      <c r="D49" s="50" t="s">
        <v>26</v>
      </c>
      <c r="E49" s="49" t="s">
        <v>104</v>
      </c>
      <c r="F49" s="50" t="s">
        <v>30</v>
      </c>
      <c r="G49" s="48">
        <f>(((6*0.8)))</f>
        <v>4.8000000000000007</v>
      </c>
      <c r="H49" s="48">
        <v>78</v>
      </c>
      <c r="I49" s="66">
        <f t="shared" ref="I49" si="15">(H49*$J$7)+H49</f>
        <v>100.55760000000001</v>
      </c>
      <c r="J49" s="66">
        <f t="shared" ref="J49:J53" si="16">G49*I49</f>
        <v>482.67648000000008</v>
      </c>
    </row>
    <row r="50" spans="1:10" ht="20.100000000000001" customHeight="1" outlineLevel="1">
      <c r="A50" s="52"/>
      <c r="B50" s="12" t="s">
        <v>416</v>
      </c>
      <c r="C50" s="12"/>
      <c r="D50" s="12"/>
      <c r="E50" s="13" t="s">
        <v>252</v>
      </c>
      <c r="F50" s="14"/>
      <c r="G50" s="48"/>
      <c r="H50" s="48"/>
      <c r="I50" s="66"/>
      <c r="J50" s="66">
        <f t="shared" si="16"/>
        <v>0</v>
      </c>
    </row>
    <row r="51" spans="1:10" ht="20.100000000000001" customHeight="1" outlineLevel="1">
      <c r="A51" s="52"/>
      <c r="B51" s="50" t="s">
        <v>417</v>
      </c>
      <c r="C51" s="71">
        <v>92762</v>
      </c>
      <c r="D51" s="15" t="s">
        <v>26</v>
      </c>
      <c r="E51" s="49" t="s">
        <v>101</v>
      </c>
      <c r="F51" s="50" t="s">
        <v>28</v>
      </c>
      <c r="G51" s="48">
        <f>(((10+22.5+10+48+35.5)*4)/12)*7.4</f>
        <v>310.8</v>
      </c>
      <c r="H51" s="48">
        <v>10</v>
      </c>
      <c r="I51" s="66">
        <f t="shared" ref="I51:I53" si="17">(H51*$J$7)+H51</f>
        <v>12.891999999999999</v>
      </c>
      <c r="J51" s="66">
        <f t="shared" si="16"/>
        <v>4006.8335999999999</v>
      </c>
    </row>
    <row r="52" spans="1:10" ht="20.100000000000001" customHeight="1" outlineLevel="1">
      <c r="A52" s="52"/>
      <c r="B52" s="50" t="s">
        <v>418</v>
      </c>
      <c r="C52" s="71">
        <v>92759</v>
      </c>
      <c r="D52" s="15" t="s">
        <v>26</v>
      </c>
      <c r="E52" s="49" t="s">
        <v>102</v>
      </c>
      <c r="F52" s="50" t="s">
        <v>28</v>
      </c>
      <c r="G52" s="48">
        <f>((((10+22.5+10+48+35.5)/0.15)*1)/12)*1.85</f>
        <v>129.5</v>
      </c>
      <c r="H52" s="48">
        <v>13</v>
      </c>
      <c r="I52" s="66">
        <f t="shared" si="17"/>
        <v>16.759599999999999</v>
      </c>
      <c r="J52" s="66">
        <f t="shared" si="16"/>
        <v>2170.3681999999999</v>
      </c>
    </row>
    <row r="53" spans="1:10" ht="18.75" customHeight="1" outlineLevel="1">
      <c r="A53" s="52"/>
      <c r="B53" s="50" t="s">
        <v>419</v>
      </c>
      <c r="C53" s="71">
        <v>103675</v>
      </c>
      <c r="D53" s="15" t="s">
        <v>26</v>
      </c>
      <c r="E53" s="49" t="s">
        <v>59</v>
      </c>
      <c r="F53" s="50" t="s">
        <v>24</v>
      </c>
      <c r="G53" s="48">
        <f>((((10+22.5+10+48+35.5)*0.15*0.3)))</f>
        <v>5.669999999999999</v>
      </c>
      <c r="H53" s="48">
        <v>820</v>
      </c>
      <c r="I53" s="66">
        <f t="shared" si="17"/>
        <v>1057.144</v>
      </c>
      <c r="J53" s="66">
        <f t="shared" si="16"/>
        <v>5994.0064799999991</v>
      </c>
    </row>
    <row r="54" spans="1:10" ht="20.100000000000001" customHeight="1" outlineLevel="1">
      <c r="A54" s="52"/>
      <c r="B54" s="58"/>
      <c r="C54" s="59"/>
      <c r="D54" s="59"/>
      <c r="E54" s="59"/>
      <c r="F54" s="59"/>
      <c r="G54" s="59"/>
      <c r="H54" s="60" t="s">
        <v>44</v>
      </c>
      <c r="I54" s="17"/>
      <c r="J54" s="67">
        <f>SUM(J37:J53)</f>
        <v>50965.148593333324</v>
      </c>
    </row>
    <row r="55" spans="1:10" ht="20.100000000000001" customHeight="1">
      <c r="A55" s="52"/>
      <c r="B55" s="52"/>
      <c r="C55" s="52"/>
      <c r="D55" s="52"/>
      <c r="E55" s="26"/>
      <c r="F55" s="52"/>
      <c r="G55" s="35"/>
      <c r="H55" s="34"/>
      <c r="I55" s="8"/>
      <c r="J55" s="56"/>
    </row>
    <row r="56" spans="1:10" ht="20.100000000000001" customHeight="1">
      <c r="A56" s="52"/>
      <c r="B56" s="147">
        <v>5</v>
      </c>
      <c r="C56" s="30"/>
      <c r="D56" s="30"/>
      <c r="E56" s="22" t="s">
        <v>85</v>
      </c>
      <c r="F56" s="22"/>
      <c r="G56" s="38"/>
      <c r="H56" s="38"/>
      <c r="I56" s="22"/>
      <c r="J56" s="57"/>
    </row>
    <row r="57" spans="1:10" ht="20.100000000000001" customHeight="1" outlineLevel="1">
      <c r="A57" s="52"/>
      <c r="B57" s="27" t="s">
        <v>119</v>
      </c>
      <c r="C57" s="27"/>
      <c r="D57" s="27"/>
      <c r="E57" s="20" t="s">
        <v>37</v>
      </c>
      <c r="F57" s="15"/>
      <c r="G57" s="48"/>
      <c r="H57" s="48"/>
      <c r="I57" s="66"/>
      <c r="J57" s="66"/>
    </row>
    <row r="58" spans="1:10" ht="26.25" customHeight="1" outlineLevel="1">
      <c r="A58" s="52"/>
      <c r="B58" s="15" t="s">
        <v>180</v>
      </c>
      <c r="C58" s="72">
        <v>101159</v>
      </c>
      <c r="D58" s="15" t="s">
        <v>26</v>
      </c>
      <c r="E58" s="49" t="s">
        <v>420</v>
      </c>
      <c r="F58" s="15" t="s">
        <v>27</v>
      </c>
      <c r="G58" s="48">
        <f>((10+10+22.5))*6+(12+35.5)*2.7</f>
        <v>383.25</v>
      </c>
      <c r="H58" s="48">
        <v>144</v>
      </c>
      <c r="I58" s="66">
        <f t="shared" ref="I58" si="18">(H58*$J$7)+H58</f>
        <v>185.6448</v>
      </c>
      <c r="J58" s="66">
        <f t="shared" ref="J58" si="19">G58*I58</f>
        <v>71148.369600000005</v>
      </c>
    </row>
    <row r="59" spans="1:10" ht="32.25" customHeight="1" outlineLevel="1">
      <c r="A59" s="52"/>
      <c r="B59" s="15" t="s">
        <v>120</v>
      </c>
      <c r="C59" s="72">
        <v>103324</v>
      </c>
      <c r="D59" s="15" t="s">
        <v>26</v>
      </c>
      <c r="E59" s="49" t="s">
        <v>438</v>
      </c>
      <c r="F59" s="15" t="s">
        <v>27</v>
      </c>
      <c r="G59" s="48">
        <f>44*2.7</f>
        <v>118.80000000000001</v>
      </c>
      <c r="H59" s="48">
        <v>84</v>
      </c>
      <c r="I59" s="66">
        <f t="shared" ref="I59" si="20">(H59*$J$7)+H59</f>
        <v>108.2928</v>
      </c>
      <c r="J59" s="66">
        <f t="shared" ref="J59" si="21">G59*I59</f>
        <v>12865.184640000001</v>
      </c>
    </row>
    <row r="60" spans="1:10" ht="20.100000000000001" customHeight="1" outlineLevel="1">
      <c r="A60" s="52"/>
      <c r="B60" s="58"/>
      <c r="C60" s="59"/>
      <c r="D60" s="59"/>
      <c r="E60" s="59"/>
      <c r="F60" s="59"/>
      <c r="G60" s="59"/>
      <c r="H60" s="60" t="s">
        <v>44</v>
      </c>
      <c r="I60" s="17"/>
      <c r="J60" s="67">
        <f>SUM(J57:J59)</f>
        <v>84013.554240000012</v>
      </c>
    </row>
    <row r="61" spans="1:10" ht="20.100000000000001" customHeight="1">
      <c r="A61" s="52"/>
      <c r="B61" s="52"/>
      <c r="C61" s="52"/>
      <c r="D61" s="52"/>
      <c r="E61" s="26"/>
      <c r="F61" s="52"/>
      <c r="G61" s="35"/>
      <c r="H61" s="34"/>
      <c r="I61" s="8"/>
      <c r="J61" s="56"/>
    </row>
    <row r="62" spans="1:10" ht="20.100000000000001" customHeight="1">
      <c r="A62" s="52"/>
      <c r="B62" s="147">
        <v>6</v>
      </c>
      <c r="C62" s="21"/>
      <c r="D62" s="21"/>
      <c r="E62" s="22" t="s">
        <v>38</v>
      </c>
      <c r="F62" s="22"/>
      <c r="G62" s="38"/>
      <c r="H62" s="38"/>
      <c r="I62" s="22"/>
      <c r="J62" s="57"/>
    </row>
    <row r="63" spans="1:10" ht="20.100000000000001" customHeight="1" outlineLevel="1">
      <c r="A63" s="52"/>
      <c r="B63" s="12" t="s">
        <v>29</v>
      </c>
      <c r="C63" s="15"/>
      <c r="D63" s="12"/>
      <c r="E63" s="17" t="s">
        <v>235</v>
      </c>
      <c r="F63" s="17"/>
      <c r="G63" s="36"/>
      <c r="H63" s="48"/>
      <c r="I63" s="66"/>
      <c r="J63" s="66"/>
    </row>
    <row r="64" spans="1:10" s="51" customFormat="1" ht="25.5" customHeight="1" outlineLevel="1">
      <c r="A64" s="52"/>
      <c r="B64" s="50" t="s">
        <v>421</v>
      </c>
      <c r="C64" s="72">
        <v>91341</v>
      </c>
      <c r="D64" s="15" t="s">
        <v>26</v>
      </c>
      <c r="E64" s="49" t="s">
        <v>437</v>
      </c>
      <c r="F64" s="50" t="s">
        <v>27</v>
      </c>
      <c r="G64" s="48">
        <f>0.9*1.8*2</f>
        <v>3.24</v>
      </c>
      <c r="H64" s="48">
        <v>870</v>
      </c>
      <c r="I64" s="66">
        <f t="shared" ref="I64" si="22">(H64*$J$7)+H64</f>
        <v>1121.604</v>
      </c>
      <c r="J64" s="66">
        <f t="shared" ref="J64" si="23">G64*I64</f>
        <v>3633.9969600000004</v>
      </c>
    </row>
    <row r="65" spans="1:10" ht="25.5" customHeight="1" outlineLevel="1">
      <c r="A65" s="52"/>
      <c r="B65" s="50" t="s">
        <v>422</v>
      </c>
      <c r="C65" s="72">
        <v>91341</v>
      </c>
      <c r="D65" s="15" t="s">
        <v>26</v>
      </c>
      <c r="E65" s="49" t="s">
        <v>424</v>
      </c>
      <c r="F65" s="50" t="s">
        <v>27</v>
      </c>
      <c r="G65" s="48">
        <f>16*0.7*1.8</f>
        <v>20.16</v>
      </c>
      <c r="H65" s="48">
        <v>870</v>
      </c>
      <c r="I65" s="66">
        <f t="shared" ref="I65:I68" si="24">(H65*$J$7)+H65</f>
        <v>1121.604</v>
      </c>
      <c r="J65" s="66">
        <f t="shared" ref="J65:J68" si="25">G65*I65</f>
        <v>22611.536640000002</v>
      </c>
    </row>
    <row r="66" spans="1:10" ht="25.5" customHeight="1" outlineLevel="1">
      <c r="A66" s="52"/>
      <c r="B66" s="50" t="s">
        <v>423</v>
      </c>
      <c r="C66" s="72">
        <v>91341</v>
      </c>
      <c r="D66" s="15" t="s">
        <v>26</v>
      </c>
      <c r="E66" s="49" t="s">
        <v>425</v>
      </c>
      <c r="F66" s="50" t="s">
        <v>27</v>
      </c>
      <c r="G66" s="48">
        <f>0.9*2.1*5</f>
        <v>9.4500000000000011</v>
      </c>
      <c r="H66" s="48">
        <v>870</v>
      </c>
      <c r="I66" s="66">
        <f t="shared" ref="I66" si="26">(H66*$J$7)+H66</f>
        <v>1121.604</v>
      </c>
      <c r="J66" s="66">
        <f t="shared" ref="J66" si="27">G66*I66</f>
        <v>10599.157800000001</v>
      </c>
    </row>
    <row r="67" spans="1:10" ht="25.5" customHeight="1" outlineLevel="1">
      <c r="A67" s="52"/>
      <c r="B67" s="12" t="s">
        <v>340</v>
      </c>
      <c r="C67" s="15"/>
      <c r="D67" s="12"/>
      <c r="E67" s="17" t="s">
        <v>236</v>
      </c>
      <c r="F67" s="17"/>
      <c r="G67" s="36"/>
      <c r="H67" s="48"/>
      <c r="I67" s="66"/>
      <c r="J67" s="66"/>
    </row>
    <row r="68" spans="1:10" ht="34.5" customHeight="1" outlineLevel="1">
      <c r="A68" s="52"/>
      <c r="B68" s="50" t="s">
        <v>431</v>
      </c>
      <c r="C68" s="72"/>
      <c r="D68" s="15" t="s">
        <v>1</v>
      </c>
      <c r="E68" s="49" t="s">
        <v>426</v>
      </c>
      <c r="F68" s="50" t="s">
        <v>139</v>
      </c>
      <c r="G68" s="48">
        <v>3</v>
      </c>
      <c r="H68" s="48">
        <v>8500</v>
      </c>
      <c r="I68" s="66">
        <f t="shared" si="24"/>
        <v>10958.2</v>
      </c>
      <c r="J68" s="66">
        <f t="shared" si="25"/>
        <v>32874.600000000006</v>
      </c>
    </row>
    <row r="69" spans="1:10" s="19" customFormat="1" ht="20.100000000000001" customHeight="1" outlineLevel="1">
      <c r="A69" s="52"/>
      <c r="B69" s="12" t="s">
        <v>341</v>
      </c>
      <c r="C69" s="15"/>
      <c r="D69" s="12"/>
      <c r="E69" s="17" t="s">
        <v>143</v>
      </c>
      <c r="F69" s="17"/>
      <c r="G69" s="48"/>
      <c r="H69" s="48"/>
      <c r="I69" s="66"/>
      <c r="J69" s="66"/>
    </row>
    <row r="70" spans="1:10" s="19" customFormat="1" ht="26.25" customHeight="1" outlineLevel="1">
      <c r="A70" s="52"/>
      <c r="B70" s="50" t="s">
        <v>432</v>
      </c>
      <c r="C70" s="72">
        <v>94559</v>
      </c>
      <c r="D70" s="15" t="s">
        <v>26</v>
      </c>
      <c r="E70" s="49" t="s">
        <v>427</v>
      </c>
      <c r="F70" s="15" t="s">
        <v>27</v>
      </c>
      <c r="G70" s="48">
        <f>4.4*2</f>
        <v>8.8000000000000007</v>
      </c>
      <c r="H70" s="48">
        <v>650</v>
      </c>
      <c r="I70" s="66">
        <f t="shared" ref="I70" si="28">(H70*$J$7)+H70</f>
        <v>837.98</v>
      </c>
      <c r="J70" s="66">
        <f t="shared" ref="J70" si="29">G70*I70</f>
        <v>7374.2240000000011</v>
      </c>
    </row>
    <row r="71" spans="1:10" s="19" customFormat="1" ht="24.75" customHeight="1" outlineLevel="1">
      <c r="A71" s="52"/>
      <c r="B71" s="50" t="s">
        <v>433</v>
      </c>
      <c r="C71" s="72">
        <v>94559</v>
      </c>
      <c r="D71" s="15" t="s">
        <v>26</v>
      </c>
      <c r="E71" s="49" t="s">
        <v>428</v>
      </c>
      <c r="F71" s="15" t="s">
        <v>27</v>
      </c>
      <c r="G71" s="48">
        <f>6*2*0.6</f>
        <v>7.1999999999999993</v>
      </c>
      <c r="H71" s="48">
        <v>650</v>
      </c>
      <c r="I71" s="66">
        <f t="shared" ref="I71" si="30">(H71*$J$7)+H71</f>
        <v>837.98</v>
      </c>
      <c r="J71" s="66">
        <f t="shared" ref="J71" si="31">G71*I71</f>
        <v>6033.4559999999992</v>
      </c>
    </row>
    <row r="72" spans="1:10" s="19" customFormat="1" ht="24" customHeight="1" outlineLevel="1">
      <c r="A72" s="52"/>
      <c r="B72" s="50" t="s">
        <v>434</v>
      </c>
      <c r="C72" s="72">
        <v>94559</v>
      </c>
      <c r="D72" s="15" t="s">
        <v>26</v>
      </c>
      <c r="E72" s="49" t="s">
        <v>429</v>
      </c>
      <c r="F72" s="15" t="s">
        <v>27</v>
      </c>
      <c r="G72" s="48">
        <f>0.6*0.6*1</f>
        <v>0.36</v>
      </c>
      <c r="H72" s="48">
        <v>650</v>
      </c>
      <c r="I72" s="66">
        <f t="shared" ref="I72:I73" si="32">(H72*$J$7)+H72</f>
        <v>837.98</v>
      </c>
      <c r="J72" s="66">
        <f t="shared" ref="J72:J73" si="33">G72*I72</f>
        <v>301.6728</v>
      </c>
    </row>
    <row r="73" spans="1:10" s="19" customFormat="1" ht="23.25" customHeight="1" outlineLevel="1">
      <c r="A73" s="52"/>
      <c r="B73" s="50" t="s">
        <v>435</v>
      </c>
      <c r="C73" s="72">
        <v>94559</v>
      </c>
      <c r="D73" s="15" t="s">
        <v>26</v>
      </c>
      <c r="E73" s="49" t="s">
        <v>430</v>
      </c>
      <c r="F73" s="15" t="s">
        <v>27</v>
      </c>
      <c r="G73" s="48">
        <f>1*0.6*1</f>
        <v>0.6</v>
      </c>
      <c r="H73" s="48">
        <v>650</v>
      </c>
      <c r="I73" s="66">
        <f t="shared" si="32"/>
        <v>837.98</v>
      </c>
      <c r="J73" s="66">
        <f t="shared" si="33"/>
        <v>502.78800000000001</v>
      </c>
    </row>
    <row r="74" spans="1:10" s="19" customFormat="1" ht="19.5" customHeight="1" outlineLevel="1">
      <c r="A74" s="52"/>
      <c r="B74" s="50" t="s">
        <v>436</v>
      </c>
      <c r="C74" s="71">
        <v>101965</v>
      </c>
      <c r="D74" s="15" t="s">
        <v>26</v>
      </c>
      <c r="E74" s="49" t="s">
        <v>109</v>
      </c>
      <c r="F74" s="15" t="s">
        <v>30</v>
      </c>
      <c r="G74" s="48">
        <f>(6*2)+0.6+1+(4.4*2)</f>
        <v>22.4</v>
      </c>
      <c r="H74" s="48">
        <v>184</v>
      </c>
      <c r="I74" s="66">
        <f t="shared" ref="I74" si="34">(H74*$J$7)+H74</f>
        <v>237.21280000000002</v>
      </c>
      <c r="J74" s="66">
        <f t="shared" ref="J74" si="35">G74*I74</f>
        <v>5313.5667199999998</v>
      </c>
    </row>
    <row r="75" spans="1:10" ht="20.100000000000001" customHeight="1" outlineLevel="1">
      <c r="A75" s="52"/>
      <c r="B75" s="58"/>
      <c r="C75" s="59"/>
      <c r="D75" s="59"/>
      <c r="E75" s="59"/>
      <c r="F75" s="59"/>
      <c r="G75" s="59"/>
      <c r="H75" s="60" t="s">
        <v>44</v>
      </c>
      <c r="I75" s="17"/>
      <c r="J75" s="67">
        <f>SUM(J64:J74)</f>
        <v>89244.998920000027</v>
      </c>
    </row>
    <row r="76" spans="1:10" ht="20.100000000000001" customHeight="1">
      <c r="A76" s="52"/>
      <c r="B76" s="52"/>
      <c r="C76" s="52"/>
      <c r="D76" s="52"/>
      <c r="E76" s="26"/>
      <c r="F76" s="52"/>
      <c r="G76" s="35"/>
      <c r="H76" s="34"/>
      <c r="I76" s="8"/>
      <c r="J76" s="56"/>
    </row>
    <row r="77" spans="1:10" ht="20.100000000000001" customHeight="1">
      <c r="A77" s="52"/>
      <c r="B77" s="147">
        <v>7</v>
      </c>
      <c r="C77" s="21"/>
      <c r="D77" s="21"/>
      <c r="E77" s="22" t="s">
        <v>41</v>
      </c>
      <c r="F77" s="22"/>
      <c r="G77" s="38"/>
      <c r="H77" s="38"/>
      <c r="I77" s="22"/>
      <c r="J77" s="57"/>
    </row>
    <row r="78" spans="1:10" ht="25.5" customHeight="1" outlineLevel="1">
      <c r="A78" s="52"/>
      <c r="B78" s="15" t="s">
        <v>31</v>
      </c>
      <c r="C78" s="72">
        <v>92618</v>
      </c>
      <c r="D78" s="15" t="s">
        <v>26</v>
      </c>
      <c r="E78" s="49" t="s">
        <v>439</v>
      </c>
      <c r="F78" s="50" t="s">
        <v>23</v>
      </c>
      <c r="G78" s="48">
        <v>4</v>
      </c>
      <c r="H78" s="48">
        <v>2250</v>
      </c>
      <c r="I78" s="66">
        <f t="shared" ref="I78:I83" si="36">(H78*$J$7)+H78</f>
        <v>2900.7</v>
      </c>
      <c r="J78" s="66">
        <f t="shared" ref="J78:J83" si="37">G78*I78</f>
        <v>11602.8</v>
      </c>
    </row>
    <row r="79" spans="1:10" ht="25.5" customHeight="1" outlineLevel="1">
      <c r="A79" s="52"/>
      <c r="B79" s="15" t="s">
        <v>342</v>
      </c>
      <c r="C79" s="72">
        <v>92608</v>
      </c>
      <c r="D79" s="15" t="s">
        <v>26</v>
      </c>
      <c r="E79" s="49" t="s">
        <v>440</v>
      </c>
      <c r="F79" s="50" t="s">
        <v>23</v>
      </c>
      <c r="G79" s="48">
        <v>8</v>
      </c>
      <c r="H79" s="48">
        <v>1210</v>
      </c>
      <c r="I79" s="66">
        <f t="shared" ref="I79" si="38">(H79*$J$7)+H79</f>
        <v>1559.932</v>
      </c>
      <c r="J79" s="66">
        <f t="shared" ref="J79" si="39">G79*I79</f>
        <v>12479.456</v>
      </c>
    </row>
    <row r="80" spans="1:10" ht="25.5" customHeight="1" outlineLevel="1">
      <c r="A80" s="52"/>
      <c r="B80" s="15" t="s">
        <v>444</v>
      </c>
      <c r="C80" s="72">
        <v>92570</v>
      </c>
      <c r="D80" s="15" t="s">
        <v>26</v>
      </c>
      <c r="E80" s="49" t="s">
        <v>468</v>
      </c>
      <c r="F80" s="15" t="s">
        <v>27</v>
      </c>
      <c r="G80" s="48">
        <f>(10*22.25)+(6*35.5)+49.5</f>
        <v>485</v>
      </c>
      <c r="H80" s="48">
        <v>47.5</v>
      </c>
      <c r="I80" s="66">
        <f t="shared" si="36"/>
        <v>61.237000000000002</v>
      </c>
      <c r="J80" s="66">
        <f t="shared" si="37"/>
        <v>29699.945</v>
      </c>
    </row>
    <row r="81" spans="1:10" ht="25.5" customHeight="1" outlineLevel="1">
      <c r="A81" s="52"/>
      <c r="B81" s="15" t="s">
        <v>445</v>
      </c>
      <c r="C81" s="72">
        <v>94213</v>
      </c>
      <c r="D81" s="15" t="s">
        <v>26</v>
      </c>
      <c r="E81" s="49" t="s">
        <v>441</v>
      </c>
      <c r="F81" s="15" t="s">
        <v>27</v>
      </c>
      <c r="G81" s="48">
        <f>G80</f>
        <v>485</v>
      </c>
      <c r="H81" s="48">
        <v>66</v>
      </c>
      <c r="I81" s="66">
        <f t="shared" ref="I81:I82" si="40">(H81*$J$7)+H81</f>
        <v>85.087199999999996</v>
      </c>
      <c r="J81" s="66">
        <f t="shared" ref="J81:J82" si="41">G81*I81</f>
        <v>41267.292000000001</v>
      </c>
    </row>
    <row r="82" spans="1:10" ht="25.5" customHeight="1" outlineLevel="1">
      <c r="A82" s="52"/>
      <c r="B82" s="15" t="s">
        <v>446</v>
      </c>
      <c r="C82" s="72">
        <v>94231</v>
      </c>
      <c r="D82" s="15" t="s">
        <v>26</v>
      </c>
      <c r="E82" s="49" t="s">
        <v>442</v>
      </c>
      <c r="F82" s="15" t="s">
        <v>30</v>
      </c>
      <c r="G82" s="48">
        <f>35.5+9</f>
        <v>44.5</v>
      </c>
      <c r="H82" s="48">
        <v>55</v>
      </c>
      <c r="I82" s="66">
        <f t="shared" si="40"/>
        <v>70.906000000000006</v>
      </c>
      <c r="J82" s="66">
        <f t="shared" si="41"/>
        <v>3155.3170000000005</v>
      </c>
    </row>
    <row r="83" spans="1:10" ht="19.5" customHeight="1" outlineLevel="1">
      <c r="A83" s="52"/>
      <c r="B83" s="15" t="s">
        <v>447</v>
      </c>
      <c r="C83" s="72">
        <v>94228</v>
      </c>
      <c r="D83" s="15" t="s">
        <v>26</v>
      </c>
      <c r="E83" s="49" t="s">
        <v>443</v>
      </c>
      <c r="F83" s="15" t="s">
        <v>30</v>
      </c>
      <c r="G83" s="48">
        <f>10+35.5+10</f>
        <v>55.5</v>
      </c>
      <c r="H83" s="48">
        <v>98</v>
      </c>
      <c r="I83" s="66">
        <f t="shared" si="36"/>
        <v>126.3416</v>
      </c>
      <c r="J83" s="66">
        <f t="shared" si="37"/>
        <v>7011.9588000000003</v>
      </c>
    </row>
    <row r="84" spans="1:10" ht="20.100000000000001" customHeight="1" outlineLevel="1">
      <c r="A84" s="52"/>
      <c r="B84" s="58"/>
      <c r="C84" s="59"/>
      <c r="D84" s="59"/>
      <c r="E84" s="59"/>
      <c r="F84" s="59"/>
      <c r="G84" s="59"/>
      <c r="H84" s="60" t="s">
        <v>44</v>
      </c>
      <c r="I84" s="17"/>
      <c r="J84" s="67">
        <f>SUM(J78:J83)</f>
        <v>105216.76879999999</v>
      </c>
    </row>
    <row r="85" spans="1:10" ht="20.100000000000001" customHeight="1">
      <c r="A85" s="52"/>
      <c r="B85" s="52"/>
      <c r="C85" s="52"/>
      <c r="D85" s="52"/>
      <c r="E85" s="26"/>
      <c r="F85" s="52"/>
      <c r="G85" s="35"/>
      <c r="H85" s="34"/>
      <c r="I85" s="8"/>
      <c r="J85" s="56"/>
    </row>
    <row r="86" spans="1:10" ht="20.100000000000001" customHeight="1">
      <c r="A86" s="52"/>
      <c r="B86" s="147">
        <v>8</v>
      </c>
      <c r="C86" s="30"/>
      <c r="D86" s="30"/>
      <c r="E86" s="22" t="s">
        <v>52</v>
      </c>
      <c r="F86" s="22"/>
      <c r="G86" s="38"/>
      <c r="H86" s="38"/>
      <c r="I86" s="22"/>
      <c r="J86" s="57"/>
    </row>
    <row r="87" spans="1:10" ht="20.100000000000001" customHeight="1" outlineLevel="1">
      <c r="A87" s="52"/>
      <c r="B87" s="15" t="s">
        <v>32</v>
      </c>
      <c r="C87" s="72">
        <v>98557</v>
      </c>
      <c r="D87" s="15" t="s">
        <v>26</v>
      </c>
      <c r="E87" s="49" t="s">
        <v>105</v>
      </c>
      <c r="F87" s="15" t="s">
        <v>27</v>
      </c>
      <c r="G87" s="48">
        <f>(10+10+22.5+35.5+48)*0.35</f>
        <v>44.099999999999994</v>
      </c>
      <c r="H87" s="48">
        <v>46</v>
      </c>
      <c r="I87" s="66">
        <f t="shared" ref="I87" si="42">(H87*$J$7)+H87</f>
        <v>59.303200000000004</v>
      </c>
      <c r="J87" s="66">
        <f>G87*I87</f>
        <v>2615.2711199999999</v>
      </c>
    </row>
    <row r="88" spans="1:10" ht="28.5" customHeight="1" outlineLevel="1">
      <c r="A88" s="52"/>
      <c r="B88" s="15" t="s">
        <v>58</v>
      </c>
      <c r="C88" s="72">
        <v>98555</v>
      </c>
      <c r="D88" s="15" t="s">
        <v>26</v>
      </c>
      <c r="E88" s="49" t="s">
        <v>346</v>
      </c>
      <c r="F88" s="15" t="s">
        <v>27</v>
      </c>
      <c r="G88" s="48">
        <f>1.5*11</f>
        <v>16.5</v>
      </c>
      <c r="H88" s="48">
        <v>34</v>
      </c>
      <c r="I88" s="66">
        <f t="shared" ref="I88" si="43">(H88*$J$7)+H88</f>
        <v>43.832799999999999</v>
      </c>
      <c r="J88" s="66">
        <f>G88*I88</f>
        <v>723.24119999999994</v>
      </c>
    </row>
    <row r="89" spans="1:10" ht="20.100000000000001" customHeight="1" outlineLevel="1">
      <c r="A89" s="52"/>
      <c r="B89" s="58"/>
      <c r="C89" s="59"/>
      <c r="D89" s="59"/>
      <c r="E89" s="59"/>
      <c r="F89" s="59"/>
      <c r="G89" s="59"/>
      <c r="H89" s="60" t="s">
        <v>44</v>
      </c>
      <c r="I89" s="17"/>
      <c r="J89" s="67">
        <f>SUM(J87:J88)</f>
        <v>3338.5123199999998</v>
      </c>
    </row>
    <row r="90" spans="1:10" ht="20.100000000000001" customHeight="1">
      <c r="A90" s="52"/>
      <c r="B90" s="52"/>
      <c r="C90" s="52"/>
      <c r="D90" s="52"/>
      <c r="E90" s="26"/>
      <c r="F90" s="52"/>
      <c r="G90" s="35"/>
      <c r="H90" s="34"/>
      <c r="I90" s="8"/>
      <c r="J90" s="56"/>
    </row>
    <row r="91" spans="1:10" ht="20.100000000000001" customHeight="1">
      <c r="A91" s="52"/>
      <c r="B91" s="147">
        <v>9</v>
      </c>
      <c r="C91" s="21"/>
      <c r="D91" s="21"/>
      <c r="E91" s="22" t="s">
        <v>448</v>
      </c>
      <c r="F91" s="22"/>
      <c r="G91" s="41"/>
      <c r="H91" s="38"/>
      <c r="I91" s="22"/>
      <c r="J91" s="57"/>
    </row>
    <row r="92" spans="1:10" ht="20.100000000000001" customHeight="1" outlineLevel="1">
      <c r="A92" s="52"/>
      <c r="B92" s="15" t="s">
        <v>39</v>
      </c>
      <c r="C92" s="72">
        <v>87878</v>
      </c>
      <c r="D92" s="15" t="s">
        <v>26</v>
      </c>
      <c r="E92" s="49" t="s">
        <v>62</v>
      </c>
      <c r="F92" s="15" t="s">
        <v>27</v>
      </c>
      <c r="G92" s="48">
        <f>((6+6+35.5)*2.7)+(G59*2)</f>
        <v>365.85</v>
      </c>
      <c r="H92" s="48">
        <v>5.5</v>
      </c>
      <c r="I92" s="66">
        <f t="shared" ref="I92:I94" si="44">(H92*$J$7)+H92</f>
        <v>7.0906000000000002</v>
      </c>
      <c r="J92" s="66">
        <f>G92*I92</f>
        <v>2594.0960100000002</v>
      </c>
    </row>
    <row r="93" spans="1:10" ht="18.75" customHeight="1" outlineLevel="1">
      <c r="A93" s="52"/>
      <c r="B93" s="15" t="s">
        <v>343</v>
      </c>
      <c r="C93" s="72">
        <v>87535</v>
      </c>
      <c r="D93" s="15" t="s">
        <v>26</v>
      </c>
      <c r="E93" s="49" t="s">
        <v>63</v>
      </c>
      <c r="F93" s="15" t="s">
        <v>27</v>
      </c>
      <c r="G93" s="48">
        <f>G92</f>
        <v>365.85</v>
      </c>
      <c r="H93" s="48">
        <v>34.5</v>
      </c>
      <c r="I93" s="66">
        <f t="shared" si="44"/>
        <v>44.477400000000003</v>
      </c>
      <c r="J93" s="66">
        <f t="shared" ref="J93:J94" si="45">G93*I93</f>
        <v>16272.056790000002</v>
      </c>
    </row>
    <row r="94" spans="1:10" ht="25.5" customHeight="1" outlineLevel="1">
      <c r="A94" s="52"/>
      <c r="B94" s="15" t="s">
        <v>344</v>
      </c>
      <c r="C94" s="72">
        <v>104611</v>
      </c>
      <c r="D94" s="15" t="s">
        <v>26</v>
      </c>
      <c r="E94" s="49" t="s">
        <v>347</v>
      </c>
      <c r="F94" s="15" t="s">
        <v>27</v>
      </c>
      <c r="G94" s="48">
        <f>((5.85+3+1.5+5.85+4.5+4+4)+(3.7+3)+(3.7+3)+(3.7+3)+(5.85+5.85+3.8+2.1+6+4+4))*2.7</f>
        <v>217.08000000000004</v>
      </c>
      <c r="H94" s="48">
        <v>103.5</v>
      </c>
      <c r="I94" s="66">
        <f t="shared" si="44"/>
        <v>133.43219999999999</v>
      </c>
      <c r="J94" s="66">
        <f t="shared" si="45"/>
        <v>28965.461976000006</v>
      </c>
    </row>
    <row r="95" spans="1:10" ht="20.100000000000001" customHeight="1" outlineLevel="1">
      <c r="A95" s="52"/>
      <c r="B95" s="58"/>
      <c r="C95" s="59"/>
      <c r="D95" s="59"/>
      <c r="E95" s="59"/>
      <c r="F95" s="59"/>
      <c r="G95" s="59"/>
      <c r="H95" s="60" t="s">
        <v>44</v>
      </c>
      <c r="I95" s="17"/>
      <c r="J95" s="67">
        <f>SUM(J92:J94)</f>
        <v>47831.614776000009</v>
      </c>
    </row>
    <row r="96" spans="1:10" ht="20.100000000000001" customHeight="1" outlineLevel="1">
      <c r="A96" s="52"/>
      <c r="B96" s="108"/>
      <c r="C96" s="108"/>
      <c r="D96" s="108"/>
      <c r="E96" s="108"/>
      <c r="F96" s="108"/>
      <c r="G96" s="108"/>
      <c r="H96" s="109"/>
      <c r="I96" s="108"/>
      <c r="J96" s="110"/>
    </row>
    <row r="97" spans="1:12" s="19" customFormat="1" ht="20.100000000000001" customHeight="1">
      <c r="A97" s="52"/>
      <c r="B97" s="147">
        <v>10</v>
      </c>
      <c r="C97" s="30"/>
      <c r="D97" s="30"/>
      <c r="E97" s="22" t="s">
        <v>111</v>
      </c>
      <c r="F97" s="22"/>
      <c r="G97" s="38"/>
      <c r="H97" s="38"/>
      <c r="I97" s="22"/>
      <c r="J97" s="57"/>
    </row>
    <row r="98" spans="1:12" s="19" customFormat="1" ht="25.5" customHeight="1" outlineLevel="1">
      <c r="A98" s="52"/>
      <c r="B98" s="50" t="s">
        <v>144</v>
      </c>
      <c r="C98" s="76">
        <v>96486</v>
      </c>
      <c r="D98" s="15" t="s">
        <v>26</v>
      </c>
      <c r="E98" s="73" t="s">
        <v>449</v>
      </c>
      <c r="F98" s="15" t="s">
        <v>27</v>
      </c>
      <c r="G98" s="48">
        <f>35.62+21.12+21.12+48.91+21.12+27.34+23.98</f>
        <v>199.20999999999998</v>
      </c>
      <c r="H98" s="48">
        <v>90.7</v>
      </c>
      <c r="I98" s="66">
        <f t="shared" ref="I98" si="46">(H98*$J$7)+H98</f>
        <v>116.93044</v>
      </c>
      <c r="J98" s="66">
        <f>G98*I98</f>
        <v>23293.712952399997</v>
      </c>
      <c r="K98" s="106"/>
      <c r="L98" s="107"/>
    </row>
    <row r="99" spans="1:12" s="19" customFormat="1" ht="18.75" customHeight="1" outlineLevel="1">
      <c r="A99" s="52"/>
      <c r="B99" s="50" t="s">
        <v>145</v>
      </c>
      <c r="C99" s="76">
        <v>96121</v>
      </c>
      <c r="D99" s="15" t="s">
        <v>26</v>
      </c>
      <c r="E99" s="73" t="s">
        <v>450</v>
      </c>
      <c r="F99" s="15" t="s">
        <v>30</v>
      </c>
      <c r="G99" s="48">
        <f>5.85+5.85+5.95+6+((3.7+3.7+5.7+5.7)*3)+(5.85+5.85+4.5+4.5)+2+2+3.7+3.7+2.35+19+16</f>
        <v>149.5</v>
      </c>
      <c r="H99" s="48">
        <v>13.9</v>
      </c>
      <c r="I99" s="66">
        <f t="shared" ref="I99" si="47">(H99*$J$7)+H99</f>
        <v>17.919879999999999</v>
      </c>
      <c r="J99" s="66">
        <f>G99*I99</f>
        <v>2679.0220599999998</v>
      </c>
      <c r="K99" s="106"/>
      <c r="L99" s="107"/>
    </row>
    <row r="100" spans="1:12" ht="20.100000000000001" customHeight="1" outlineLevel="1">
      <c r="A100" s="52"/>
      <c r="B100" s="58"/>
      <c r="C100" s="59"/>
      <c r="D100" s="59"/>
      <c r="E100" s="59"/>
      <c r="F100" s="59"/>
      <c r="G100" s="59"/>
      <c r="H100" s="60" t="s">
        <v>44</v>
      </c>
      <c r="I100" s="17"/>
      <c r="J100" s="67">
        <f>SUM(J98:J99)</f>
        <v>25972.735012399997</v>
      </c>
    </row>
    <row r="101" spans="1:12" ht="20.100000000000001" customHeight="1" outlineLevel="1">
      <c r="A101" s="52"/>
      <c r="B101" s="108"/>
      <c r="C101" s="108"/>
      <c r="D101" s="108"/>
      <c r="E101" s="108"/>
      <c r="F101" s="108"/>
      <c r="G101" s="108"/>
      <c r="H101" s="109"/>
      <c r="I101" s="108"/>
      <c r="J101" s="110"/>
    </row>
    <row r="102" spans="1:12" ht="20.100000000000001" customHeight="1">
      <c r="A102" s="52"/>
      <c r="B102" s="147">
        <v>11</v>
      </c>
      <c r="C102" s="30"/>
      <c r="D102" s="30"/>
      <c r="E102" s="22" t="s">
        <v>86</v>
      </c>
      <c r="F102" s="22"/>
      <c r="G102" s="38"/>
      <c r="H102" s="38"/>
      <c r="I102" s="22"/>
      <c r="J102" s="57"/>
    </row>
    <row r="103" spans="1:12" ht="20.100000000000001" customHeight="1">
      <c r="A103" s="52"/>
      <c r="B103" s="15" t="s">
        <v>121</v>
      </c>
      <c r="C103" s="72">
        <v>94995</v>
      </c>
      <c r="D103" s="15" t="s">
        <v>26</v>
      </c>
      <c r="E103" s="49" t="s">
        <v>163</v>
      </c>
      <c r="F103" s="15" t="s">
        <v>27</v>
      </c>
      <c r="G103" s="48">
        <f>199.21+216.2</f>
        <v>415.40999999999997</v>
      </c>
      <c r="H103" s="48">
        <v>105</v>
      </c>
      <c r="I103" s="66">
        <f t="shared" ref="I103:I108" si="48">(H103*$J$7)+H103</f>
        <v>135.36599999999999</v>
      </c>
      <c r="J103" s="66">
        <f>G103*I103</f>
        <v>56232.390059999991</v>
      </c>
    </row>
    <row r="104" spans="1:12" ht="25.5" outlineLevel="1">
      <c r="A104" s="52"/>
      <c r="B104" s="15" t="s">
        <v>53</v>
      </c>
      <c r="C104" s="72">
        <v>87620</v>
      </c>
      <c r="D104" s="15" t="s">
        <v>26</v>
      </c>
      <c r="E104" s="49" t="s">
        <v>249</v>
      </c>
      <c r="F104" s="15" t="s">
        <v>27</v>
      </c>
      <c r="G104" s="48">
        <f>G98</f>
        <v>199.20999999999998</v>
      </c>
      <c r="H104" s="48">
        <v>35</v>
      </c>
      <c r="I104" s="66">
        <f t="shared" si="48"/>
        <v>45.122</v>
      </c>
      <c r="J104" s="66">
        <f>G104*I104</f>
        <v>8988.7536199999995</v>
      </c>
    </row>
    <row r="105" spans="1:12" ht="20.100000000000001" customHeight="1" outlineLevel="1">
      <c r="A105" s="52"/>
      <c r="B105" s="15" t="s">
        <v>122</v>
      </c>
      <c r="C105" s="72">
        <v>87263</v>
      </c>
      <c r="D105" s="15" t="s">
        <v>26</v>
      </c>
      <c r="E105" s="49" t="s">
        <v>228</v>
      </c>
      <c r="F105" s="15" t="s">
        <v>27</v>
      </c>
      <c r="G105" s="48">
        <f>G104</f>
        <v>199.20999999999998</v>
      </c>
      <c r="H105" s="48">
        <v>125</v>
      </c>
      <c r="I105" s="66">
        <f t="shared" si="48"/>
        <v>161.15</v>
      </c>
      <c r="J105" s="66">
        <f t="shared" ref="J105:J108" si="49">G105*I105</f>
        <v>32102.691499999997</v>
      </c>
    </row>
    <row r="106" spans="1:12" ht="20.100000000000001" customHeight="1" outlineLevel="1">
      <c r="A106" s="52"/>
      <c r="B106" s="15" t="s">
        <v>0</v>
      </c>
      <c r="C106" s="72">
        <v>101751</v>
      </c>
      <c r="D106" s="15" t="s">
        <v>26</v>
      </c>
      <c r="E106" s="49" t="s">
        <v>451</v>
      </c>
      <c r="F106" s="15" t="s">
        <v>27</v>
      </c>
      <c r="G106" s="48">
        <v>216.2</v>
      </c>
      <c r="H106" s="48">
        <v>320</v>
      </c>
      <c r="I106" s="66">
        <f t="shared" ref="I106" si="50">(H106*$J$7)+H106</f>
        <v>412.54399999999998</v>
      </c>
      <c r="J106" s="66">
        <f t="shared" ref="J106" si="51">G106*I106</f>
        <v>89192.012799999997</v>
      </c>
    </row>
    <row r="107" spans="1:12" ht="20.100000000000001" customHeight="1" outlineLevel="1">
      <c r="A107" s="52"/>
      <c r="B107" s="15" t="s">
        <v>141</v>
      </c>
      <c r="C107" s="72">
        <v>88650</v>
      </c>
      <c r="D107" s="15" t="s">
        <v>26</v>
      </c>
      <c r="E107" s="49" t="s">
        <v>106</v>
      </c>
      <c r="F107" s="15" t="s">
        <v>30</v>
      </c>
      <c r="G107" s="48">
        <f>G99</f>
        <v>149.5</v>
      </c>
      <c r="H107" s="48">
        <v>13</v>
      </c>
      <c r="I107" s="66">
        <f t="shared" si="48"/>
        <v>16.759599999999999</v>
      </c>
      <c r="J107" s="66">
        <f t="shared" si="49"/>
        <v>2505.5601999999999</v>
      </c>
    </row>
    <row r="108" spans="1:12" s="51" customFormat="1" ht="20.100000000000001" customHeight="1" outlineLevel="1">
      <c r="A108" s="52"/>
      <c r="B108" s="15" t="s">
        <v>142</v>
      </c>
      <c r="C108" s="72">
        <v>98689</v>
      </c>
      <c r="D108" s="15" t="s">
        <v>26</v>
      </c>
      <c r="E108" s="49" t="s">
        <v>64</v>
      </c>
      <c r="F108" s="15" t="s">
        <v>30</v>
      </c>
      <c r="G108" s="48">
        <f>2.2*3</f>
        <v>6.6000000000000005</v>
      </c>
      <c r="H108" s="48">
        <v>140</v>
      </c>
      <c r="I108" s="66">
        <f t="shared" si="48"/>
        <v>180.488</v>
      </c>
      <c r="J108" s="66">
        <f t="shared" si="49"/>
        <v>1191.2208000000001</v>
      </c>
    </row>
    <row r="109" spans="1:12" ht="20.100000000000001" customHeight="1" outlineLevel="1">
      <c r="A109" s="52"/>
      <c r="B109" s="58"/>
      <c r="C109" s="59"/>
      <c r="D109" s="59"/>
      <c r="E109" s="59"/>
      <c r="F109" s="59"/>
      <c r="G109" s="59"/>
      <c r="H109" s="60" t="s">
        <v>44</v>
      </c>
      <c r="I109" s="17"/>
      <c r="J109" s="67">
        <f>SUM(J103:J108)</f>
        <v>190212.62898000001</v>
      </c>
    </row>
    <row r="110" spans="1:12" ht="20.100000000000001" customHeight="1">
      <c r="A110" s="52"/>
      <c r="B110" s="52"/>
      <c r="C110" s="52"/>
      <c r="D110" s="52"/>
      <c r="E110" s="26"/>
      <c r="F110" s="52"/>
      <c r="G110" s="35"/>
      <c r="H110" s="34"/>
      <c r="I110" s="8"/>
      <c r="J110" s="56"/>
    </row>
    <row r="111" spans="1:12" ht="20.100000000000001" customHeight="1">
      <c r="A111" s="52"/>
      <c r="B111" s="147">
        <v>12</v>
      </c>
      <c r="C111" s="30"/>
      <c r="D111" s="30"/>
      <c r="E111" s="22" t="s">
        <v>87</v>
      </c>
      <c r="F111" s="22"/>
      <c r="G111" s="38"/>
      <c r="H111" s="38"/>
      <c r="I111" s="22"/>
      <c r="J111" s="57"/>
    </row>
    <row r="112" spans="1:12" ht="20.100000000000001" customHeight="1" outlineLevel="1">
      <c r="A112" s="52"/>
      <c r="B112" s="15" t="s">
        <v>473</v>
      </c>
      <c r="C112" s="72">
        <v>88485</v>
      </c>
      <c r="D112" s="15" t="s">
        <v>26</v>
      </c>
      <c r="E112" s="49" t="s">
        <v>107</v>
      </c>
      <c r="F112" s="15" t="s">
        <v>27</v>
      </c>
      <c r="G112" s="48">
        <f>G92-G94</f>
        <v>148.76999999999998</v>
      </c>
      <c r="H112" s="48">
        <v>4</v>
      </c>
      <c r="I112" s="66">
        <f t="shared" ref="I112:I115" si="52">(H112*$J$7)+H112</f>
        <v>5.1568000000000005</v>
      </c>
      <c r="J112" s="66">
        <f>G112*I112</f>
        <v>767.17713600000002</v>
      </c>
    </row>
    <row r="113" spans="1:10" ht="20.100000000000001" customHeight="1" outlineLevel="1">
      <c r="A113" s="52"/>
      <c r="B113" s="15" t="s">
        <v>474</v>
      </c>
      <c r="C113" s="72">
        <v>88497</v>
      </c>
      <c r="D113" s="15" t="s">
        <v>26</v>
      </c>
      <c r="E113" s="49" t="s">
        <v>250</v>
      </c>
      <c r="F113" s="15" t="s">
        <v>27</v>
      </c>
      <c r="G113" s="48">
        <f>G112</f>
        <v>148.76999999999998</v>
      </c>
      <c r="H113" s="48">
        <v>20</v>
      </c>
      <c r="I113" s="66">
        <f t="shared" si="52"/>
        <v>25.783999999999999</v>
      </c>
      <c r="J113" s="66">
        <f>G113*I113</f>
        <v>3835.8856799999994</v>
      </c>
    </row>
    <row r="114" spans="1:10" ht="20.100000000000001" customHeight="1" outlineLevel="1">
      <c r="A114" s="52"/>
      <c r="B114" s="15" t="s">
        <v>475</v>
      </c>
      <c r="C114" s="72">
        <v>88489</v>
      </c>
      <c r="D114" s="15" t="s">
        <v>26</v>
      </c>
      <c r="E114" s="49" t="s">
        <v>349</v>
      </c>
      <c r="F114" s="15" t="s">
        <v>27</v>
      </c>
      <c r="G114" s="48">
        <f>G112</f>
        <v>148.76999999999998</v>
      </c>
      <c r="H114" s="48">
        <v>13.9</v>
      </c>
      <c r="I114" s="66">
        <f t="shared" si="52"/>
        <v>17.919879999999999</v>
      </c>
      <c r="J114" s="66">
        <f t="shared" ref="J114:J115" si="53">G114*I114</f>
        <v>2665.9405475999997</v>
      </c>
    </row>
    <row r="115" spans="1:10" ht="20.100000000000001" customHeight="1" outlineLevel="1">
      <c r="A115" s="52"/>
      <c r="B115" s="15" t="s">
        <v>476</v>
      </c>
      <c r="C115" s="72">
        <v>10224</v>
      </c>
      <c r="D115" s="15" t="s">
        <v>26</v>
      </c>
      <c r="E115" s="49" t="s">
        <v>452</v>
      </c>
      <c r="F115" s="15" t="s">
        <v>27</v>
      </c>
      <c r="G115" s="48">
        <f>((35.5+12)*2.7)+((22.5+10+10)*6)</f>
        <v>383.25</v>
      </c>
      <c r="H115" s="48">
        <v>35</v>
      </c>
      <c r="I115" s="66">
        <f t="shared" si="52"/>
        <v>45.122</v>
      </c>
      <c r="J115" s="66">
        <f t="shared" si="53"/>
        <v>17293.0065</v>
      </c>
    </row>
    <row r="116" spans="1:10" ht="20.100000000000001" customHeight="1" outlineLevel="1">
      <c r="A116" s="52"/>
      <c r="B116" s="15" t="s">
        <v>477</v>
      </c>
      <c r="C116" s="72">
        <v>100741</v>
      </c>
      <c r="D116" s="15" t="s">
        <v>26</v>
      </c>
      <c r="E116" s="49" t="s">
        <v>464</v>
      </c>
      <c r="F116" s="15" t="s">
        <v>27</v>
      </c>
      <c r="G116" s="48">
        <f>2.2*2.2*3*2</f>
        <v>29.040000000000006</v>
      </c>
      <c r="H116" s="48">
        <v>26.5</v>
      </c>
      <c r="I116" s="66">
        <v>22</v>
      </c>
      <c r="J116" s="66">
        <f t="shared" ref="J116" si="54">G116*I116</f>
        <v>638.88000000000011</v>
      </c>
    </row>
    <row r="117" spans="1:10" ht="20.100000000000001" customHeight="1" outlineLevel="1">
      <c r="A117" s="52"/>
      <c r="B117" s="58"/>
      <c r="C117" s="59"/>
      <c r="D117" s="59"/>
      <c r="E117" s="59"/>
      <c r="F117" s="59"/>
      <c r="G117" s="59"/>
      <c r="H117" s="60" t="s">
        <v>44</v>
      </c>
      <c r="I117" s="17"/>
      <c r="J117" s="67">
        <f>SUM(J112:J116)</f>
        <v>25200.889863599998</v>
      </c>
    </row>
    <row r="118" spans="1:10" ht="20.100000000000001" customHeight="1" outlineLevel="1">
      <c r="A118" s="52"/>
      <c r="B118" s="108"/>
      <c r="C118" s="108"/>
      <c r="D118" s="108"/>
      <c r="E118" s="108"/>
      <c r="F118" s="108"/>
      <c r="G118" s="108"/>
      <c r="H118" s="109"/>
      <c r="I118" s="108"/>
      <c r="J118" s="110"/>
    </row>
    <row r="119" spans="1:10" s="51" customFormat="1" ht="20.100000000000001" customHeight="1">
      <c r="A119" s="52"/>
      <c r="B119" s="147">
        <v>13</v>
      </c>
      <c r="C119" s="30"/>
      <c r="D119" s="30"/>
      <c r="E119" s="22" t="s">
        <v>9</v>
      </c>
      <c r="F119" s="22"/>
      <c r="G119" s="38"/>
      <c r="H119" s="38"/>
      <c r="I119" s="22"/>
      <c r="J119" s="57"/>
    </row>
    <row r="120" spans="1:10" ht="20.100000000000001" customHeight="1">
      <c r="A120" s="52"/>
      <c r="B120" s="12" t="s">
        <v>123</v>
      </c>
      <c r="C120" s="12"/>
      <c r="D120" s="12"/>
      <c r="E120" s="13" t="s">
        <v>3</v>
      </c>
      <c r="F120" s="14"/>
      <c r="G120" s="37"/>
      <c r="H120" s="48"/>
      <c r="I120" s="66"/>
      <c r="J120" s="66"/>
    </row>
    <row r="121" spans="1:10" s="51" customFormat="1" ht="20.100000000000001" customHeight="1" outlineLevel="1">
      <c r="A121" s="52"/>
      <c r="B121" s="50" t="s">
        <v>273</v>
      </c>
      <c r="C121" s="71">
        <v>89402</v>
      </c>
      <c r="D121" s="50" t="s">
        <v>26</v>
      </c>
      <c r="E121" s="23" t="s">
        <v>70</v>
      </c>
      <c r="F121" s="50" t="s">
        <v>30</v>
      </c>
      <c r="G121" s="48">
        <f>30+60</f>
        <v>90</v>
      </c>
      <c r="H121" s="48">
        <v>14</v>
      </c>
      <c r="I121" s="66">
        <f t="shared" ref="I121:I135" si="55">(H121*$J$7)+H121</f>
        <v>18.0488</v>
      </c>
      <c r="J121" s="66">
        <f>G121*I121</f>
        <v>1624.3920000000001</v>
      </c>
    </row>
    <row r="122" spans="1:10" s="51" customFormat="1" ht="20.100000000000001" customHeight="1" outlineLevel="1">
      <c r="A122" s="52"/>
      <c r="B122" s="50" t="s">
        <v>274</v>
      </c>
      <c r="C122" s="71">
        <v>89403</v>
      </c>
      <c r="D122" s="50" t="s">
        <v>26</v>
      </c>
      <c r="E122" s="23" t="s">
        <v>350</v>
      </c>
      <c r="F122" s="50" t="s">
        <v>30</v>
      </c>
      <c r="G122" s="48">
        <v>40</v>
      </c>
      <c r="H122" s="48">
        <v>21.9</v>
      </c>
      <c r="I122" s="66">
        <f t="shared" ref="I122" si="56">(H122*$J$7)+H122</f>
        <v>28.23348</v>
      </c>
      <c r="J122" s="66">
        <f t="shared" ref="J122" si="57">G122*I122</f>
        <v>1129.3391999999999</v>
      </c>
    </row>
    <row r="123" spans="1:10" s="51" customFormat="1" ht="20.100000000000001" customHeight="1" outlineLevel="1">
      <c r="A123" s="52"/>
      <c r="B123" s="50" t="s">
        <v>275</v>
      </c>
      <c r="C123" s="71">
        <v>94489</v>
      </c>
      <c r="D123" s="50" t="s">
        <v>26</v>
      </c>
      <c r="E123" s="23" t="s">
        <v>146</v>
      </c>
      <c r="F123" s="50" t="s">
        <v>23</v>
      </c>
      <c r="G123" s="48">
        <v>2</v>
      </c>
      <c r="H123" s="48">
        <v>39.6</v>
      </c>
      <c r="I123" s="66">
        <f t="shared" ref="I123" si="58">(H123*$J$7)+H123</f>
        <v>51.052320000000002</v>
      </c>
      <c r="J123" s="66">
        <f>G123*I123</f>
        <v>102.10464</v>
      </c>
    </row>
    <row r="124" spans="1:10" s="51" customFormat="1" ht="20.100000000000001" customHeight="1" outlineLevel="1">
      <c r="A124" s="52"/>
      <c r="B124" s="50" t="s">
        <v>276</v>
      </c>
      <c r="C124" s="71">
        <v>102623</v>
      </c>
      <c r="D124" s="50" t="s">
        <v>26</v>
      </c>
      <c r="E124" s="23" t="s">
        <v>147</v>
      </c>
      <c r="F124" s="50" t="s">
        <v>23</v>
      </c>
      <c r="G124" s="48">
        <v>2</v>
      </c>
      <c r="H124" s="48">
        <v>960</v>
      </c>
      <c r="I124" s="66">
        <f t="shared" ref="I124" si="59">(H124*$J$7)+H124</f>
        <v>1237.6320000000001</v>
      </c>
      <c r="J124" s="66">
        <f>G124*I124</f>
        <v>2475.2640000000001</v>
      </c>
    </row>
    <row r="125" spans="1:10" s="51" customFormat="1" ht="20.100000000000001" customHeight="1" outlineLevel="1">
      <c r="A125" s="52"/>
      <c r="B125" s="50" t="s">
        <v>277</v>
      </c>
      <c r="C125" s="71">
        <v>89383</v>
      </c>
      <c r="D125" s="50" t="s">
        <v>26</v>
      </c>
      <c r="E125" s="23" t="s">
        <v>73</v>
      </c>
      <c r="F125" s="50" t="s">
        <v>23</v>
      </c>
      <c r="G125" s="48">
        <v>2</v>
      </c>
      <c r="H125" s="48">
        <v>7.4</v>
      </c>
      <c r="I125" s="66">
        <f t="shared" si="55"/>
        <v>9.5400799999999997</v>
      </c>
      <c r="J125" s="66">
        <f t="shared" ref="J125:J135" si="60">G125*I125</f>
        <v>19.080159999999999</v>
      </c>
    </row>
    <row r="126" spans="1:10" s="51" customFormat="1" ht="20.100000000000001" customHeight="1" outlineLevel="1">
      <c r="A126" s="52"/>
      <c r="B126" s="50" t="s">
        <v>278</v>
      </c>
      <c r="C126" s="71">
        <v>94691</v>
      </c>
      <c r="D126" s="50" t="s">
        <v>26</v>
      </c>
      <c r="E126" s="23" t="s">
        <v>353</v>
      </c>
      <c r="F126" s="50" t="s">
        <v>23</v>
      </c>
      <c r="G126" s="48">
        <v>6</v>
      </c>
      <c r="H126" s="48">
        <v>15.7</v>
      </c>
      <c r="I126" s="66">
        <f t="shared" ref="I126:I127" si="61">(H126*$J$7)+H126</f>
        <v>20.24044</v>
      </c>
      <c r="J126" s="66">
        <f t="shared" ref="J126:J127" si="62">G126*I126</f>
        <v>121.44264</v>
      </c>
    </row>
    <row r="127" spans="1:10" s="51" customFormat="1" ht="20.100000000000001" customHeight="1" outlineLevel="1">
      <c r="A127" s="52"/>
      <c r="B127" s="50" t="s">
        <v>279</v>
      </c>
      <c r="C127" s="71">
        <v>89413</v>
      </c>
      <c r="D127" s="50" t="s">
        <v>26</v>
      </c>
      <c r="E127" s="23" t="s">
        <v>354</v>
      </c>
      <c r="F127" s="50" t="s">
        <v>23</v>
      </c>
      <c r="G127" s="48">
        <v>4</v>
      </c>
      <c r="H127" s="48">
        <v>13.7</v>
      </c>
      <c r="I127" s="66">
        <f t="shared" si="61"/>
        <v>17.662039999999998</v>
      </c>
      <c r="J127" s="66">
        <f t="shared" si="62"/>
        <v>70.64815999999999</v>
      </c>
    </row>
    <row r="128" spans="1:10" s="51" customFormat="1" ht="20.100000000000001" customHeight="1" outlineLevel="1">
      <c r="A128" s="52"/>
      <c r="B128" s="50" t="s">
        <v>280</v>
      </c>
      <c r="C128" s="71">
        <v>89408</v>
      </c>
      <c r="D128" s="50" t="s">
        <v>26</v>
      </c>
      <c r="E128" s="23" t="s">
        <v>71</v>
      </c>
      <c r="F128" s="50" t="s">
        <v>23</v>
      </c>
      <c r="G128" s="48">
        <v>12</v>
      </c>
      <c r="H128" s="48">
        <v>9.6999999999999993</v>
      </c>
      <c r="I128" s="66">
        <f t="shared" si="55"/>
        <v>12.505239999999999</v>
      </c>
      <c r="J128" s="66">
        <f t="shared" si="60"/>
        <v>150.06287999999998</v>
      </c>
    </row>
    <row r="129" spans="1:10" s="51" customFormat="1" ht="20.100000000000001" customHeight="1" outlineLevel="1">
      <c r="A129" s="52"/>
      <c r="B129" s="50" t="s">
        <v>281</v>
      </c>
      <c r="C129" s="71">
        <v>89366</v>
      </c>
      <c r="D129" s="50" t="s">
        <v>26</v>
      </c>
      <c r="E129" s="23" t="s">
        <v>74</v>
      </c>
      <c r="F129" s="50" t="s">
        <v>23</v>
      </c>
      <c r="G129" s="48">
        <v>9</v>
      </c>
      <c r="H129" s="48">
        <v>18.8</v>
      </c>
      <c r="I129" s="66">
        <f t="shared" si="55"/>
        <v>24.23696</v>
      </c>
      <c r="J129" s="66">
        <f t="shared" si="60"/>
        <v>218.13264000000001</v>
      </c>
    </row>
    <row r="130" spans="1:10" s="51" customFormat="1" ht="20.100000000000001" customHeight="1" outlineLevel="1">
      <c r="A130" s="52"/>
      <c r="B130" s="50" t="s">
        <v>282</v>
      </c>
      <c r="C130" s="71">
        <v>89378</v>
      </c>
      <c r="D130" s="50" t="s">
        <v>26</v>
      </c>
      <c r="E130" s="16" t="s">
        <v>148</v>
      </c>
      <c r="F130" s="50" t="s">
        <v>23</v>
      </c>
      <c r="G130" s="48">
        <v>5</v>
      </c>
      <c r="H130" s="48">
        <v>7.9</v>
      </c>
      <c r="I130" s="66">
        <f t="shared" si="55"/>
        <v>10.18468</v>
      </c>
      <c r="J130" s="66">
        <f t="shared" si="60"/>
        <v>50.923400000000001</v>
      </c>
    </row>
    <row r="131" spans="1:10" s="51" customFormat="1" ht="20.100000000000001" customHeight="1" outlineLevel="1">
      <c r="A131" s="52"/>
      <c r="B131" s="50" t="s">
        <v>283</v>
      </c>
      <c r="C131" s="71">
        <v>89395</v>
      </c>
      <c r="D131" s="50" t="s">
        <v>26</v>
      </c>
      <c r="E131" s="23" t="s">
        <v>72</v>
      </c>
      <c r="F131" s="50" t="s">
        <v>23</v>
      </c>
      <c r="G131" s="48">
        <v>6</v>
      </c>
      <c r="H131" s="48">
        <v>14.6</v>
      </c>
      <c r="I131" s="66">
        <f t="shared" si="55"/>
        <v>18.822319999999998</v>
      </c>
      <c r="J131" s="66">
        <f t="shared" si="60"/>
        <v>112.93391999999999</v>
      </c>
    </row>
    <row r="132" spans="1:10" s="51" customFormat="1" ht="20.100000000000001" customHeight="1" outlineLevel="1">
      <c r="A132" s="52"/>
      <c r="B132" s="50" t="s">
        <v>351</v>
      </c>
      <c r="C132" s="71">
        <v>89396</v>
      </c>
      <c r="D132" s="50" t="s">
        <v>26</v>
      </c>
      <c r="E132" s="23" t="s">
        <v>149</v>
      </c>
      <c r="F132" s="50" t="s">
        <v>23</v>
      </c>
      <c r="G132" s="48">
        <v>25</v>
      </c>
      <c r="H132" s="48">
        <v>23.5</v>
      </c>
      <c r="I132" s="66">
        <f t="shared" si="55"/>
        <v>30.296199999999999</v>
      </c>
      <c r="J132" s="66">
        <f t="shared" si="60"/>
        <v>757.40499999999997</v>
      </c>
    </row>
    <row r="133" spans="1:10" s="51" customFormat="1" ht="20.100000000000001" customHeight="1" outlineLevel="1">
      <c r="A133" s="52"/>
      <c r="B133" s="50" t="s">
        <v>352</v>
      </c>
      <c r="C133" s="71">
        <v>86886</v>
      </c>
      <c r="D133" s="50" t="s">
        <v>26</v>
      </c>
      <c r="E133" s="23" t="s">
        <v>258</v>
      </c>
      <c r="F133" s="50" t="s">
        <v>23</v>
      </c>
      <c r="G133" s="48">
        <v>9</v>
      </c>
      <c r="H133" s="48">
        <v>74.900000000000006</v>
      </c>
      <c r="I133" s="66">
        <f t="shared" si="55"/>
        <v>96.561080000000004</v>
      </c>
      <c r="J133" s="66">
        <f t="shared" si="60"/>
        <v>869.04971999999998</v>
      </c>
    </row>
    <row r="134" spans="1:10" s="51" customFormat="1" ht="20.100000000000001" customHeight="1" outlineLevel="1">
      <c r="A134" s="52"/>
      <c r="B134" s="12" t="s">
        <v>124</v>
      </c>
      <c r="C134" s="50"/>
      <c r="D134" s="12"/>
      <c r="E134" s="13" t="s">
        <v>88</v>
      </c>
      <c r="F134" s="14"/>
      <c r="G134" s="48"/>
      <c r="H134" s="48"/>
      <c r="I134" s="66"/>
      <c r="J134" s="66">
        <f t="shared" si="60"/>
        <v>0</v>
      </c>
    </row>
    <row r="135" spans="1:10" s="51" customFormat="1" ht="20.100000000000001" customHeight="1" outlineLevel="1">
      <c r="A135" s="52"/>
      <c r="B135" s="50" t="s">
        <v>284</v>
      </c>
      <c r="C135" s="71">
        <v>94792</v>
      </c>
      <c r="D135" s="50" t="s">
        <v>26</v>
      </c>
      <c r="E135" s="14" t="s">
        <v>355</v>
      </c>
      <c r="F135" s="50" t="s">
        <v>23</v>
      </c>
      <c r="G135" s="48">
        <v>6</v>
      </c>
      <c r="H135" s="48">
        <v>165</v>
      </c>
      <c r="I135" s="66">
        <f t="shared" si="55"/>
        <v>212.71800000000002</v>
      </c>
      <c r="J135" s="66">
        <f t="shared" si="60"/>
        <v>1276.308</v>
      </c>
    </row>
    <row r="136" spans="1:10" s="51" customFormat="1" ht="20.100000000000001" customHeight="1" outlineLevel="1">
      <c r="A136" s="52"/>
      <c r="B136" s="58"/>
      <c r="C136" s="59"/>
      <c r="D136" s="59"/>
      <c r="E136" s="59"/>
      <c r="F136" s="59"/>
      <c r="G136" s="59"/>
      <c r="H136" s="60" t="s">
        <v>44</v>
      </c>
      <c r="I136" s="17"/>
      <c r="J136" s="67">
        <f>SUM(J121:J135)</f>
        <v>8977.0863600000012</v>
      </c>
    </row>
    <row r="137" spans="1:10" s="51" customFormat="1" ht="20.100000000000001" customHeight="1" outlineLevel="1">
      <c r="A137" s="52"/>
      <c r="B137" s="52"/>
      <c r="C137" s="52"/>
      <c r="D137" s="52"/>
      <c r="E137" s="26"/>
      <c r="F137" s="52"/>
      <c r="G137" s="35"/>
      <c r="H137" s="34"/>
      <c r="I137" s="8"/>
      <c r="J137" s="56"/>
    </row>
    <row r="138" spans="1:10" s="51" customFormat="1" ht="20.100000000000001" customHeight="1">
      <c r="A138" s="52"/>
      <c r="B138" s="147">
        <v>14</v>
      </c>
      <c r="C138" s="30"/>
      <c r="D138" s="30"/>
      <c r="E138" s="22" t="s">
        <v>181</v>
      </c>
      <c r="F138" s="22"/>
      <c r="G138" s="38"/>
      <c r="H138" s="38"/>
      <c r="I138" s="22"/>
      <c r="J138" s="57"/>
    </row>
    <row r="139" spans="1:10" s="51" customFormat="1" ht="20.100000000000001" customHeight="1">
      <c r="A139" s="52"/>
      <c r="B139" s="50" t="s">
        <v>2</v>
      </c>
      <c r="C139" s="71">
        <v>89711</v>
      </c>
      <c r="D139" s="50" t="s">
        <v>26</v>
      </c>
      <c r="E139" s="23" t="s">
        <v>75</v>
      </c>
      <c r="F139" s="50" t="s">
        <v>30</v>
      </c>
      <c r="G139" s="48">
        <v>25</v>
      </c>
      <c r="H139" s="48">
        <v>24.9</v>
      </c>
      <c r="I139" s="66">
        <f t="shared" ref="I139:I155" si="63">(H139*$J$7)+H139</f>
        <v>32.101079999999996</v>
      </c>
      <c r="J139" s="66">
        <f>G139*I139</f>
        <v>802.52699999999993</v>
      </c>
    </row>
    <row r="140" spans="1:10" s="51" customFormat="1" ht="20.100000000000001" customHeight="1" outlineLevel="1">
      <c r="A140" s="52"/>
      <c r="B140" s="50" t="s">
        <v>4</v>
      </c>
      <c r="C140" s="71">
        <v>89712</v>
      </c>
      <c r="D140" s="50" t="s">
        <v>26</v>
      </c>
      <c r="E140" s="23" t="s">
        <v>76</v>
      </c>
      <c r="F140" s="50" t="s">
        <v>30</v>
      </c>
      <c r="G140" s="48">
        <v>10</v>
      </c>
      <c r="H140" s="48">
        <v>32</v>
      </c>
      <c r="I140" s="66">
        <f t="shared" si="63"/>
        <v>41.254400000000004</v>
      </c>
      <c r="J140" s="66">
        <f t="shared" ref="J140:J155" si="64">G140*I140</f>
        <v>412.54400000000004</v>
      </c>
    </row>
    <row r="141" spans="1:10" s="51" customFormat="1" ht="20.100000000000001" customHeight="1" outlineLevel="1">
      <c r="A141" s="52"/>
      <c r="B141" s="50" t="s">
        <v>54</v>
      </c>
      <c r="C141" s="71">
        <v>89713</v>
      </c>
      <c r="D141" s="50" t="s">
        <v>26</v>
      </c>
      <c r="E141" s="23" t="s">
        <v>77</v>
      </c>
      <c r="F141" s="50" t="s">
        <v>30</v>
      </c>
      <c r="G141" s="48">
        <v>10</v>
      </c>
      <c r="H141" s="48">
        <v>40</v>
      </c>
      <c r="I141" s="66">
        <f t="shared" si="63"/>
        <v>51.567999999999998</v>
      </c>
      <c r="J141" s="66">
        <f t="shared" si="64"/>
        <v>515.67999999999995</v>
      </c>
    </row>
    <row r="142" spans="1:10" ht="20.100000000000001" customHeight="1" outlineLevel="1">
      <c r="A142" s="52"/>
      <c r="B142" s="50" t="s">
        <v>55</v>
      </c>
      <c r="C142" s="71">
        <v>89714</v>
      </c>
      <c r="D142" s="50" t="s">
        <v>26</v>
      </c>
      <c r="E142" s="23" t="s">
        <v>78</v>
      </c>
      <c r="F142" s="50" t="s">
        <v>30</v>
      </c>
      <c r="G142" s="48">
        <v>85</v>
      </c>
      <c r="H142" s="48">
        <v>44</v>
      </c>
      <c r="I142" s="66">
        <f t="shared" si="63"/>
        <v>56.724800000000002</v>
      </c>
      <c r="J142" s="66">
        <f t="shared" si="64"/>
        <v>4821.6080000000002</v>
      </c>
    </row>
    <row r="143" spans="1:10" s="51" customFormat="1" ht="20.100000000000001" customHeight="1" outlineLevel="1">
      <c r="A143" s="52"/>
      <c r="B143" s="50" t="s">
        <v>113</v>
      </c>
      <c r="C143" s="71">
        <v>89724</v>
      </c>
      <c r="D143" s="50" t="s">
        <v>26</v>
      </c>
      <c r="E143" s="23" t="s">
        <v>79</v>
      </c>
      <c r="F143" s="50" t="s">
        <v>23</v>
      </c>
      <c r="G143" s="48">
        <v>16</v>
      </c>
      <c r="H143" s="48">
        <v>11.99</v>
      </c>
      <c r="I143" s="66">
        <f t="shared" si="63"/>
        <v>15.457508000000001</v>
      </c>
      <c r="J143" s="66">
        <f t="shared" si="64"/>
        <v>247.32012800000001</v>
      </c>
    </row>
    <row r="144" spans="1:10" s="51" customFormat="1" ht="20.100000000000001" customHeight="1" outlineLevel="1">
      <c r="A144" s="52"/>
      <c r="B144" s="50" t="s">
        <v>114</v>
      </c>
      <c r="C144" s="71">
        <v>89731</v>
      </c>
      <c r="D144" s="50" t="s">
        <v>26</v>
      </c>
      <c r="E144" s="23" t="s">
        <v>161</v>
      </c>
      <c r="F144" s="50" t="s">
        <v>23</v>
      </c>
      <c r="G144" s="48">
        <v>4</v>
      </c>
      <c r="H144" s="48">
        <v>16.399999999999999</v>
      </c>
      <c r="I144" s="66">
        <f t="shared" si="63"/>
        <v>21.142879999999998</v>
      </c>
      <c r="J144" s="66">
        <f t="shared" si="64"/>
        <v>84.571519999999992</v>
      </c>
    </row>
    <row r="145" spans="1:10" s="51" customFormat="1" ht="20.100000000000001" customHeight="1" outlineLevel="1">
      <c r="A145" s="52"/>
      <c r="B145" s="50" t="s">
        <v>45</v>
      </c>
      <c r="C145" s="71">
        <v>89744</v>
      </c>
      <c r="D145" s="50" t="s">
        <v>26</v>
      </c>
      <c r="E145" s="23" t="s">
        <v>162</v>
      </c>
      <c r="F145" s="50" t="s">
        <v>23</v>
      </c>
      <c r="G145" s="48">
        <v>10</v>
      </c>
      <c r="H145" s="48">
        <v>31.1</v>
      </c>
      <c r="I145" s="66">
        <f t="shared" ref="I145:I147" si="65">(H145*$J$7)+H145</f>
        <v>40.094120000000004</v>
      </c>
      <c r="J145" s="66">
        <f t="shared" ref="J145:J147" si="66">G145*I145</f>
        <v>400.94120000000004</v>
      </c>
    </row>
    <row r="146" spans="1:10" s="51" customFormat="1" ht="20.100000000000001" customHeight="1" outlineLevel="1">
      <c r="A146" s="52"/>
      <c r="B146" s="50" t="s">
        <v>46</v>
      </c>
      <c r="C146" s="71">
        <v>89750</v>
      </c>
      <c r="D146" s="50" t="s">
        <v>26</v>
      </c>
      <c r="E146" s="23" t="s">
        <v>362</v>
      </c>
      <c r="F146" s="50" t="s">
        <v>23</v>
      </c>
      <c r="G146" s="48">
        <v>9</v>
      </c>
      <c r="H146" s="48">
        <v>96.9</v>
      </c>
      <c r="I146" s="66">
        <f t="shared" si="65"/>
        <v>124.92348000000001</v>
      </c>
      <c r="J146" s="66">
        <f t="shared" si="66"/>
        <v>1124.31132</v>
      </c>
    </row>
    <row r="147" spans="1:10" s="51" customFormat="1" ht="20.100000000000001" customHeight="1" outlineLevel="1">
      <c r="A147" s="52"/>
      <c r="B147" s="50" t="s">
        <v>47</v>
      </c>
      <c r="C147" s="71">
        <v>89732</v>
      </c>
      <c r="D147" s="50" t="s">
        <v>26</v>
      </c>
      <c r="E147" s="23" t="s">
        <v>364</v>
      </c>
      <c r="F147" s="50" t="s">
        <v>23</v>
      </c>
      <c r="G147" s="48">
        <v>4</v>
      </c>
      <c r="H147" s="48">
        <v>17.399999999999999</v>
      </c>
      <c r="I147" s="66">
        <f t="shared" si="65"/>
        <v>22.432079999999999</v>
      </c>
      <c r="J147" s="66">
        <f t="shared" si="66"/>
        <v>89.728319999999997</v>
      </c>
    </row>
    <row r="148" spans="1:10" s="51" customFormat="1" ht="20.100000000000001" customHeight="1" outlineLevel="1">
      <c r="A148" s="52"/>
      <c r="B148" s="50" t="s">
        <v>115</v>
      </c>
      <c r="C148" s="71">
        <v>89746</v>
      </c>
      <c r="D148" s="50" t="s">
        <v>26</v>
      </c>
      <c r="E148" s="23" t="s">
        <v>365</v>
      </c>
      <c r="F148" s="50" t="s">
        <v>23</v>
      </c>
      <c r="G148" s="48">
        <v>4</v>
      </c>
      <c r="H148" s="48">
        <v>32</v>
      </c>
      <c r="I148" s="66">
        <f t="shared" ref="I148" si="67">(H148*$J$7)+H148</f>
        <v>41.254400000000004</v>
      </c>
      <c r="J148" s="66">
        <f t="shared" ref="J148" si="68">G148*I148</f>
        <v>165.01760000000002</v>
      </c>
    </row>
    <row r="149" spans="1:10" s="51" customFormat="1" ht="20.100000000000001" customHeight="1" outlineLevel="1">
      <c r="A149" s="52"/>
      <c r="B149" s="50" t="s">
        <v>155</v>
      </c>
      <c r="C149" s="71">
        <v>89785</v>
      </c>
      <c r="D149" s="50" t="s">
        <v>26</v>
      </c>
      <c r="E149" s="23" t="s">
        <v>99</v>
      </c>
      <c r="F149" s="50" t="s">
        <v>23</v>
      </c>
      <c r="G149" s="48">
        <v>1</v>
      </c>
      <c r="H149" s="48">
        <v>30</v>
      </c>
      <c r="I149" s="66">
        <f t="shared" si="63"/>
        <v>38.676000000000002</v>
      </c>
      <c r="J149" s="66">
        <f t="shared" si="64"/>
        <v>38.676000000000002</v>
      </c>
    </row>
    <row r="150" spans="1:10" s="51" customFormat="1" ht="20.100000000000001" customHeight="1" outlineLevel="1">
      <c r="A150" s="52"/>
      <c r="B150" s="50" t="s">
        <v>160</v>
      </c>
      <c r="C150" s="71">
        <v>89569</v>
      </c>
      <c r="D150" s="50" t="s">
        <v>26</v>
      </c>
      <c r="E150" s="23" t="s">
        <v>367</v>
      </c>
      <c r="F150" s="50" t="s">
        <v>23</v>
      </c>
      <c r="G150" s="48">
        <v>4</v>
      </c>
      <c r="H150" s="48">
        <v>114.3</v>
      </c>
      <c r="I150" s="66">
        <f t="shared" si="63"/>
        <v>147.35556</v>
      </c>
      <c r="J150" s="66">
        <f t="shared" si="64"/>
        <v>589.42223999999999</v>
      </c>
    </row>
    <row r="151" spans="1:10" s="51" customFormat="1" ht="20.100000000000001" customHeight="1" outlineLevel="1">
      <c r="A151" s="52"/>
      <c r="B151" s="50" t="s">
        <v>356</v>
      </c>
      <c r="C151" s="71">
        <v>89797</v>
      </c>
      <c r="D151" s="50" t="s">
        <v>26</v>
      </c>
      <c r="E151" s="23" t="s">
        <v>366</v>
      </c>
      <c r="F151" s="50" t="s">
        <v>23</v>
      </c>
      <c r="G151" s="48">
        <v>3</v>
      </c>
      <c r="H151" s="48">
        <v>60</v>
      </c>
      <c r="I151" s="66">
        <f t="shared" si="63"/>
        <v>77.352000000000004</v>
      </c>
      <c r="J151" s="66">
        <f t="shared" si="64"/>
        <v>232.05600000000001</v>
      </c>
    </row>
    <row r="152" spans="1:10" s="51" customFormat="1" ht="20.100000000000001" customHeight="1" outlineLevel="1">
      <c r="A152" s="52"/>
      <c r="B152" s="50" t="s">
        <v>358</v>
      </c>
      <c r="C152" s="71">
        <v>86883</v>
      </c>
      <c r="D152" s="50" t="s">
        <v>26</v>
      </c>
      <c r="E152" s="23" t="s">
        <v>359</v>
      </c>
      <c r="F152" s="50" t="s">
        <v>23</v>
      </c>
      <c r="G152" s="48">
        <v>10</v>
      </c>
      <c r="H152" s="48">
        <v>14.2</v>
      </c>
      <c r="I152" s="66">
        <f t="shared" si="63"/>
        <v>18.306639999999998</v>
      </c>
      <c r="J152" s="66">
        <f t="shared" si="64"/>
        <v>183.06639999999999</v>
      </c>
    </row>
    <row r="153" spans="1:10" s="51" customFormat="1" ht="20.100000000000001" customHeight="1" outlineLevel="1">
      <c r="A153" s="52"/>
      <c r="B153" s="50" t="s">
        <v>360</v>
      </c>
      <c r="C153" s="71">
        <v>89708</v>
      </c>
      <c r="D153" s="50" t="s">
        <v>26</v>
      </c>
      <c r="E153" s="23" t="s">
        <v>216</v>
      </c>
      <c r="F153" s="50" t="s">
        <v>23</v>
      </c>
      <c r="G153" s="48">
        <v>6</v>
      </c>
      <c r="H153" s="48">
        <v>140</v>
      </c>
      <c r="I153" s="66">
        <f t="shared" si="63"/>
        <v>180.488</v>
      </c>
      <c r="J153" s="66">
        <f t="shared" si="64"/>
        <v>1082.9279999999999</v>
      </c>
    </row>
    <row r="154" spans="1:10" s="51" customFormat="1" ht="20.100000000000001" customHeight="1" outlineLevel="1">
      <c r="A154" s="52"/>
      <c r="B154" s="50" t="s">
        <v>361</v>
      </c>
      <c r="C154" s="71">
        <v>104328</v>
      </c>
      <c r="D154" s="50" t="s">
        <v>26</v>
      </c>
      <c r="E154" s="23" t="s">
        <v>357</v>
      </c>
      <c r="F154" s="50" t="s">
        <v>23</v>
      </c>
      <c r="G154" s="48">
        <v>7</v>
      </c>
      <c r="H154" s="48">
        <v>97</v>
      </c>
      <c r="I154" s="66">
        <f t="shared" si="63"/>
        <v>125.05240000000001</v>
      </c>
      <c r="J154" s="66">
        <f t="shared" si="64"/>
        <v>875.36680000000001</v>
      </c>
    </row>
    <row r="155" spans="1:10" s="51" customFormat="1" ht="20.100000000000001" customHeight="1" outlineLevel="1">
      <c r="A155" s="52"/>
      <c r="B155" s="50" t="s">
        <v>363</v>
      </c>
      <c r="C155" s="71">
        <v>97974</v>
      </c>
      <c r="D155" s="50" t="s">
        <v>26</v>
      </c>
      <c r="E155" s="23" t="s">
        <v>465</v>
      </c>
      <c r="F155" s="50" t="s">
        <v>23</v>
      </c>
      <c r="G155" s="48">
        <v>4</v>
      </c>
      <c r="H155" s="48">
        <v>550</v>
      </c>
      <c r="I155" s="66">
        <f t="shared" si="63"/>
        <v>709.06</v>
      </c>
      <c r="J155" s="66">
        <f t="shared" si="64"/>
        <v>2836.24</v>
      </c>
    </row>
    <row r="156" spans="1:10" s="51" customFormat="1" ht="20.100000000000001" customHeight="1" outlineLevel="1">
      <c r="A156" s="52"/>
      <c r="B156" s="50" t="s">
        <v>368</v>
      </c>
      <c r="C156" s="71">
        <v>98107</v>
      </c>
      <c r="D156" s="39" t="s">
        <v>26</v>
      </c>
      <c r="E156" s="23" t="s">
        <v>108</v>
      </c>
      <c r="F156" s="50" t="s">
        <v>23</v>
      </c>
      <c r="G156" s="48">
        <v>1</v>
      </c>
      <c r="H156" s="48">
        <v>310</v>
      </c>
      <c r="I156" s="66">
        <f t="shared" ref="I156" si="69">(H156*$J$7)+H156</f>
        <v>399.65199999999999</v>
      </c>
      <c r="J156" s="66">
        <f t="shared" ref="J156" si="70">G156*I156</f>
        <v>399.65199999999999</v>
      </c>
    </row>
    <row r="157" spans="1:10" s="51" customFormat="1" ht="20.100000000000001" customHeight="1" outlineLevel="1">
      <c r="A157" s="52"/>
      <c r="B157" s="58"/>
      <c r="C157" s="59"/>
      <c r="D157" s="59"/>
      <c r="E157" s="59"/>
      <c r="F157" s="59"/>
      <c r="G157" s="59"/>
      <c r="H157" s="60" t="s">
        <v>44</v>
      </c>
      <c r="I157" s="17"/>
      <c r="J157" s="67">
        <f>SUM(J139:J156)</f>
        <v>14901.656528</v>
      </c>
    </row>
    <row r="158" spans="1:10" s="51" customFormat="1" ht="20.100000000000001" customHeight="1" outlineLevel="1">
      <c r="A158" s="52"/>
      <c r="B158" s="52"/>
      <c r="C158" s="52"/>
      <c r="D158" s="52"/>
      <c r="E158" s="26"/>
      <c r="F158" s="52"/>
      <c r="G158" s="35"/>
      <c r="H158" s="34"/>
      <c r="I158" s="8"/>
      <c r="J158" s="56"/>
    </row>
    <row r="159" spans="1:10" s="51" customFormat="1" ht="20.100000000000001" customHeight="1">
      <c r="A159" s="52"/>
      <c r="B159" s="147">
        <v>15</v>
      </c>
      <c r="C159" s="30"/>
      <c r="D159" s="30"/>
      <c r="E159" s="22" t="s">
        <v>89</v>
      </c>
      <c r="F159" s="22"/>
      <c r="G159" s="38"/>
      <c r="H159" s="38"/>
      <c r="I159" s="22"/>
      <c r="J159" s="57"/>
    </row>
    <row r="160" spans="1:10" s="51" customFormat="1" ht="20.100000000000001" customHeight="1">
      <c r="A160" s="52"/>
      <c r="B160" s="50" t="s">
        <v>11</v>
      </c>
      <c r="C160" s="74">
        <v>95471</v>
      </c>
      <c r="D160" s="50" t="s">
        <v>26</v>
      </c>
      <c r="E160" s="23" t="s">
        <v>156</v>
      </c>
      <c r="F160" s="50" t="s">
        <v>23</v>
      </c>
      <c r="G160" s="48">
        <v>2</v>
      </c>
      <c r="H160" s="48">
        <v>1000</v>
      </c>
      <c r="I160" s="66">
        <f t="shared" ref="I160:I174" si="71">(H160*$J$7)+H160</f>
        <v>1289.2</v>
      </c>
      <c r="J160" s="66">
        <f>G160*I160</f>
        <v>2578.4</v>
      </c>
    </row>
    <row r="161" spans="1:10" s="51" customFormat="1" ht="20.100000000000001" customHeight="1">
      <c r="A161" s="52"/>
      <c r="B161" s="50" t="s">
        <v>125</v>
      </c>
      <c r="C161" s="74">
        <v>86931</v>
      </c>
      <c r="D161" s="50" t="s">
        <v>26</v>
      </c>
      <c r="E161" s="23" t="s">
        <v>150</v>
      </c>
      <c r="F161" s="50" t="s">
        <v>23</v>
      </c>
      <c r="G161" s="48">
        <v>7</v>
      </c>
      <c r="H161" s="48">
        <v>625</v>
      </c>
      <c r="I161" s="66">
        <f>(H161*$J$7)+H161</f>
        <v>805.75</v>
      </c>
      <c r="J161" s="66">
        <f>G161*I161</f>
        <v>5640.25</v>
      </c>
    </row>
    <row r="162" spans="1:10" s="51" customFormat="1" ht="20.100000000000001" customHeight="1">
      <c r="A162" s="52"/>
      <c r="B162" s="50" t="s">
        <v>12</v>
      </c>
      <c r="C162" s="74">
        <v>100849</v>
      </c>
      <c r="D162" s="50" t="s">
        <v>26</v>
      </c>
      <c r="E162" s="23" t="s">
        <v>154</v>
      </c>
      <c r="F162" s="50" t="s">
        <v>23</v>
      </c>
      <c r="G162" s="48">
        <v>9</v>
      </c>
      <c r="H162" s="48">
        <v>39</v>
      </c>
      <c r="I162" s="66">
        <f>(H162*$J$7)+H162</f>
        <v>50.278800000000004</v>
      </c>
      <c r="J162" s="66">
        <f>G162*I162</f>
        <v>452.50920000000002</v>
      </c>
    </row>
    <row r="163" spans="1:10" s="51" customFormat="1" ht="20.100000000000001" customHeight="1">
      <c r="A163" s="52"/>
      <c r="B163" s="50" t="s">
        <v>260</v>
      </c>
      <c r="C163" s="71">
        <v>86904</v>
      </c>
      <c r="D163" s="50" t="s">
        <v>26</v>
      </c>
      <c r="E163" s="23" t="s">
        <v>369</v>
      </c>
      <c r="F163" s="50" t="s">
        <v>23</v>
      </c>
      <c r="G163" s="48">
        <v>2</v>
      </c>
      <c r="H163" s="48">
        <v>174</v>
      </c>
      <c r="I163" s="66">
        <f t="shared" ref="I163" si="72">(H163*$J$7)+H163</f>
        <v>224.32080000000002</v>
      </c>
      <c r="J163" s="66">
        <f t="shared" ref="J163" si="73">G163*I163</f>
        <v>448.64160000000004</v>
      </c>
    </row>
    <row r="164" spans="1:10" ht="28.5" customHeight="1" outlineLevel="1">
      <c r="A164" s="52"/>
      <c r="B164" s="50" t="s">
        <v>261</v>
      </c>
      <c r="C164" s="71" t="s">
        <v>488</v>
      </c>
      <c r="D164" s="50" t="s">
        <v>26</v>
      </c>
      <c r="E164" s="23" t="s">
        <v>453</v>
      </c>
      <c r="F164" s="50" t="s">
        <v>23</v>
      </c>
      <c r="G164" s="48">
        <v>2</v>
      </c>
      <c r="H164" s="48">
        <v>6871.24</v>
      </c>
      <c r="I164" s="66">
        <f t="shared" si="71"/>
        <v>8858.4026080000003</v>
      </c>
      <c r="J164" s="66">
        <f t="shared" ref="J164:J174" si="74">G164*I164</f>
        <v>17716.805216000001</v>
      </c>
    </row>
    <row r="165" spans="1:10" ht="19.5" customHeight="1" outlineLevel="1">
      <c r="A165" s="52"/>
      <c r="B165" s="50" t="s">
        <v>262</v>
      </c>
      <c r="C165" s="71">
        <v>100858</v>
      </c>
      <c r="D165" s="50" t="s">
        <v>26</v>
      </c>
      <c r="E165" s="23" t="s">
        <v>454</v>
      </c>
      <c r="F165" s="50" t="s">
        <v>23</v>
      </c>
      <c r="G165" s="48">
        <v>6</v>
      </c>
      <c r="H165" s="48">
        <v>945</v>
      </c>
      <c r="I165" s="66">
        <f t="shared" si="71"/>
        <v>1218.2940000000001</v>
      </c>
      <c r="J165" s="66">
        <f t="shared" si="74"/>
        <v>7309.764000000001</v>
      </c>
    </row>
    <row r="166" spans="1:10" ht="19.5" customHeight="1" outlineLevel="1">
      <c r="A166" s="52"/>
      <c r="B166" s="50" t="s">
        <v>285</v>
      </c>
      <c r="C166" s="71">
        <v>95544</v>
      </c>
      <c r="D166" s="50" t="s">
        <v>26</v>
      </c>
      <c r="E166" s="23" t="s">
        <v>153</v>
      </c>
      <c r="F166" s="50" t="s">
        <v>23</v>
      </c>
      <c r="G166" s="48">
        <v>9</v>
      </c>
      <c r="H166" s="48">
        <v>95</v>
      </c>
      <c r="I166" s="66">
        <f t="shared" si="71"/>
        <v>122.474</v>
      </c>
      <c r="J166" s="66">
        <f t="shared" si="74"/>
        <v>1102.2660000000001</v>
      </c>
    </row>
    <row r="167" spans="1:10" ht="21" customHeight="1" outlineLevel="1">
      <c r="A167" s="52"/>
      <c r="B167" s="50" t="s">
        <v>286</v>
      </c>
      <c r="C167" s="71">
        <v>86906</v>
      </c>
      <c r="D167" s="50" t="s">
        <v>26</v>
      </c>
      <c r="E167" s="23" t="s">
        <v>159</v>
      </c>
      <c r="F167" s="50" t="s">
        <v>23</v>
      </c>
      <c r="G167" s="48">
        <v>10</v>
      </c>
      <c r="H167" s="48">
        <v>140</v>
      </c>
      <c r="I167" s="66">
        <f t="shared" si="71"/>
        <v>180.488</v>
      </c>
      <c r="J167" s="66">
        <f t="shared" si="74"/>
        <v>1804.88</v>
      </c>
    </row>
    <row r="168" spans="1:10" ht="19.5" customHeight="1" outlineLevel="1">
      <c r="A168" s="52"/>
      <c r="B168" s="50" t="s">
        <v>287</v>
      </c>
      <c r="C168" s="71">
        <v>95547</v>
      </c>
      <c r="D168" s="50" t="s">
        <v>26</v>
      </c>
      <c r="E168" s="23" t="s">
        <v>151</v>
      </c>
      <c r="F168" s="50" t="s">
        <v>23</v>
      </c>
      <c r="G168" s="48">
        <v>4</v>
      </c>
      <c r="H168" s="48">
        <v>60</v>
      </c>
      <c r="I168" s="66">
        <f t="shared" si="71"/>
        <v>77.352000000000004</v>
      </c>
      <c r="J168" s="66">
        <f t="shared" si="74"/>
        <v>309.40800000000002</v>
      </c>
    </row>
    <row r="169" spans="1:10" ht="19.5" customHeight="1" outlineLevel="1">
      <c r="A169" s="52"/>
      <c r="B169" s="50" t="s">
        <v>288</v>
      </c>
      <c r="C169" s="71">
        <v>100874</v>
      </c>
      <c r="D169" s="50" t="s">
        <v>26</v>
      </c>
      <c r="E169" s="23" t="s">
        <v>157</v>
      </c>
      <c r="F169" s="50" t="s">
        <v>23</v>
      </c>
      <c r="G169" s="48">
        <v>2</v>
      </c>
      <c r="H169" s="48">
        <v>395</v>
      </c>
      <c r="I169" s="66">
        <f t="shared" si="71"/>
        <v>509.23400000000004</v>
      </c>
      <c r="J169" s="66">
        <f t="shared" si="74"/>
        <v>1018.4680000000001</v>
      </c>
    </row>
    <row r="170" spans="1:10" ht="19.5" customHeight="1" outlineLevel="1">
      <c r="A170" s="52"/>
      <c r="B170" s="50" t="s">
        <v>289</v>
      </c>
      <c r="C170" s="71">
        <v>100868</v>
      </c>
      <c r="D170" s="50" t="s">
        <v>26</v>
      </c>
      <c r="E170" s="23" t="s">
        <v>158</v>
      </c>
      <c r="F170" s="50" t="s">
        <v>23</v>
      </c>
      <c r="G170" s="48">
        <v>4</v>
      </c>
      <c r="H170" s="48">
        <v>440</v>
      </c>
      <c r="I170" s="66">
        <f t="shared" si="71"/>
        <v>567.24800000000005</v>
      </c>
      <c r="J170" s="66">
        <f t="shared" si="74"/>
        <v>2268.9920000000002</v>
      </c>
    </row>
    <row r="171" spans="1:10" ht="19.5" customHeight="1" outlineLevel="1">
      <c r="A171" s="52"/>
      <c r="B171" s="50" t="s">
        <v>290</v>
      </c>
      <c r="C171" s="71">
        <v>102253</v>
      </c>
      <c r="D171" s="50" t="s">
        <v>26</v>
      </c>
      <c r="E171" s="16" t="s">
        <v>257</v>
      </c>
      <c r="F171" s="50" t="s">
        <v>27</v>
      </c>
      <c r="G171" s="48">
        <f>(((1.6+1.7)*1.8*2)*3)+(4*1.4*1.8)+(2.35*1.8)+(0.6*1.8)+(1.7*1.8*2)+(1.4*1.8)+(2.2*1.8)</f>
        <v>63.63</v>
      </c>
      <c r="H171" s="48">
        <v>950</v>
      </c>
      <c r="I171" s="66">
        <f t="shared" si="71"/>
        <v>1224.74</v>
      </c>
      <c r="J171" s="66">
        <f t="shared" si="74"/>
        <v>77930.206200000001</v>
      </c>
    </row>
    <row r="172" spans="1:10" ht="19.5" customHeight="1" outlineLevel="1">
      <c r="A172" s="52"/>
      <c r="B172" s="50" t="s">
        <v>291</v>
      </c>
      <c r="C172" s="71">
        <v>102253</v>
      </c>
      <c r="D172" s="50" t="s">
        <v>26</v>
      </c>
      <c r="E172" s="16" t="s">
        <v>455</v>
      </c>
      <c r="F172" s="50" t="s">
        <v>27</v>
      </c>
      <c r="G172" s="48">
        <f>6*0.4*1.4</f>
        <v>3.3600000000000003</v>
      </c>
      <c r="H172" s="48">
        <v>950</v>
      </c>
      <c r="I172" s="66">
        <f t="shared" si="71"/>
        <v>1224.74</v>
      </c>
      <c r="J172" s="66">
        <f t="shared" si="74"/>
        <v>4115.1264000000001</v>
      </c>
    </row>
    <row r="173" spans="1:10" ht="19.5" customHeight="1" outlineLevel="1">
      <c r="A173" s="52"/>
      <c r="B173" s="50" t="s">
        <v>292</v>
      </c>
      <c r="C173" s="71">
        <v>11186</v>
      </c>
      <c r="D173" s="40" t="s">
        <v>234</v>
      </c>
      <c r="E173" s="23" t="s">
        <v>295</v>
      </c>
      <c r="F173" s="50" t="s">
        <v>27</v>
      </c>
      <c r="G173" s="48">
        <f>(0.6*0.6*2)+(4.5*0.6*2)</f>
        <v>6.1199999999999992</v>
      </c>
      <c r="H173" s="48">
        <v>340</v>
      </c>
      <c r="I173" s="66">
        <f t="shared" si="71"/>
        <v>438.32799999999997</v>
      </c>
      <c r="J173" s="66">
        <f t="shared" si="74"/>
        <v>2682.5673599999996</v>
      </c>
    </row>
    <row r="174" spans="1:10" ht="19.5" customHeight="1" outlineLevel="1">
      <c r="A174" s="52"/>
      <c r="B174" s="50" t="s">
        <v>293</v>
      </c>
      <c r="C174" s="40"/>
      <c r="D174" s="40" t="s">
        <v>1</v>
      </c>
      <c r="E174" s="23" t="s">
        <v>152</v>
      </c>
      <c r="F174" s="50" t="s">
        <v>23</v>
      </c>
      <c r="G174" s="48">
        <v>4</v>
      </c>
      <c r="H174" s="48">
        <v>60</v>
      </c>
      <c r="I174" s="66">
        <f t="shared" si="71"/>
        <v>77.352000000000004</v>
      </c>
      <c r="J174" s="66">
        <f t="shared" si="74"/>
        <v>309.40800000000002</v>
      </c>
    </row>
    <row r="175" spans="1:10" ht="19.5" customHeight="1" outlineLevel="1">
      <c r="A175" s="52"/>
      <c r="B175" s="50" t="s">
        <v>294</v>
      </c>
      <c r="C175" s="71">
        <v>100866</v>
      </c>
      <c r="D175" s="50" t="s">
        <v>26</v>
      </c>
      <c r="E175" s="23" t="s">
        <v>370</v>
      </c>
      <c r="F175" s="50" t="s">
        <v>23</v>
      </c>
      <c r="G175" s="48">
        <v>4</v>
      </c>
      <c r="H175" s="48">
        <v>395</v>
      </c>
      <c r="I175" s="66">
        <f t="shared" ref="I175" si="75">(H175*$J$7)+H175</f>
        <v>509.23400000000004</v>
      </c>
      <c r="J175" s="66">
        <f t="shared" ref="J175" si="76">G175*I175</f>
        <v>2036.9360000000001</v>
      </c>
    </row>
    <row r="176" spans="1:10" ht="19.5" customHeight="1" outlineLevel="1">
      <c r="A176" s="52"/>
      <c r="B176" s="58"/>
      <c r="C176" s="59"/>
      <c r="D176" s="59"/>
      <c r="E176" s="59"/>
      <c r="F176" s="59"/>
      <c r="G176" s="59"/>
      <c r="H176" s="60" t="s">
        <v>44</v>
      </c>
      <c r="I176" s="17"/>
      <c r="J176" s="67">
        <f>SUM(J160:J175)</f>
        <v>127724.627976</v>
      </c>
    </row>
    <row r="177" spans="1:10" ht="20.100000000000001" customHeight="1" outlineLevel="1">
      <c r="A177" s="52"/>
      <c r="B177" s="52"/>
      <c r="C177" s="52"/>
      <c r="D177" s="52"/>
      <c r="E177" s="26"/>
      <c r="F177" s="52"/>
      <c r="G177" s="35"/>
      <c r="H177" s="34"/>
      <c r="I177" s="8"/>
      <c r="J177" s="56"/>
    </row>
    <row r="178" spans="1:10" ht="20.100000000000001" customHeight="1">
      <c r="A178" s="52"/>
      <c r="B178" s="147">
        <v>16</v>
      </c>
      <c r="C178" s="30"/>
      <c r="D178" s="30"/>
      <c r="E178" s="22" t="s">
        <v>43</v>
      </c>
      <c r="F178" s="22"/>
      <c r="G178" s="38"/>
      <c r="H178" s="38"/>
      <c r="I178" s="22"/>
      <c r="J178" s="57"/>
    </row>
    <row r="179" spans="1:10" ht="20.100000000000001" customHeight="1">
      <c r="A179" s="52"/>
      <c r="B179" s="150" t="s">
        <v>48</v>
      </c>
      <c r="C179" s="150"/>
      <c r="D179" s="150"/>
      <c r="E179" s="151" t="s">
        <v>299</v>
      </c>
      <c r="F179" s="151"/>
      <c r="G179" s="152"/>
      <c r="H179" s="152"/>
      <c r="I179" s="151"/>
      <c r="J179" s="153"/>
    </row>
    <row r="180" spans="1:10" s="51" customFormat="1" ht="20.100000000000001" customHeight="1">
      <c r="A180" s="52"/>
      <c r="B180" s="50" t="s">
        <v>300</v>
      </c>
      <c r="C180" s="75"/>
      <c r="D180" s="15" t="s">
        <v>1</v>
      </c>
      <c r="E180" s="49" t="s">
        <v>301</v>
      </c>
      <c r="F180" s="50" t="s">
        <v>23</v>
      </c>
      <c r="G180" s="48">
        <v>3</v>
      </c>
      <c r="H180" s="48">
        <v>150</v>
      </c>
      <c r="I180" s="66">
        <f t="shared" ref="I180" si="77">(H180*$J$7)+H180</f>
        <v>193.38</v>
      </c>
      <c r="J180" s="66">
        <f>G180*I180</f>
        <v>580.14</v>
      </c>
    </row>
    <row r="181" spans="1:10" s="51" customFormat="1" ht="20.100000000000001" customHeight="1">
      <c r="A181" s="52"/>
      <c r="B181" s="12" t="s">
        <v>49</v>
      </c>
      <c r="C181" s="75"/>
      <c r="D181" s="15"/>
      <c r="E181" s="20" t="s">
        <v>302</v>
      </c>
      <c r="F181" s="50"/>
      <c r="G181" s="48"/>
      <c r="H181" s="48"/>
      <c r="I181" s="66"/>
      <c r="J181" s="66"/>
    </row>
    <row r="182" spans="1:10" s="51" customFormat="1" ht="20.100000000000001" customHeight="1" outlineLevel="1">
      <c r="A182" s="52"/>
      <c r="B182" s="50" t="s">
        <v>126</v>
      </c>
      <c r="C182" s="74">
        <v>101908</v>
      </c>
      <c r="D182" s="28" t="s">
        <v>26</v>
      </c>
      <c r="E182" s="49" t="s">
        <v>376</v>
      </c>
      <c r="F182" s="50" t="s">
        <v>23</v>
      </c>
      <c r="G182" s="48">
        <v>3</v>
      </c>
      <c r="H182" s="48">
        <v>215</v>
      </c>
      <c r="I182" s="66">
        <f t="shared" ref="I182:I188" si="78">(H182*$J$7)+H182</f>
        <v>277.178</v>
      </c>
      <c r="J182" s="66">
        <f t="shared" ref="J182:J188" si="79">G182*I182</f>
        <v>831.53399999999999</v>
      </c>
    </row>
    <row r="183" spans="1:10" s="51" customFormat="1" ht="20.100000000000001" customHeight="1" outlineLevel="1">
      <c r="A183" s="52"/>
      <c r="B183" s="12" t="s">
        <v>50</v>
      </c>
      <c r="C183" s="74"/>
      <c r="D183" s="28"/>
      <c r="E183" s="20" t="s">
        <v>298</v>
      </c>
      <c r="F183" s="50"/>
      <c r="G183" s="48"/>
      <c r="H183" s="48"/>
      <c r="I183" s="66"/>
      <c r="J183" s="66"/>
    </row>
    <row r="184" spans="1:10" s="51" customFormat="1" ht="20.100000000000001" customHeight="1" outlineLevel="1">
      <c r="A184" s="52"/>
      <c r="B184" s="50" t="s">
        <v>127</v>
      </c>
      <c r="C184" s="74">
        <v>37559</v>
      </c>
      <c r="D184" s="28" t="s">
        <v>234</v>
      </c>
      <c r="E184" s="49" t="s">
        <v>297</v>
      </c>
      <c r="F184" s="50" t="s">
        <v>23</v>
      </c>
      <c r="G184" s="48">
        <v>5</v>
      </c>
      <c r="H184" s="48">
        <v>30</v>
      </c>
      <c r="I184" s="66">
        <f t="shared" ref="I184:I186" si="80">(H184*$J$7)+H184</f>
        <v>38.676000000000002</v>
      </c>
      <c r="J184" s="66">
        <f t="shared" ref="J184:J186" si="81">G184*I184</f>
        <v>193.38</v>
      </c>
    </row>
    <row r="185" spans="1:10" s="51" customFormat="1" ht="20.100000000000001" customHeight="1" outlineLevel="1">
      <c r="A185" s="52"/>
      <c r="B185" s="50" t="s">
        <v>128</v>
      </c>
      <c r="C185" s="74">
        <v>37556</v>
      </c>
      <c r="D185" s="28" t="s">
        <v>234</v>
      </c>
      <c r="E185" s="49" t="s">
        <v>296</v>
      </c>
      <c r="F185" s="50" t="s">
        <v>23</v>
      </c>
      <c r="G185" s="48">
        <v>3</v>
      </c>
      <c r="H185" s="48">
        <v>24.5</v>
      </c>
      <c r="I185" s="66">
        <f t="shared" si="80"/>
        <v>31.5854</v>
      </c>
      <c r="J185" s="66">
        <f t="shared" si="81"/>
        <v>94.756200000000007</v>
      </c>
    </row>
    <row r="186" spans="1:10" s="51" customFormat="1" ht="20.100000000000001" customHeight="1" outlineLevel="1">
      <c r="A186" s="52"/>
      <c r="B186" s="50" t="s">
        <v>129</v>
      </c>
      <c r="C186" s="74">
        <v>37556</v>
      </c>
      <c r="D186" s="28" t="s">
        <v>234</v>
      </c>
      <c r="E186" s="49" t="s">
        <v>377</v>
      </c>
      <c r="F186" s="50" t="s">
        <v>23</v>
      </c>
      <c r="G186" s="48">
        <v>2</v>
      </c>
      <c r="H186" s="48">
        <v>24.5</v>
      </c>
      <c r="I186" s="66">
        <f t="shared" si="80"/>
        <v>31.5854</v>
      </c>
      <c r="J186" s="66">
        <f t="shared" si="81"/>
        <v>63.1708</v>
      </c>
    </row>
    <row r="187" spans="1:10" s="51" customFormat="1" ht="20.100000000000001" customHeight="1" outlineLevel="1">
      <c r="A187" s="52"/>
      <c r="B187" s="50" t="s">
        <v>130</v>
      </c>
      <c r="C187" s="74">
        <v>37556</v>
      </c>
      <c r="D187" s="28" t="s">
        <v>234</v>
      </c>
      <c r="E187" s="49" t="s">
        <v>312</v>
      </c>
      <c r="F187" s="50" t="s">
        <v>23</v>
      </c>
      <c r="G187" s="48">
        <v>1</v>
      </c>
      <c r="H187" s="48">
        <v>24.5</v>
      </c>
      <c r="I187" s="66">
        <f t="shared" ref="I187" si="82">(H187*$J$7)+H187</f>
        <v>31.5854</v>
      </c>
      <c r="J187" s="66">
        <f t="shared" ref="J187" si="83">G187*I187</f>
        <v>31.5854</v>
      </c>
    </row>
    <row r="188" spans="1:10" s="51" customFormat="1" ht="20.100000000000001" customHeight="1" outlineLevel="1">
      <c r="A188" s="52"/>
      <c r="B188" s="50" t="s">
        <v>499</v>
      </c>
      <c r="C188" s="74">
        <v>37558</v>
      </c>
      <c r="D188" s="28" t="s">
        <v>234</v>
      </c>
      <c r="E188" s="49" t="s">
        <v>259</v>
      </c>
      <c r="F188" s="50" t="s">
        <v>23</v>
      </c>
      <c r="G188" s="48">
        <v>3</v>
      </c>
      <c r="H188" s="48">
        <v>40</v>
      </c>
      <c r="I188" s="66">
        <f t="shared" si="78"/>
        <v>51.567999999999998</v>
      </c>
      <c r="J188" s="66">
        <f t="shared" si="79"/>
        <v>154.70400000000001</v>
      </c>
    </row>
    <row r="189" spans="1:10" s="51" customFormat="1" ht="20.100000000000001" customHeight="1" outlineLevel="1">
      <c r="A189" s="52"/>
      <c r="B189" s="12" t="s">
        <v>131</v>
      </c>
      <c r="C189" s="74"/>
      <c r="D189" s="28"/>
      <c r="E189" s="20" t="s">
        <v>303</v>
      </c>
      <c r="F189" s="50"/>
      <c r="G189" s="48"/>
      <c r="H189" s="48"/>
      <c r="I189" s="66"/>
      <c r="J189" s="66"/>
    </row>
    <row r="190" spans="1:10" s="51" customFormat="1" ht="28.5" customHeight="1" outlineLevel="1">
      <c r="A190" s="52"/>
      <c r="B190" s="50" t="s">
        <v>132</v>
      </c>
      <c r="C190" s="74">
        <v>20963</v>
      </c>
      <c r="D190" s="40" t="s">
        <v>234</v>
      </c>
      <c r="E190" s="49" t="s">
        <v>378</v>
      </c>
      <c r="F190" s="50" t="s">
        <v>23</v>
      </c>
      <c r="G190" s="48">
        <v>1</v>
      </c>
      <c r="H190" s="48">
        <v>420</v>
      </c>
      <c r="I190" s="66">
        <f t="shared" ref="I190" si="84">(H190*$J$7)+H190</f>
        <v>541.46399999999994</v>
      </c>
      <c r="J190" s="66">
        <f t="shared" ref="J190" si="85">G190*I190</f>
        <v>541.46399999999994</v>
      </c>
    </row>
    <row r="191" spans="1:10" s="51" customFormat="1" ht="20.100000000000001" customHeight="1" outlineLevel="1">
      <c r="A191" s="52"/>
      <c r="B191" s="50" t="s">
        <v>133</v>
      </c>
      <c r="C191" s="74">
        <v>21030</v>
      </c>
      <c r="D191" s="40" t="s">
        <v>234</v>
      </c>
      <c r="E191" s="49" t="s">
        <v>379</v>
      </c>
      <c r="F191" s="50" t="s">
        <v>23</v>
      </c>
      <c r="G191" s="48">
        <v>1</v>
      </c>
      <c r="H191" s="48">
        <v>490</v>
      </c>
      <c r="I191" s="66">
        <f t="shared" ref="I191:I197" si="86">(H191*$J$7)+H191</f>
        <v>631.70799999999997</v>
      </c>
      <c r="J191" s="66">
        <f t="shared" ref="J191:J197" si="87">G191*I191</f>
        <v>631.70799999999997</v>
      </c>
    </row>
    <row r="192" spans="1:10" s="51" customFormat="1" ht="20.100000000000001" customHeight="1" outlineLevel="1">
      <c r="A192" s="52"/>
      <c r="B192" s="50" t="s">
        <v>134</v>
      </c>
      <c r="C192" s="74">
        <v>37554</v>
      </c>
      <c r="D192" s="40" t="s">
        <v>234</v>
      </c>
      <c r="E192" s="49" t="s">
        <v>304</v>
      </c>
      <c r="F192" s="50" t="s">
        <v>23</v>
      </c>
      <c r="G192" s="48">
        <v>1</v>
      </c>
      <c r="H192" s="48">
        <v>193</v>
      </c>
      <c r="I192" s="66">
        <f t="shared" si="86"/>
        <v>248.81560000000002</v>
      </c>
      <c r="J192" s="66">
        <f t="shared" si="87"/>
        <v>248.81560000000002</v>
      </c>
    </row>
    <row r="193" spans="1:10" s="51" customFormat="1" ht="20.100000000000001" customHeight="1" outlineLevel="1">
      <c r="A193" s="52"/>
      <c r="B193" s="50" t="s">
        <v>220</v>
      </c>
      <c r="C193" s="74">
        <v>10900</v>
      </c>
      <c r="D193" s="40" t="s">
        <v>234</v>
      </c>
      <c r="E193" s="49" t="s">
        <v>305</v>
      </c>
      <c r="F193" s="50" t="s">
        <v>23</v>
      </c>
      <c r="G193" s="48">
        <v>1</v>
      </c>
      <c r="H193" s="48">
        <v>56</v>
      </c>
      <c r="I193" s="66">
        <f t="shared" si="86"/>
        <v>72.1952</v>
      </c>
      <c r="J193" s="66">
        <f t="shared" si="87"/>
        <v>72.1952</v>
      </c>
    </row>
    <row r="194" spans="1:10" s="51" customFormat="1" ht="20.100000000000001" customHeight="1" outlineLevel="1">
      <c r="A194" s="52"/>
      <c r="B194" s="50" t="s">
        <v>270</v>
      </c>
      <c r="C194" s="74">
        <v>20971</v>
      </c>
      <c r="D194" s="40" t="s">
        <v>234</v>
      </c>
      <c r="E194" s="49" t="s">
        <v>311</v>
      </c>
      <c r="F194" s="50" t="s">
        <v>23</v>
      </c>
      <c r="G194" s="48">
        <v>1</v>
      </c>
      <c r="H194" s="48">
        <v>15.5</v>
      </c>
      <c r="I194" s="66">
        <f t="shared" si="86"/>
        <v>19.982600000000001</v>
      </c>
      <c r="J194" s="66">
        <f t="shared" si="87"/>
        <v>19.982600000000001</v>
      </c>
    </row>
    <row r="195" spans="1:10" s="51" customFormat="1" ht="20.100000000000001" customHeight="1" outlineLevel="1">
      <c r="A195" s="52"/>
      <c r="B195" s="50" t="s">
        <v>271</v>
      </c>
      <c r="C195" s="74">
        <v>10922</v>
      </c>
      <c r="D195" s="40" t="s">
        <v>234</v>
      </c>
      <c r="E195" s="49" t="s">
        <v>309</v>
      </c>
      <c r="F195" s="50" t="s">
        <v>23</v>
      </c>
      <c r="G195" s="48">
        <v>1</v>
      </c>
      <c r="H195" s="48">
        <v>2000</v>
      </c>
      <c r="I195" s="66">
        <f t="shared" si="86"/>
        <v>2578.4</v>
      </c>
      <c r="J195" s="66">
        <f t="shared" si="87"/>
        <v>2578.4</v>
      </c>
    </row>
    <row r="196" spans="1:10" s="51" customFormat="1" ht="25.5" customHeight="1" outlineLevel="1">
      <c r="A196" s="52"/>
      <c r="B196" s="50" t="s">
        <v>306</v>
      </c>
      <c r="C196" s="74">
        <v>92367</v>
      </c>
      <c r="D196" s="40" t="s">
        <v>26</v>
      </c>
      <c r="E196" s="49" t="s">
        <v>391</v>
      </c>
      <c r="F196" s="50" t="s">
        <v>30</v>
      </c>
      <c r="G196" s="48">
        <v>25</v>
      </c>
      <c r="H196" s="48">
        <v>108</v>
      </c>
      <c r="I196" s="66">
        <f t="shared" si="86"/>
        <v>139.2336</v>
      </c>
      <c r="J196" s="66">
        <f t="shared" si="87"/>
        <v>3480.8399999999997</v>
      </c>
    </row>
    <row r="197" spans="1:10" s="51" customFormat="1" ht="20.100000000000001" customHeight="1" outlineLevel="1">
      <c r="A197" s="52"/>
      <c r="B197" s="50" t="s">
        <v>307</v>
      </c>
      <c r="C197" s="74">
        <v>92389</v>
      </c>
      <c r="D197" s="40" t="s">
        <v>26</v>
      </c>
      <c r="E197" s="49" t="s">
        <v>392</v>
      </c>
      <c r="F197" s="50" t="s">
        <v>23</v>
      </c>
      <c r="G197" s="48">
        <v>4</v>
      </c>
      <c r="H197" s="48">
        <v>139</v>
      </c>
      <c r="I197" s="66">
        <f t="shared" si="86"/>
        <v>179.19880000000001</v>
      </c>
      <c r="J197" s="66">
        <f t="shared" si="87"/>
        <v>716.79520000000002</v>
      </c>
    </row>
    <row r="198" spans="1:10" s="51" customFormat="1" ht="20.100000000000001" customHeight="1" outlineLevel="1">
      <c r="A198" s="52"/>
      <c r="B198" s="50" t="s">
        <v>308</v>
      </c>
      <c r="C198" s="74">
        <v>92642</v>
      </c>
      <c r="D198" s="40" t="s">
        <v>26</v>
      </c>
      <c r="E198" s="49" t="s">
        <v>393</v>
      </c>
      <c r="F198" s="50" t="s">
        <v>23</v>
      </c>
      <c r="G198" s="48">
        <v>2</v>
      </c>
      <c r="H198" s="48">
        <v>178</v>
      </c>
      <c r="I198" s="66">
        <f t="shared" ref="I198:I199" si="88">(H198*$J$7)+H198</f>
        <v>229.4776</v>
      </c>
      <c r="J198" s="66">
        <f t="shared" ref="J198:J199" si="89">G198*I198</f>
        <v>458.95519999999999</v>
      </c>
    </row>
    <row r="199" spans="1:10" s="51" customFormat="1" ht="20.100000000000001" customHeight="1" outlineLevel="1">
      <c r="A199" s="52"/>
      <c r="B199" s="50" t="s">
        <v>310</v>
      </c>
      <c r="C199" s="74">
        <v>92378</v>
      </c>
      <c r="D199" s="40" t="s">
        <v>26</v>
      </c>
      <c r="E199" s="49" t="s">
        <v>394</v>
      </c>
      <c r="F199" s="50" t="s">
        <v>23</v>
      </c>
      <c r="G199" s="48">
        <v>6</v>
      </c>
      <c r="H199" s="48">
        <v>118</v>
      </c>
      <c r="I199" s="66">
        <f t="shared" si="88"/>
        <v>152.12559999999999</v>
      </c>
      <c r="J199" s="66">
        <f t="shared" si="89"/>
        <v>912.75360000000001</v>
      </c>
    </row>
    <row r="200" spans="1:10" s="51" customFormat="1" ht="24" customHeight="1" outlineLevel="1">
      <c r="A200" s="52"/>
      <c r="B200" s="12" t="s">
        <v>380</v>
      </c>
      <c r="C200" s="74"/>
      <c r="D200" s="28"/>
      <c r="E200" s="20" t="s">
        <v>381</v>
      </c>
      <c r="F200" s="50"/>
      <c r="G200" s="48"/>
      <c r="H200" s="48"/>
      <c r="I200" s="66"/>
      <c r="J200" s="66"/>
    </row>
    <row r="201" spans="1:10" s="51" customFormat="1" ht="24.75" customHeight="1" outlineLevel="1">
      <c r="A201" s="52"/>
      <c r="B201" s="50" t="s">
        <v>382</v>
      </c>
      <c r="C201" s="74"/>
      <c r="D201" s="28" t="s">
        <v>1</v>
      </c>
      <c r="E201" s="49" t="s">
        <v>383</v>
      </c>
      <c r="F201" s="50" t="s">
        <v>23</v>
      </c>
      <c r="G201" s="48">
        <v>2</v>
      </c>
      <c r="H201" s="48">
        <v>75</v>
      </c>
      <c r="I201" s="66">
        <f t="shared" ref="I201:I203" si="90">(H201*$J$7)+H201</f>
        <v>96.69</v>
      </c>
      <c r="J201" s="66">
        <f t="shared" ref="J201:J203" si="91">G201*I201</f>
        <v>193.38</v>
      </c>
    </row>
    <row r="202" spans="1:10" s="51" customFormat="1" ht="22.5" customHeight="1" outlineLevel="1">
      <c r="A202" s="52"/>
      <c r="B202" s="50" t="s">
        <v>386</v>
      </c>
      <c r="C202" s="74"/>
      <c r="D202" s="40" t="s">
        <v>1</v>
      </c>
      <c r="E202" s="49" t="s">
        <v>384</v>
      </c>
      <c r="F202" s="50" t="s">
        <v>30</v>
      </c>
      <c r="G202" s="48">
        <v>36</v>
      </c>
      <c r="H202" s="48">
        <v>9.5</v>
      </c>
      <c r="I202" s="66">
        <f t="shared" si="90"/>
        <v>12.247400000000001</v>
      </c>
      <c r="J202" s="66">
        <f t="shared" si="91"/>
        <v>440.90640000000002</v>
      </c>
    </row>
    <row r="203" spans="1:10" s="51" customFormat="1" ht="23.25" customHeight="1" outlineLevel="1">
      <c r="A203" s="52"/>
      <c r="B203" s="50" t="s">
        <v>387</v>
      </c>
      <c r="C203" s="74"/>
      <c r="D203" s="40" t="s">
        <v>1</v>
      </c>
      <c r="E203" s="49" t="s">
        <v>385</v>
      </c>
      <c r="F203" s="50" t="s">
        <v>23</v>
      </c>
      <c r="G203" s="48">
        <v>12</v>
      </c>
      <c r="H203" s="48">
        <v>20</v>
      </c>
      <c r="I203" s="66">
        <f t="shared" si="90"/>
        <v>25.783999999999999</v>
      </c>
      <c r="J203" s="66">
        <f t="shared" si="91"/>
        <v>309.40800000000002</v>
      </c>
    </row>
    <row r="204" spans="1:10" s="51" customFormat="1" ht="20.100000000000001" customHeight="1" outlineLevel="1">
      <c r="A204" s="52"/>
      <c r="B204" s="58"/>
      <c r="C204" s="59"/>
      <c r="D204" s="59"/>
      <c r="E204" s="59"/>
      <c r="F204" s="59"/>
      <c r="G204" s="59"/>
      <c r="H204" s="60" t="s">
        <v>44</v>
      </c>
      <c r="I204" s="17"/>
      <c r="J204" s="67">
        <f>SUM(J179:J203)</f>
        <v>12554.8742</v>
      </c>
    </row>
    <row r="205" spans="1:10" s="51" customFormat="1" ht="20.100000000000001" customHeight="1" outlineLevel="1">
      <c r="A205" s="52"/>
      <c r="B205" s="52"/>
      <c r="C205" s="52"/>
      <c r="D205" s="52"/>
      <c r="E205" s="26"/>
      <c r="F205" s="52"/>
      <c r="G205" s="35"/>
      <c r="H205" s="34"/>
      <c r="I205" s="8"/>
      <c r="J205" s="56"/>
    </row>
    <row r="206" spans="1:10" s="51" customFormat="1" ht="20.100000000000001" customHeight="1">
      <c r="A206" s="52"/>
      <c r="B206" s="147">
        <v>17</v>
      </c>
      <c r="C206" s="30"/>
      <c r="D206" s="30"/>
      <c r="E206" s="22" t="s">
        <v>90</v>
      </c>
      <c r="F206" s="22"/>
      <c r="G206" s="38"/>
      <c r="H206" s="38"/>
      <c r="I206" s="22"/>
      <c r="J206" s="57"/>
    </row>
    <row r="207" spans="1:10" s="51" customFormat="1" ht="20.100000000000001" customHeight="1">
      <c r="A207" s="52"/>
      <c r="B207" s="27" t="s">
        <v>5</v>
      </c>
      <c r="C207" s="27"/>
      <c r="D207" s="27"/>
      <c r="E207" s="17" t="s">
        <v>7</v>
      </c>
      <c r="F207" s="14"/>
      <c r="G207" s="37"/>
      <c r="H207" s="48"/>
      <c r="I207" s="66"/>
      <c r="J207" s="66"/>
    </row>
    <row r="208" spans="1:10" s="51" customFormat="1" ht="20.100000000000001" customHeight="1" outlineLevel="1">
      <c r="A208" s="52"/>
      <c r="B208" s="15" t="s">
        <v>316</v>
      </c>
      <c r="C208" s="72">
        <v>101880</v>
      </c>
      <c r="D208" s="15" t="s">
        <v>26</v>
      </c>
      <c r="E208" s="49" t="s">
        <v>217</v>
      </c>
      <c r="F208" s="50" t="s">
        <v>23</v>
      </c>
      <c r="G208" s="48">
        <v>1</v>
      </c>
      <c r="H208" s="48">
        <v>700</v>
      </c>
      <c r="I208" s="66">
        <f t="shared" ref="I208:I224" si="92">(H208*$J$7)+H208</f>
        <v>902.44</v>
      </c>
      <c r="J208" s="66">
        <f>G208*I208</f>
        <v>902.44</v>
      </c>
    </row>
    <row r="209" spans="1:10" ht="18.75" customHeight="1" outlineLevel="1">
      <c r="A209" s="52"/>
      <c r="B209" s="27" t="s">
        <v>13</v>
      </c>
      <c r="C209" s="15"/>
      <c r="D209" s="15"/>
      <c r="E209" s="20" t="s">
        <v>51</v>
      </c>
      <c r="F209" s="50"/>
      <c r="G209" s="48"/>
      <c r="H209" s="48"/>
      <c r="I209" s="66"/>
      <c r="J209" s="66">
        <f t="shared" ref="J209:J224" si="93">G209*I209</f>
        <v>0</v>
      </c>
    </row>
    <row r="210" spans="1:10" s="51" customFormat="1" ht="19.5" customHeight="1" outlineLevel="1">
      <c r="A210" s="52"/>
      <c r="B210" s="15" t="s">
        <v>317</v>
      </c>
      <c r="C210" s="72">
        <v>101890</v>
      </c>
      <c r="D210" s="15" t="s">
        <v>26</v>
      </c>
      <c r="E210" s="49" t="s">
        <v>265</v>
      </c>
      <c r="F210" s="50" t="s">
        <v>23</v>
      </c>
      <c r="G210" s="48">
        <v>8</v>
      </c>
      <c r="H210" s="48">
        <v>13.9</v>
      </c>
      <c r="I210" s="66">
        <f t="shared" si="92"/>
        <v>17.919879999999999</v>
      </c>
      <c r="J210" s="66">
        <f t="shared" si="93"/>
        <v>143.35903999999999</v>
      </c>
    </row>
    <row r="211" spans="1:10" s="51" customFormat="1" ht="19.5" customHeight="1" outlineLevel="1">
      <c r="A211" s="52"/>
      <c r="B211" s="15" t="s">
        <v>318</v>
      </c>
      <c r="C211" s="72">
        <v>101891</v>
      </c>
      <c r="D211" s="15" t="s">
        <v>26</v>
      </c>
      <c r="E211" s="49" t="s">
        <v>266</v>
      </c>
      <c r="F211" s="50" t="s">
        <v>23</v>
      </c>
      <c r="G211" s="48">
        <v>9</v>
      </c>
      <c r="H211" s="48">
        <v>25</v>
      </c>
      <c r="I211" s="66">
        <f t="shared" si="92"/>
        <v>32.230000000000004</v>
      </c>
      <c r="J211" s="66">
        <f t="shared" si="93"/>
        <v>290.07000000000005</v>
      </c>
    </row>
    <row r="212" spans="1:10" s="51" customFormat="1" ht="19.5" customHeight="1" outlineLevel="1">
      <c r="A212" s="52"/>
      <c r="B212" s="27" t="s">
        <v>222</v>
      </c>
      <c r="C212" s="27"/>
      <c r="D212" s="27"/>
      <c r="E212" s="17" t="s">
        <v>8</v>
      </c>
      <c r="F212" s="14"/>
      <c r="G212" s="48"/>
      <c r="H212" s="48"/>
      <c r="I212" s="66"/>
      <c r="J212" s="66">
        <f t="shared" si="93"/>
        <v>0</v>
      </c>
    </row>
    <row r="213" spans="1:10" s="51" customFormat="1" ht="19.5" customHeight="1" outlineLevel="1">
      <c r="A213" s="52"/>
      <c r="B213" s="15" t="s">
        <v>319</v>
      </c>
      <c r="C213" s="72">
        <v>91854</v>
      </c>
      <c r="D213" s="15" t="s">
        <v>26</v>
      </c>
      <c r="E213" s="49" t="s">
        <v>80</v>
      </c>
      <c r="F213" s="15" t="s">
        <v>30</v>
      </c>
      <c r="G213" s="48">
        <v>200</v>
      </c>
      <c r="H213" s="48">
        <v>10.8</v>
      </c>
      <c r="I213" s="66">
        <f t="shared" si="92"/>
        <v>13.923360000000001</v>
      </c>
      <c r="J213" s="66">
        <f t="shared" si="93"/>
        <v>2784.672</v>
      </c>
    </row>
    <row r="214" spans="1:10" s="51" customFormat="1" ht="19.5" customHeight="1" outlineLevel="1">
      <c r="A214" s="52"/>
      <c r="B214" s="15" t="s">
        <v>320</v>
      </c>
      <c r="C214" s="72">
        <v>91940</v>
      </c>
      <c r="D214" s="15" t="s">
        <v>26</v>
      </c>
      <c r="E214" s="49" t="s">
        <v>269</v>
      </c>
      <c r="F214" s="15" t="s">
        <v>23</v>
      </c>
      <c r="G214" s="48">
        <v>47</v>
      </c>
      <c r="H214" s="48">
        <v>20</v>
      </c>
      <c r="I214" s="66">
        <f t="shared" si="92"/>
        <v>25.783999999999999</v>
      </c>
      <c r="J214" s="66">
        <f t="shared" si="93"/>
        <v>1211.848</v>
      </c>
    </row>
    <row r="215" spans="1:10" s="51" customFormat="1" ht="19.5" customHeight="1" outlineLevel="1">
      <c r="A215" s="52"/>
      <c r="B215" s="15" t="s">
        <v>321</v>
      </c>
      <c r="C215" s="72">
        <v>91939</v>
      </c>
      <c r="D215" s="15" t="s">
        <v>26</v>
      </c>
      <c r="E215" s="49" t="s">
        <v>268</v>
      </c>
      <c r="F215" s="15" t="s">
        <v>139</v>
      </c>
      <c r="G215" s="48">
        <v>9</v>
      </c>
      <c r="H215" s="48">
        <v>30</v>
      </c>
      <c r="I215" s="66">
        <f t="shared" si="92"/>
        <v>38.676000000000002</v>
      </c>
      <c r="J215" s="66">
        <f t="shared" si="93"/>
        <v>348.084</v>
      </c>
    </row>
    <row r="216" spans="1:10" s="51" customFormat="1" ht="19.5" customHeight="1" outlineLevel="1">
      <c r="A216" s="52"/>
      <c r="B216" s="15" t="s">
        <v>322</v>
      </c>
      <c r="C216" s="72">
        <v>91936</v>
      </c>
      <c r="D216" s="15" t="s">
        <v>26</v>
      </c>
      <c r="E216" s="49" t="s">
        <v>267</v>
      </c>
      <c r="F216" s="15" t="s">
        <v>23</v>
      </c>
      <c r="G216" s="48">
        <v>18</v>
      </c>
      <c r="H216" s="48">
        <v>20</v>
      </c>
      <c r="I216" s="66">
        <f t="shared" si="92"/>
        <v>25.783999999999999</v>
      </c>
      <c r="J216" s="66">
        <f t="shared" si="93"/>
        <v>464.11199999999997</v>
      </c>
    </row>
    <row r="217" spans="1:10" s="51" customFormat="1" ht="19.5" customHeight="1" outlineLevel="1">
      <c r="A217" s="52"/>
      <c r="B217" s="27" t="s">
        <v>223</v>
      </c>
      <c r="C217" s="27"/>
      <c r="D217" s="27"/>
      <c r="E217" s="17" t="s">
        <v>91</v>
      </c>
      <c r="F217" s="23"/>
      <c r="G217" s="48"/>
      <c r="H217" s="48"/>
      <c r="I217" s="66"/>
      <c r="J217" s="66">
        <f t="shared" si="93"/>
        <v>0</v>
      </c>
    </row>
    <row r="218" spans="1:10" s="51" customFormat="1" ht="20.100000000000001" customHeight="1" outlineLevel="1">
      <c r="A218" s="52">
        <v>14</v>
      </c>
      <c r="B218" s="15" t="s">
        <v>467</v>
      </c>
      <c r="C218" s="77">
        <v>91926</v>
      </c>
      <c r="D218" s="15" t="s">
        <v>26</v>
      </c>
      <c r="E218" s="49" t="s">
        <v>66</v>
      </c>
      <c r="F218" s="15" t="s">
        <v>30</v>
      </c>
      <c r="G218" s="48">
        <v>400</v>
      </c>
      <c r="H218" s="48">
        <v>4.9000000000000004</v>
      </c>
      <c r="I218" s="66">
        <f t="shared" si="92"/>
        <v>6.3170800000000007</v>
      </c>
      <c r="J218" s="66">
        <f t="shared" si="93"/>
        <v>2526.8320000000003</v>
      </c>
    </row>
    <row r="219" spans="1:10" ht="18.75" customHeight="1" outlineLevel="1">
      <c r="A219" s="52"/>
      <c r="B219" s="15" t="s">
        <v>323</v>
      </c>
      <c r="C219" s="72">
        <v>91930</v>
      </c>
      <c r="D219" s="15" t="s">
        <v>26</v>
      </c>
      <c r="E219" s="49" t="s">
        <v>67</v>
      </c>
      <c r="F219" s="15" t="s">
        <v>30</v>
      </c>
      <c r="G219" s="48">
        <v>200</v>
      </c>
      <c r="H219" s="48">
        <v>10.5</v>
      </c>
      <c r="I219" s="66">
        <f t="shared" si="92"/>
        <v>13.5366</v>
      </c>
      <c r="J219" s="66">
        <f t="shared" si="93"/>
        <v>2707.32</v>
      </c>
    </row>
    <row r="220" spans="1:10" ht="18.75" customHeight="1" outlineLevel="1">
      <c r="A220" s="52"/>
      <c r="B220" s="27" t="s">
        <v>224</v>
      </c>
      <c r="C220" s="27"/>
      <c r="D220" s="27"/>
      <c r="E220" s="17" t="s">
        <v>92</v>
      </c>
      <c r="F220" s="23"/>
      <c r="G220" s="48"/>
      <c r="H220" s="48"/>
      <c r="I220" s="66"/>
      <c r="J220" s="66">
        <f t="shared" si="93"/>
        <v>0</v>
      </c>
    </row>
    <row r="221" spans="1:10" ht="19.5" customHeight="1" outlineLevel="1">
      <c r="A221" s="52"/>
      <c r="B221" s="15" t="s">
        <v>324</v>
      </c>
      <c r="C221" s="77">
        <v>91993</v>
      </c>
      <c r="D221" s="28" t="s">
        <v>26</v>
      </c>
      <c r="E221" s="49" t="s">
        <v>272</v>
      </c>
      <c r="F221" s="15" t="s">
        <v>23</v>
      </c>
      <c r="G221" s="48">
        <v>9</v>
      </c>
      <c r="H221" s="48">
        <v>50</v>
      </c>
      <c r="I221" s="66">
        <f t="shared" si="92"/>
        <v>64.460000000000008</v>
      </c>
      <c r="J221" s="66">
        <f t="shared" si="93"/>
        <v>580.1400000000001</v>
      </c>
    </row>
    <row r="222" spans="1:10" ht="19.5" customHeight="1" outlineLevel="1">
      <c r="A222" s="52"/>
      <c r="B222" s="15" t="s">
        <v>325</v>
      </c>
      <c r="C222" s="72">
        <v>91953</v>
      </c>
      <c r="D222" s="15" t="s">
        <v>26</v>
      </c>
      <c r="E222" s="49" t="s">
        <v>68</v>
      </c>
      <c r="F222" s="15" t="s">
        <v>23</v>
      </c>
      <c r="G222" s="48">
        <v>4</v>
      </c>
      <c r="H222" s="48">
        <v>30</v>
      </c>
      <c r="I222" s="66">
        <f t="shared" si="92"/>
        <v>38.676000000000002</v>
      </c>
      <c r="J222" s="66">
        <f t="shared" si="93"/>
        <v>154.70400000000001</v>
      </c>
    </row>
    <row r="223" spans="1:10" ht="19.5" customHeight="1" outlineLevel="1">
      <c r="A223" s="52"/>
      <c r="B223" s="15" t="s">
        <v>326</v>
      </c>
      <c r="C223" s="72">
        <v>91959</v>
      </c>
      <c r="D223" s="15" t="s">
        <v>26</v>
      </c>
      <c r="E223" s="49" t="s">
        <v>69</v>
      </c>
      <c r="F223" s="15" t="s">
        <v>23</v>
      </c>
      <c r="G223" s="48">
        <v>3</v>
      </c>
      <c r="H223" s="48">
        <v>50</v>
      </c>
      <c r="I223" s="66">
        <f t="shared" si="92"/>
        <v>64.460000000000008</v>
      </c>
      <c r="J223" s="66">
        <f t="shared" si="93"/>
        <v>193.38000000000002</v>
      </c>
    </row>
    <row r="224" spans="1:10" ht="19.5" customHeight="1" outlineLevel="1">
      <c r="A224" s="52"/>
      <c r="B224" s="15" t="s">
        <v>327</v>
      </c>
      <c r="C224" s="72">
        <v>92009</v>
      </c>
      <c r="D224" s="15" t="s">
        <v>26</v>
      </c>
      <c r="E224" s="49" t="s">
        <v>218</v>
      </c>
      <c r="F224" s="15" t="s">
        <v>23</v>
      </c>
      <c r="G224" s="48">
        <f>29+11</f>
        <v>40</v>
      </c>
      <c r="H224" s="48">
        <v>58</v>
      </c>
      <c r="I224" s="66">
        <f t="shared" si="92"/>
        <v>74.773600000000002</v>
      </c>
      <c r="J224" s="66">
        <f t="shared" si="93"/>
        <v>2990.944</v>
      </c>
    </row>
    <row r="225" spans="1:10" ht="19.5" customHeight="1" outlineLevel="1">
      <c r="A225" s="52"/>
      <c r="B225" s="15" t="s">
        <v>328</v>
      </c>
      <c r="C225" s="77" t="s">
        <v>490</v>
      </c>
      <c r="D225" s="15"/>
      <c r="E225" s="164" t="s">
        <v>388</v>
      </c>
      <c r="F225" s="15" t="s">
        <v>23</v>
      </c>
      <c r="G225" s="48">
        <v>19</v>
      </c>
      <c r="H225" s="48">
        <v>46.92</v>
      </c>
      <c r="I225" s="66">
        <f t="shared" ref="I225" si="94">(H225*$J$7)+H225</f>
        <v>60.489264000000006</v>
      </c>
      <c r="J225" s="66">
        <f t="shared" ref="J225" si="95">G225*I225</f>
        <v>1149.296016</v>
      </c>
    </row>
    <row r="226" spans="1:10" ht="19.5" customHeight="1" outlineLevel="1">
      <c r="A226" s="52"/>
      <c r="B226" s="15" t="s">
        <v>466</v>
      </c>
      <c r="C226" s="77" t="s">
        <v>491</v>
      </c>
      <c r="D226" s="15"/>
      <c r="E226" s="164" t="s">
        <v>179</v>
      </c>
      <c r="F226" s="15" t="s">
        <v>23</v>
      </c>
      <c r="G226" s="48">
        <v>6</v>
      </c>
      <c r="H226" s="48">
        <v>131.5</v>
      </c>
      <c r="I226" s="66">
        <f t="shared" ref="I226:I227" si="96">(H226*$J$7)+H226</f>
        <v>169.52979999999999</v>
      </c>
      <c r="J226" s="66">
        <f t="shared" ref="J226:J227" si="97">G226*I226</f>
        <v>1017.1787999999999</v>
      </c>
    </row>
    <row r="227" spans="1:10" ht="19.5" customHeight="1" outlineLevel="1">
      <c r="A227" s="52"/>
      <c r="B227" s="15" t="s">
        <v>329</v>
      </c>
      <c r="C227" s="77" t="s">
        <v>492</v>
      </c>
      <c r="D227" s="15"/>
      <c r="E227" s="164" t="s">
        <v>315</v>
      </c>
      <c r="F227" s="15" t="s">
        <v>23</v>
      </c>
      <c r="G227" s="48">
        <v>16</v>
      </c>
      <c r="H227" s="48">
        <v>61.92</v>
      </c>
      <c r="I227" s="66">
        <f t="shared" si="96"/>
        <v>79.827264</v>
      </c>
      <c r="J227" s="66">
        <f t="shared" si="97"/>
        <v>1277.236224</v>
      </c>
    </row>
    <row r="228" spans="1:10" ht="19.5" customHeight="1" outlineLevel="1">
      <c r="A228" s="52"/>
      <c r="B228" s="15" t="s">
        <v>330</v>
      </c>
      <c r="C228" s="77" t="s">
        <v>493</v>
      </c>
      <c r="D228" s="15"/>
      <c r="E228" s="164" t="s">
        <v>192</v>
      </c>
      <c r="F228" s="15" t="s">
        <v>23</v>
      </c>
      <c r="G228" s="48">
        <v>2</v>
      </c>
      <c r="H228" s="48">
        <v>116.92</v>
      </c>
      <c r="I228" s="66">
        <f t="shared" ref="I228" si="98">(H228*$J$7)+H228</f>
        <v>150.73326400000002</v>
      </c>
      <c r="J228" s="66">
        <f t="shared" ref="J228" si="99">G228*I228</f>
        <v>301.46652800000004</v>
      </c>
    </row>
    <row r="229" spans="1:10" ht="19.5" customHeight="1" outlineLevel="1">
      <c r="A229" s="52"/>
      <c r="B229" s="58"/>
      <c r="C229" s="59"/>
      <c r="D229" s="59"/>
      <c r="E229" s="59"/>
      <c r="F229" s="59"/>
      <c r="G229" s="59"/>
      <c r="H229" s="60" t="s">
        <v>44</v>
      </c>
      <c r="I229" s="17"/>
      <c r="J229" s="67">
        <f>SUM(J208:J228)</f>
        <v>19043.082608000001</v>
      </c>
    </row>
    <row r="230" spans="1:10" ht="20.100000000000001" customHeight="1" outlineLevel="1">
      <c r="A230" s="52"/>
      <c r="B230" s="52"/>
      <c r="C230" s="52"/>
      <c r="D230" s="52"/>
      <c r="E230" s="26"/>
      <c r="F230" s="52"/>
      <c r="G230" s="35"/>
      <c r="H230" s="34"/>
      <c r="I230" s="8"/>
      <c r="J230" s="56"/>
    </row>
    <row r="231" spans="1:10" s="51" customFormat="1" ht="20.100000000000001" customHeight="1" outlineLevel="1">
      <c r="A231" s="52"/>
      <c r="B231" s="147">
        <v>18</v>
      </c>
      <c r="C231" s="30"/>
      <c r="D231" s="30"/>
      <c r="E231" s="22" t="s">
        <v>226</v>
      </c>
      <c r="F231" s="22"/>
      <c r="G231" s="38"/>
      <c r="H231" s="38"/>
      <c r="I231" s="22"/>
      <c r="J231" s="57"/>
    </row>
    <row r="232" spans="1:10" s="51" customFormat="1" ht="35.25" customHeight="1" outlineLevel="1">
      <c r="A232" s="52"/>
      <c r="B232" s="15" t="s">
        <v>478</v>
      </c>
      <c r="C232" s="72">
        <v>92396</v>
      </c>
      <c r="D232" s="15" t="s">
        <v>26</v>
      </c>
      <c r="E232" s="49" t="s">
        <v>225</v>
      </c>
      <c r="F232" s="15" t="s">
        <v>27</v>
      </c>
      <c r="G232" s="48">
        <v>49.5</v>
      </c>
      <c r="H232" s="48">
        <v>82</v>
      </c>
      <c r="I232" s="66">
        <f t="shared" ref="I232:I233" si="100">(H232*$J$7)+H232</f>
        <v>105.7144</v>
      </c>
      <c r="J232" s="66">
        <f t="shared" ref="J232:J233" si="101">G232*I232</f>
        <v>5232.8627999999999</v>
      </c>
    </row>
    <row r="233" spans="1:10" s="51" customFormat="1" ht="20.100000000000001" customHeight="1" outlineLevel="1">
      <c r="A233" s="52"/>
      <c r="B233" s="15" t="s">
        <v>479</v>
      </c>
      <c r="C233" s="72">
        <v>36178</v>
      </c>
      <c r="D233" s="15" t="s">
        <v>234</v>
      </c>
      <c r="E233" s="49" t="s">
        <v>227</v>
      </c>
      <c r="F233" s="15" t="s">
        <v>139</v>
      </c>
      <c r="G233" s="48">
        <v>12</v>
      </c>
      <c r="H233" s="48">
        <v>13.5</v>
      </c>
      <c r="I233" s="66">
        <f t="shared" si="100"/>
        <v>17.404199999999999</v>
      </c>
      <c r="J233" s="66">
        <f t="shared" si="101"/>
        <v>208.85039999999998</v>
      </c>
    </row>
    <row r="234" spans="1:10" s="51" customFormat="1" ht="20.100000000000001" customHeight="1" outlineLevel="1">
      <c r="A234" s="52"/>
      <c r="B234" s="15" t="s">
        <v>480</v>
      </c>
      <c r="C234" s="72"/>
      <c r="D234" s="15" t="s">
        <v>1</v>
      </c>
      <c r="E234" s="49" t="s">
        <v>458</v>
      </c>
      <c r="F234" s="15" t="s">
        <v>139</v>
      </c>
      <c r="G234" s="48">
        <v>1</v>
      </c>
      <c r="H234" s="48">
        <v>11500</v>
      </c>
      <c r="I234" s="66">
        <f t="shared" ref="I234" si="102">(H234*$J$7)+H234</f>
        <v>14825.8</v>
      </c>
      <c r="J234" s="66">
        <f t="shared" ref="J234" si="103">G234*I234</f>
        <v>14825.8</v>
      </c>
    </row>
    <row r="235" spans="1:10" s="51" customFormat="1" ht="20.100000000000001" customHeight="1" outlineLevel="1">
      <c r="A235" s="52"/>
      <c r="B235" s="58"/>
      <c r="C235" s="59"/>
      <c r="D235" s="59"/>
      <c r="E235" s="59"/>
      <c r="F235" s="59"/>
      <c r="G235" s="59"/>
      <c r="H235" s="60" t="s">
        <v>44</v>
      </c>
      <c r="I235" s="17"/>
      <c r="J235" s="67">
        <f>SUM(J232:J234)</f>
        <v>20267.513200000001</v>
      </c>
    </row>
    <row r="236" spans="1:10" s="51" customFormat="1" ht="20.100000000000001" customHeight="1" outlineLevel="1">
      <c r="A236" s="52"/>
      <c r="B236" s="108"/>
      <c r="C236" s="108"/>
      <c r="D236" s="108"/>
      <c r="E236" s="108"/>
      <c r="F236" s="108"/>
      <c r="G236" s="108"/>
      <c r="H236" s="109"/>
      <c r="I236" s="108"/>
      <c r="J236" s="110"/>
    </row>
    <row r="237" spans="1:10" s="51" customFormat="1" ht="20.100000000000001" customHeight="1">
      <c r="A237" s="52"/>
      <c r="B237" s="147">
        <v>19</v>
      </c>
      <c r="C237" s="30"/>
      <c r="D237" s="30"/>
      <c r="E237" s="22" t="s">
        <v>42</v>
      </c>
      <c r="F237" s="22"/>
      <c r="G237" s="38"/>
      <c r="H237" s="38"/>
      <c r="I237" s="22"/>
      <c r="J237" s="57"/>
    </row>
    <row r="238" spans="1:10" s="51" customFormat="1" ht="20.100000000000001" customHeight="1">
      <c r="A238" s="52"/>
      <c r="B238" s="15" t="s">
        <v>135</v>
      </c>
      <c r="C238" s="72">
        <v>99844</v>
      </c>
      <c r="D238" s="15" t="s">
        <v>26</v>
      </c>
      <c r="E238" s="16" t="s">
        <v>469</v>
      </c>
      <c r="F238" s="50" t="s">
        <v>30</v>
      </c>
      <c r="G238" s="177">
        <v>2.5</v>
      </c>
      <c r="H238" s="177">
        <v>400</v>
      </c>
      <c r="I238" s="66">
        <f t="shared" ref="I238:I241" si="104">(H238*$J$7)+H238</f>
        <v>515.68000000000006</v>
      </c>
      <c r="J238" s="66">
        <f t="shared" ref="J238:J241" si="105">G238*I238</f>
        <v>1289.2000000000003</v>
      </c>
    </row>
    <row r="239" spans="1:10" s="51" customFormat="1" ht="20.100000000000001" customHeight="1">
      <c r="A239" s="52"/>
      <c r="B239" s="15" t="s">
        <v>136</v>
      </c>
      <c r="C239" s="72">
        <v>92604</v>
      </c>
      <c r="D239" s="15" t="s">
        <v>26</v>
      </c>
      <c r="E239" s="49" t="s">
        <v>470</v>
      </c>
      <c r="F239" s="50" t="s">
        <v>139</v>
      </c>
      <c r="G239" s="177">
        <v>2</v>
      </c>
      <c r="H239" s="177">
        <v>795</v>
      </c>
      <c r="I239" s="66">
        <f t="shared" si="104"/>
        <v>1024.914</v>
      </c>
      <c r="J239" s="66">
        <f t="shared" si="105"/>
        <v>2049.828</v>
      </c>
    </row>
    <row r="240" spans="1:10" s="51" customFormat="1" ht="20.100000000000001" customHeight="1">
      <c r="A240" s="52"/>
      <c r="B240" s="15" t="s">
        <v>331</v>
      </c>
      <c r="C240" s="72">
        <v>6182</v>
      </c>
      <c r="D240" s="15" t="s">
        <v>234</v>
      </c>
      <c r="E240" s="176" t="s">
        <v>471</v>
      </c>
      <c r="F240" s="50" t="s">
        <v>27</v>
      </c>
      <c r="G240" s="177">
        <f>5*0.5*2.25</f>
        <v>5.625</v>
      </c>
      <c r="H240" s="177">
        <v>470</v>
      </c>
      <c r="I240" s="66">
        <f t="shared" si="104"/>
        <v>605.92399999999998</v>
      </c>
      <c r="J240" s="66">
        <f t="shared" si="105"/>
        <v>3408.3224999999998</v>
      </c>
    </row>
    <row r="241" spans="1:13" s="51" customFormat="1" ht="20.100000000000001" customHeight="1">
      <c r="A241" s="52"/>
      <c r="B241" s="15" t="s">
        <v>332</v>
      </c>
      <c r="C241" s="72">
        <v>102225</v>
      </c>
      <c r="D241" s="15" t="s">
        <v>26</v>
      </c>
      <c r="E241" s="176" t="s">
        <v>472</v>
      </c>
      <c r="F241" s="50" t="s">
        <v>27</v>
      </c>
      <c r="G241" s="177">
        <v>5.63</v>
      </c>
      <c r="H241" s="177">
        <v>31</v>
      </c>
      <c r="I241" s="66">
        <f t="shared" si="104"/>
        <v>39.965200000000003</v>
      </c>
      <c r="J241" s="66">
        <f t="shared" si="105"/>
        <v>225.00407600000003</v>
      </c>
    </row>
    <row r="242" spans="1:13" ht="19.5" customHeight="1" outlineLevel="1">
      <c r="A242" s="52"/>
      <c r="B242" s="58"/>
      <c r="C242" s="59"/>
      <c r="D242" s="59"/>
      <c r="E242" s="59"/>
      <c r="F242" s="59"/>
      <c r="G242" s="59"/>
      <c r="H242" s="60" t="s">
        <v>44</v>
      </c>
      <c r="I242" s="17"/>
      <c r="J242" s="67">
        <f>SUM(J238:J241)</f>
        <v>6972.3545760000006</v>
      </c>
    </row>
    <row r="243" spans="1:13" s="19" customFormat="1" ht="19.5" customHeight="1" outlineLevel="1">
      <c r="A243" s="52"/>
      <c r="B243" s="52"/>
      <c r="C243" s="52"/>
      <c r="D243" s="52"/>
      <c r="E243" s="26"/>
      <c r="F243" s="52"/>
      <c r="G243" s="35"/>
      <c r="H243" s="34"/>
      <c r="I243" s="8"/>
      <c r="J243" s="56"/>
    </row>
    <row r="244" spans="1:13" s="19" customFormat="1" ht="20.100000000000001" customHeight="1">
      <c r="A244" s="52"/>
      <c r="B244" s="147">
        <v>20</v>
      </c>
      <c r="C244" s="30"/>
      <c r="D244" s="30"/>
      <c r="E244" s="22" t="s">
        <v>6</v>
      </c>
      <c r="F244" s="22"/>
      <c r="G244" s="38"/>
      <c r="H244" s="38"/>
      <c r="I244" s="22"/>
      <c r="J244" s="57"/>
    </row>
    <row r="245" spans="1:13" s="19" customFormat="1" ht="20.100000000000001" customHeight="1">
      <c r="A245" s="52"/>
      <c r="B245" s="50" t="s">
        <v>481</v>
      </c>
      <c r="C245" s="76">
        <v>99806</v>
      </c>
      <c r="D245" s="15" t="s">
        <v>26</v>
      </c>
      <c r="E245" s="73" t="s">
        <v>110</v>
      </c>
      <c r="F245" s="15" t="s">
        <v>27</v>
      </c>
      <c r="G245" s="48">
        <f>G94</f>
        <v>217.08000000000004</v>
      </c>
      <c r="H245" s="48">
        <v>3</v>
      </c>
      <c r="I245" s="66">
        <f t="shared" ref="I245" si="106">(H245*$J$7)+H245</f>
        <v>3.8675999999999999</v>
      </c>
      <c r="J245" s="66">
        <f>G245*I245</f>
        <v>839.57860800000014</v>
      </c>
    </row>
    <row r="246" spans="1:13" s="19" customFormat="1" ht="18.75" customHeight="1" outlineLevel="1">
      <c r="A246" s="52"/>
      <c r="B246" s="50" t="s">
        <v>482</v>
      </c>
      <c r="C246" s="76">
        <v>99802</v>
      </c>
      <c r="D246" s="15" t="s">
        <v>26</v>
      </c>
      <c r="E246" s="73" t="s">
        <v>65</v>
      </c>
      <c r="F246" s="15" t="s">
        <v>27</v>
      </c>
      <c r="G246" s="48">
        <f>G105</f>
        <v>199.20999999999998</v>
      </c>
      <c r="H246" s="48">
        <v>0.5</v>
      </c>
      <c r="I246" s="66">
        <f>(H246*$J$7)+H246</f>
        <v>0.64460000000000006</v>
      </c>
      <c r="J246" s="66">
        <f>G246*I246</f>
        <v>128.410766</v>
      </c>
      <c r="K246" s="106"/>
      <c r="L246" s="107"/>
    </row>
    <row r="247" spans="1:13" s="19" customFormat="1" ht="18.75" customHeight="1" outlineLevel="1">
      <c r="A247" s="52"/>
      <c r="B247" s="58"/>
      <c r="C247" s="59"/>
      <c r="D247" s="59"/>
      <c r="E247" s="59"/>
      <c r="F247" s="59"/>
      <c r="G247" s="59"/>
      <c r="H247" s="60" t="s">
        <v>44</v>
      </c>
      <c r="I247" s="17"/>
      <c r="J247" s="67">
        <f>SUM(J245:J246)</f>
        <v>967.98937400000011</v>
      </c>
    </row>
    <row r="248" spans="1:13" ht="20.100000000000001" customHeight="1" outlineLevel="1">
      <c r="A248" s="52"/>
      <c r="B248" s="52"/>
      <c r="C248" s="52"/>
      <c r="D248" s="52"/>
      <c r="E248" s="26"/>
      <c r="F248" s="52"/>
      <c r="G248" s="35"/>
      <c r="H248" s="34"/>
      <c r="I248" s="8"/>
      <c r="J248" s="56"/>
      <c r="M248" s="106"/>
    </row>
    <row r="249" spans="1:13" ht="20.100000000000001" customHeight="1">
      <c r="A249" s="52"/>
      <c r="B249" s="61"/>
      <c r="C249" s="62"/>
      <c r="D249" s="62"/>
      <c r="E249" s="62"/>
      <c r="F249" s="62"/>
      <c r="G249" s="62"/>
      <c r="H249" s="63" t="s">
        <v>14</v>
      </c>
      <c r="I249" s="47"/>
      <c r="J249" s="57">
        <f>J15+J33+J54+J60+J75+J84+J89+J95+J100+J109+J117+J136+J157+J176+J204+J229+J242+J247+J235+J24</f>
        <v>869110.60759233346</v>
      </c>
    </row>
    <row r="250" spans="1:13" ht="20.100000000000001" customHeight="1">
      <c r="A250" s="52"/>
      <c r="D250" s="25"/>
      <c r="E250" s="26"/>
      <c r="F250" s="52"/>
      <c r="G250" s="35"/>
      <c r="H250" s="34"/>
    </row>
    <row r="251" spans="1:13" s="9" customFormat="1">
      <c r="B251" s="10"/>
      <c r="C251" s="10"/>
      <c r="D251" s="10"/>
      <c r="E251" s="11"/>
      <c r="G251" s="33"/>
      <c r="H251" s="32"/>
      <c r="I251" s="1"/>
      <c r="J251" s="1"/>
    </row>
    <row r="284" spans="1:12" s="55" customFormat="1">
      <c r="A284" s="9"/>
      <c r="B284" s="10"/>
      <c r="C284" s="10"/>
      <c r="D284" s="10"/>
      <c r="E284" s="11"/>
      <c r="F284" s="9"/>
      <c r="G284" s="33"/>
      <c r="H284" s="32"/>
      <c r="I284" s="1"/>
      <c r="J284" s="1"/>
      <c r="K284" s="1"/>
      <c r="L284" s="1"/>
    </row>
    <row r="289" spans="1:12" s="55" customFormat="1">
      <c r="A289" s="9"/>
      <c r="B289" s="10"/>
      <c r="C289" s="10"/>
      <c r="D289" s="10"/>
      <c r="E289" s="11"/>
      <c r="F289" s="9"/>
      <c r="G289" s="33"/>
      <c r="H289" s="32"/>
      <c r="I289" s="1"/>
      <c r="J289" s="1"/>
      <c r="K289" s="1"/>
      <c r="L289" s="1"/>
    </row>
  </sheetData>
  <mergeCells count="1">
    <mergeCell ref="B1:J3"/>
  </mergeCells>
  <conditionalFormatting sqref="G63 I15:I16 G244:I244 G237:I237 G238:H241">
    <cfRule type="cellIs" dxfId="60" priority="168" stopIfTrue="1" operator="equal">
      <formula>0</formula>
    </cfRule>
  </conditionalFormatting>
  <conditionalFormatting sqref="I33">
    <cfRule type="cellIs" dxfId="59" priority="167" stopIfTrue="1" operator="equal">
      <formula>0</formula>
    </cfRule>
  </conditionalFormatting>
  <conditionalFormatting sqref="I54">
    <cfRule type="cellIs" dxfId="58" priority="166" stopIfTrue="1" operator="equal">
      <formula>0</formula>
    </cfRule>
  </conditionalFormatting>
  <conditionalFormatting sqref="I60">
    <cfRule type="cellIs" dxfId="57" priority="165" stopIfTrue="1" operator="equal">
      <formula>0</formula>
    </cfRule>
  </conditionalFormatting>
  <conditionalFormatting sqref="I75">
    <cfRule type="cellIs" dxfId="56" priority="164" stopIfTrue="1" operator="equal">
      <formula>0</formula>
    </cfRule>
  </conditionalFormatting>
  <conditionalFormatting sqref="I84">
    <cfRule type="cellIs" dxfId="55" priority="163" stopIfTrue="1" operator="equal">
      <formula>0</formula>
    </cfRule>
  </conditionalFormatting>
  <conditionalFormatting sqref="I89">
    <cfRule type="cellIs" dxfId="54" priority="162" stopIfTrue="1" operator="equal">
      <formula>0</formula>
    </cfRule>
  </conditionalFormatting>
  <conditionalFormatting sqref="I95:I96 I101">
    <cfRule type="cellIs" dxfId="53" priority="161" stopIfTrue="1" operator="equal">
      <formula>0</formula>
    </cfRule>
  </conditionalFormatting>
  <conditionalFormatting sqref="I109">
    <cfRule type="cellIs" dxfId="52" priority="160" stopIfTrue="1" operator="equal">
      <formula>0</formula>
    </cfRule>
  </conditionalFormatting>
  <conditionalFormatting sqref="I117:I118">
    <cfRule type="cellIs" dxfId="51" priority="159" stopIfTrue="1" operator="equal">
      <formula>0</formula>
    </cfRule>
  </conditionalFormatting>
  <conditionalFormatting sqref="I136">
    <cfRule type="cellIs" dxfId="50" priority="158" stopIfTrue="1" operator="equal">
      <formula>0</formula>
    </cfRule>
  </conditionalFormatting>
  <conditionalFormatting sqref="I157">
    <cfRule type="cellIs" dxfId="49" priority="156" stopIfTrue="1" operator="equal">
      <formula>0</formula>
    </cfRule>
  </conditionalFormatting>
  <conditionalFormatting sqref="I176">
    <cfRule type="cellIs" dxfId="48" priority="155" stopIfTrue="1" operator="equal">
      <formula>0</formula>
    </cfRule>
  </conditionalFormatting>
  <conditionalFormatting sqref="I204">
    <cfRule type="cellIs" dxfId="47" priority="154" stopIfTrue="1" operator="equal">
      <formula>0</formula>
    </cfRule>
  </conditionalFormatting>
  <conditionalFormatting sqref="I229">
    <cfRule type="cellIs" dxfId="46" priority="153" stopIfTrue="1" operator="equal">
      <formula>0</formula>
    </cfRule>
  </conditionalFormatting>
  <conditionalFormatting sqref="I242">
    <cfRule type="cellIs" dxfId="45" priority="150" stopIfTrue="1" operator="equal">
      <formula>0</formula>
    </cfRule>
  </conditionalFormatting>
  <conditionalFormatting sqref="I247">
    <cfRule type="cellIs" dxfId="44" priority="149" stopIfTrue="1" operator="equal">
      <formula>0</formula>
    </cfRule>
  </conditionalFormatting>
  <conditionalFormatting sqref="G9">
    <cfRule type="cellIs" dxfId="43" priority="23" stopIfTrue="1" operator="equal">
      <formula>0</formula>
    </cfRule>
  </conditionalFormatting>
  <conditionalFormatting sqref="H9:I9">
    <cfRule type="cellIs" dxfId="42" priority="22" stopIfTrue="1" operator="equal">
      <formula>0</formula>
    </cfRule>
  </conditionalFormatting>
  <conditionalFormatting sqref="G97:I97">
    <cfRule type="cellIs" dxfId="41" priority="11" stopIfTrue="1" operator="equal">
      <formula>0</formula>
    </cfRule>
  </conditionalFormatting>
  <conditionalFormatting sqref="I100">
    <cfRule type="cellIs" dxfId="40" priority="10" stopIfTrue="1" operator="equal">
      <formula>0</formula>
    </cfRule>
  </conditionalFormatting>
  <conditionalFormatting sqref="G231:I231">
    <cfRule type="cellIs" dxfId="39" priority="9" stopIfTrue="1" operator="equal">
      <formula>0</formula>
    </cfRule>
  </conditionalFormatting>
  <conditionalFormatting sqref="I235:I236">
    <cfRule type="cellIs" dxfId="38" priority="8" stopIfTrue="1" operator="equal">
      <formula>0</formula>
    </cfRule>
  </conditionalFormatting>
  <conditionalFormatting sqref="G67">
    <cfRule type="cellIs" dxfId="37" priority="3" stopIfTrue="1" operator="equal">
      <formula>0</formula>
    </cfRule>
  </conditionalFormatting>
  <conditionalFormatting sqref="I24">
    <cfRule type="cellIs" dxfId="36" priority="1" stopIfTrue="1" operator="equal">
      <formula>0</formula>
    </cfRule>
  </conditionalFormatting>
  <printOptions horizontalCentered="1"/>
  <pageMargins left="0.27559055118110237" right="0.35433070866141736" top="0.16333333333333333" bottom="0.31496062992125984" header="0.35433070866141736" footer="0.19685039370078741"/>
  <pageSetup paperSize="9" scale="55" fitToHeight="0" orientation="portrait" r:id="rId1"/>
  <headerFooter alignWithMargins="0">
    <oddFooter>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1"/>
  <sheetViews>
    <sheetView workbookViewId="0">
      <selection activeCell="F77" sqref="F77"/>
    </sheetView>
  </sheetViews>
  <sheetFormatPr defaultRowHeight="14.25"/>
  <cols>
    <col min="1" max="1" width="19.25" customWidth="1"/>
    <col min="6" max="6" width="27.5" bestFit="1" customWidth="1"/>
  </cols>
  <sheetData>
    <row r="1" spans="1:21" ht="15">
      <c r="A1" s="193" t="s">
        <v>207</v>
      </c>
      <c r="B1" s="193"/>
      <c r="C1" s="193"/>
      <c r="D1" s="193"/>
      <c r="E1" s="193"/>
      <c r="F1" s="193"/>
      <c r="G1" s="193"/>
      <c r="L1" s="193" t="s">
        <v>214</v>
      </c>
      <c r="M1" s="193"/>
      <c r="N1" s="193"/>
      <c r="S1" s="148" t="s">
        <v>215</v>
      </c>
      <c r="U1" s="148" t="s">
        <v>248</v>
      </c>
    </row>
    <row r="3" spans="1:21" ht="15">
      <c r="A3" s="144" t="s">
        <v>210</v>
      </c>
      <c r="B3" s="144" t="s">
        <v>208</v>
      </c>
      <c r="C3" s="144" t="s">
        <v>209</v>
      </c>
      <c r="D3" s="144" t="s">
        <v>174</v>
      </c>
      <c r="E3" s="144"/>
      <c r="F3" s="144" t="s">
        <v>211</v>
      </c>
      <c r="G3" s="145" t="s">
        <v>239</v>
      </c>
      <c r="H3" s="175" t="s">
        <v>345</v>
      </c>
      <c r="L3">
        <v>4</v>
      </c>
      <c r="M3">
        <v>3</v>
      </c>
      <c r="N3">
        <f>L3*M3</f>
        <v>12</v>
      </c>
      <c r="P3">
        <f>N3-O3</f>
        <v>12</v>
      </c>
      <c r="S3">
        <v>15.85</v>
      </c>
      <c r="U3">
        <v>15.85</v>
      </c>
    </row>
    <row r="4" spans="1:21">
      <c r="A4" s="139" t="s">
        <v>212</v>
      </c>
      <c r="B4" s="139">
        <v>1.5</v>
      </c>
      <c r="C4" s="139">
        <v>1.2</v>
      </c>
      <c r="D4" s="139">
        <v>40</v>
      </c>
      <c r="E4" s="139">
        <f>B4*C4*D4</f>
        <v>72</v>
      </c>
      <c r="F4" s="139" t="s">
        <v>229</v>
      </c>
      <c r="G4">
        <f>B4*2*26</f>
        <v>78</v>
      </c>
      <c r="H4">
        <f>B4*D4</f>
        <v>60</v>
      </c>
      <c r="L4">
        <v>4</v>
      </c>
      <c r="M4">
        <v>3</v>
      </c>
      <c r="N4">
        <f t="shared" ref="N4:N24" si="0">L4*M4</f>
        <v>12</v>
      </c>
      <c r="P4">
        <f t="shared" ref="P4:P24" si="1">N4-O4</f>
        <v>12</v>
      </c>
      <c r="S4">
        <v>13</v>
      </c>
      <c r="U4">
        <v>13</v>
      </c>
    </row>
    <row r="5" spans="1:21">
      <c r="A5" s="139" t="s">
        <v>230</v>
      </c>
      <c r="B5" s="139">
        <v>2</v>
      </c>
      <c r="C5" s="139">
        <v>2.6</v>
      </c>
      <c r="D5" s="139">
        <v>1</v>
      </c>
      <c r="E5" s="146">
        <f t="shared" ref="E5:E14" si="2">B5*C5*D5</f>
        <v>5.2</v>
      </c>
      <c r="F5" s="146" t="s">
        <v>229</v>
      </c>
      <c r="G5">
        <f>B5*2*D5</f>
        <v>4</v>
      </c>
      <c r="L5">
        <v>4</v>
      </c>
      <c r="M5">
        <v>3</v>
      </c>
      <c r="N5">
        <f t="shared" si="0"/>
        <v>12</v>
      </c>
      <c r="P5">
        <f t="shared" si="1"/>
        <v>12</v>
      </c>
      <c r="S5">
        <v>13</v>
      </c>
      <c r="U5">
        <v>13</v>
      </c>
    </row>
    <row r="6" spans="1:21">
      <c r="A6" s="139" t="s">
        <v>212</v>
      </c>
      <c r="B6" s="139">
        <v>1</v>
      </c>
      <c r="C6" s="139">
        <v>0.6</v>
      </c>
      <c r="D6" s="139">
        <v>2</v>
      </c>
      <c r="E6" s="146">
        <f t="shared" si="2"/>
        <v>1.2</v>
      </c>
      <c r="F6" s="139" t="s">
        <v>229</v>
      </c>
      <c r="G6">
        <f>B6*2*D6</f>
        <v>4</v>
      </c>
      <c r="H6">
        <f t="shared" ref="H6" si="3">B6*D6</f>
        <v>2</v>
      </c>
      <c r="L6">
        <v>4</v>
      </c>
      <c r="M6">
        <v>3</v>
      </c>
      <c r="N6">
        <f t="shared" si="0"/>
        <v>12</v>
      </c>
      <c r="P6">
        <f t="shared" si="1"/>
        <v>12</v>
      </c>
      <c r="S6">
        <v>21.3</v>
      </c>
      <c r="U6">
        <v>21.3</v>
      </c>
    </row>
    <row r="7" spans="1:21">
      <c r="A7" s="146" t="s">
        <v>230</v>
      </c>
      <c r="B7" s="146">
        <v>2</v>
      </c>
      <c r="C7" s="146">
        <v>1.35</v>
      </c>
      <c r="D7" s="146">
        <v>1</v>
      </c>
      <c r="E7" s="146">
        <f t="shared" si="2"/>
        <v>2.7</v>
      </c>
      <c r="F7" s="146" t="s">
        <v>229</v>
      </c>
      <c r="G7">
        <f t="shared" ref="G7:G11" si="4">B7*2*D7</f>
        <v>4</v>
      </c>
      <c r="L7">
        <v>3.5</v>
      </c>
      <c r="M7">
        <v>3</v>
      </c>
      <c r="N7">
        <f t="shared" si="0"/>
        <v>10.5</v>
      </c>
      <c r="O7">
        <f>1*2.1</f>
        <v>2.1</v>
      </c>
      <c r="P7">
        <f t="shared" si="1"/>
        <v>8.4</v>
      </c>
      <c r="S7">
        <v>22.3</v>
      </c>
      <c r="U7">
        <v>22.3</v>
      </c>
    </row>
    <row r="8" spans="1:21">
      <c r="A8" s="139" t="s">
        <v>231</v>
      </c>
      <c r="B8" s="139">
        <v>3.2</v>
      </c>
      <c r="C8" s="139">
        <v>2.2000000000000002</v>
      </c>
      <c r="D8" s="139">
        <v>3</v>
      </c>
      <c r="E8" s="146">
        <f t="shared" si="2"/>
        <v>21.120000000000005</v>
      </c>
      <c r="F8" s="146" t="s">
        <v>229</v>
      </c>
      <c r="G8">
        <f>B8*D8</f>
        <v>9.6000000000000014</v>
      </c>
      <c r="L8">
        <v>3.5</v>
      </c>
      <c r="M8">
        <v>3</v>
      </c>
      <c r="N8">
        <f t="shared" si="0"/>
        <v>10.5</v>
      </c>
      <c r="O8">
        <f>1*2.1</f>
        <v>2.1</v>
      </c>
      <c r="P8">
        <f t="shared" si="1"/>
        <v>8.4</v>
      </c>
      <c r="S8">
        <v>26.8</v>
      </c>
      <c r="U8">
        <v>26.8</v>
      </c>
    </row>
    <row r="9" spans="1:21">
      <c r="A9" s="139" t="s">
        <v>232</v>
      </c>
      <c r="B9" s="139">
        <v>3.2</v>
      </c>
      <c r="C9" s="139">
        <v>2.2000000000000002</v>
      </c>
      <c r="D9" s="139">
        <v>1</v>
      </c>
      <c r="E9" s="146">
        <f t="shared" si="2"/>
        <v>7.0400000000000009</v>
      </c>
      <c r="F9" s="139"/>
      <c r="G9">
        <f t="shared" ref="G9:G10" si="5">B9*D9</f>
        <v>3.2</v>
      </c>
      <c r="L9">
        <v>3.5</v>
      </c>
      <c r="M9">
        <v>3</v>
      </c>
      <c r="N9">
        <f t="shared" si="0"/>
        <v>10.5</v>
      </c>
      <c r="O9">
        <f>0.6</f>
        <v>0.6</v>
      </c>
      <c r="P9">
        <f t="shared" si="1"/>
        <v>9.9</v>
      </c>
      <c r="S9">
        <v>15</v>
      </c>
      <c r="U9">
        <v>13.3</v>
      </c>
    </row>
    <row r="10" spans="1:21">
      <c r="A10" s="146" t="s">
        <v>232</v>
      </c>
      <c r="B10" s="146">
        <v>2</v>
      </c>
      <c r="C10" s="146">
        <v>2.2000000000000002</v>
      </c>
      <c r="D10" s="146">
        <v>1</v>
      </c>
      <c r="E10" s="146">
        <f t="shared" si="2"/>
        <v>4.4000000000000004</v>
      </c>
      <c r="F10" s="139"/>
      <c r="G10">
        <f t="shared" si="5"/>
        <v>2</v>
      </c>
      <c r="L10">
        <v>3.5</v>
      </c>
      <c r="M10">
        <v>3</v>
      </c>
      <c r="N10">
        <f t="shared" si="0"/>
        <v>10.5</v>
      </c>
      <c r="O10">
        <f>0.6</f>
        <v>0.6</v>
      </c>
      <c r="P10">
        <f t="shared" si="1"/>
        <v>9.9</v>
      </c>
      <c r="S10">
        <v>15</v>
      </c>
      <c r="U10">
        <v>13</v>
      </c>
    </row>
    <row r="11" spans="1:21">
      <c r="A11" s="139" t="s">
        <v>233</v>
      </c>
      <c r="B11" s="139"/>
      <c r="C11" s="139"/>
      <c r="D11" s="139"/>
      <c r="E11" s="146">
        <v>88</v>
      </c>
      <c r="F11" s="139"/>
      <c r="G11">
        <f t="shared" si="4"/>
        <v>0</v>
      </c>
      <c r="L11">
        <v>4</v>
      </c>
      <c r="M11">
        <v>3</v>
      </c>
      <c r="N11">
        <f t="shared" si="0"/>
        <v>12</v>
      </c>
      <c r="P11">
        <f t="shared" si="1"/>
        <v>12</v>
      </c>
      <c r="S11">
        <v>13.3</v>
      </c>
      <c r="U11">
        <v>13</v>
      </c>
    </row>
    <row r="12" spans="1:21">
      <c r="A12" s="139" t="s">
        <v>235</v>
      </c>
      <c r="B12" s="139">
        <v>0.8</v>
      </c>
      <c r="C12" s="139">
        <v>2.1</v>
      </c>
      <c r="D12" s="139">
        <v>24</v>
      </c>
      <c r="E12" s="146">
        <f t="shared" si="2"/>
        <v>40.320000000000007</v>
      </c>
      <c r="F12" s="139"/>
      <c r="G12">
        <f>B12*D12</f>
        <v>19.200000000000003</v>
      </c>
      <c r="L12">
        <v>2.85</v>
      </c>
      <c r="M12">
        <v>3</v>
      </c>
      <c r="N12">
        <f t="shared" si="0"/>
        <v>8.5500000000000007</v>
      </c>
      <c r="O12">
        <f>1.5*1.2</f>
        <v>1.7999999999999998</v>
      </c>
      <c r="P12">
        <f t="shared" si="1"/>
        <v>6.7500000000000009</v>
      </c>
      <c r="S12">
        <v>13</v>
      </c>
      <c r="U12">
        <v>18</v>
      </c>
    </row>
    <row r="13" spans="1:21">
      <c r="A13" s="139" t="s">
        <v>235</v>
      </c>
      <c r="B13" s="139">
        <v>0.9</v>
      </c>
      <c r="C13" s="139">
        <v>2.1</v>
      </c>
      <c r="D13" s="139">
        <v>4</v>
      </c>
      <c r="E13" s="146">
        <f t="shared" si="2"/>
        <v>7.5600000000000005</v>
      </c>
      <c r="F13" s="139"/>
      <c r="G13">
        <f>B13*D13</f>
        <v>3.6</v>
      </c>
      <c r="L13">
        <v>2.5</v>
      </c>
      <c r="M13">
        <v>0.9</v>
      </c>
      <c r="N13">
        <f t="shared" si="0"/>
        <v>2.25</v>
      </c>
      <c r="P13">
        <f t="shared" si="1"/>
        <v>2.25</v>
      </c>
      <c r="S13">
        <v>13</v>
      </c>
      <c r="U13">
        <v>13</v>
      </c>
    </row>
    <row r="14" spans="1:21">
      <c r="A14" s="139" t="s">
        <v>237</v>
      </c>
      <c r="B14" s="139">
        <v>1</v>
      </c>
      <c r="C14" s="139">
        <v>2.2000000000000002</v>
      </c>
      <c r="D14" s="139">
        <v>4</v>
      </c>
      <c r="E14" s="146">
        <f t="shared" si="2"/>
        <v>8.8000000000000007</v>
      </c>
      <c r="F14" s="139"/>
      <c r="G14">
        <v>2</v>
      </c>
      <c r="L14">
        <v>2.5</v>
      </c>
      <c r="M14">
        <v>3</v>
      </c>
      <c r="N14">
        <f t="shared" si="0"/>
        <v>7.5</v>
      </c>
      <c r="P14">
        <f t="shared" si="1"/>
        <v>7.5</v>
      </c>
      <c r="S14">
        <v>18</v>
      </c>
      <c r="U14">
        <v>13</v>
      </c>
    </row>
    <row r="15" spans="1:21">
      <c r="A15" s="146" t="s">
        <v>235</v>
      </c>
      <c r="B15" s="146">
        <v>0.8</v>
      </c>
      <c r="C15" s="146">
        <v>2.1</v>
      </c>
      <c r="D15" s="146">
        <v>5</v>
      </c>
      <c r="E15" s="146">
        <f t="shared" ref="E15" si="6">B15*C15*D15</f>
        <v>8.4</v>
      </c>
      <c r="F15" s="139"/>
      <c r="L15">
        <v>4</v>
      </c>
      <c r="M15">
        <v>2.2000000000000002</v>
      </c>
      <c r="N15">
        <f t="shared" si="0"/>
        <v>8.8000000000000007</v>
      </c>
      <c r="O15">
        <f>0.8*2.2</f>
        <v>1.7600000000000002</v>
      </c>
      <c r="P15">
        <f t="shared" si="1"/>
        <v>7.0400000000000009</v>
      </c>
      <c r="S15">
        <v>13</v>
      </c>
      <c r="U15">
        <v>13</v>
      </c>
    </row>
    <row r="16" spans="1:21" ht="15">
      <c r="A16" s="193" t="s">
        <v>238</v>
      </c>
      <c r="B16" s="193"/>
      <c r="C16" s="193"/>
      <c r="D16" s="193"/>
      <c r="E16" s="139">
        <f>SUM(E4:E15)</f>
        <v>266.74</v>
      </c>
      <c r="F16" s="145" t="s">
        <v>240</v>
      </c>
      <c r="G16" s="146">
        <f>SUM(G4:G15)</f>
        <v>129.6</v>
      </c>
      <c r="L16">
        <v>4</v>
      </c>
      <c r="M16">
        <v>2.2000000000000002</v>
      </c>
      <c r="N16">
        <f t="shared" si="0"/>
        <v>8.8000000000000007</v>
      </c>
      <c r="P16">
        <f t="shared" si="1"/>
        <v>8.8000000000000007</v>
      </c>
      <c r="S16">
        <v>13</v>
      </c>
      <c r="U16">
        <v>13</v>
      </c>
    </row>
    <row r="17" spans="1:21">
      <c r="A17" s="139"/>
      <c r="B17" s="139"/>
      <c r="C17" s="139"/>
      <c r="D17" s="139"/>
      <c r="E17" s="139"/>
      <c r="F17" s="139"/>
      <c r="L17">
        <v>4</v>
      </c>
      <c r="M17">
        <v>2.2000000000000002</v>
      </c>
      <c r="N17">
        <f t="shared" si="0"/>
        <v>8.8000000000000007</v>
      </c>
      <c r="P17">
        <f t="shared" si="1"/>
        <v>8.8000000000000007</v>
      </c>
      <c r="S17">
        <v>13</v>
      </c>
      <c r="U17">
        <v>16</v>
      </c>
    </row>
    <row r="18" spans="1:21">
      <c r="A18" s="139"/>
      <c r="B18" s="139"/>
      <c r="C18" s="139"/>
      <c r="D18" s="139"/>
      <c r="E18">
        <f>(E8+E9+E10+E12)+(25*1.5*1.2)+E14+E5+E7+E6</f>
        <v>135.77999999999997</v>
      </c>
      <c r="F18" s="139"/>
      <c r="L18">
        <v>4</v>
      </c>
      <c r="M18">
        <v>2.2000000000000002</v>
      </c>
      <c r="N18">
        <f t="shared" si="0"/>
        <v>8.8000000000000007</v>
      </c>
      <c r="P18">
        <f t="shared" si="1"/>
        <v>8.8000000000000007</v>
      </c>
      <c r="S18">
        <v>13</v>
      </c>
      <c r="U18">
        <v>18.3</v>
      </c>
    </row>
    <row r="19" spans="1:21">
      <c r="A19" s="139" t="s">
        <v>213</v>
      </c>
      <c r="B19" s="139"/>
      <c r="C19" s="139"/>
      <c r="D19" s="139"/>
      <c r="E19" s="139"/>
      <c r="F19" s="139"/>
      <c r="L19">
        <v>4</v>
      </c>
      <c r="M19">
        <v>2.2000000000000002</v>
      </c>
      <c r="N19">
        <f t="shared" si="0"/>
        <v>8.8000000000000007</v>
      </c>
      <c r="P19">
        <f t="shared" si="1"/>
        <v>8.8000000000000007</v>
      </c>
      <c r="S19">
        <v>16</v>
      </c>
      <c r="U19">
        <v>16</v>
      </c>
    </row>
    <row r="20" spans="1:21">
      <c r="A20" s="139"/>
      <c r="B20" s="139"/>
      <c r="C20" s="139"/>
      <c r="D20" s="139"/>
      <c r="E20" s="139"/>
      <c r="F20" s="139"/>
      <c r="L20">
        <v>4</v>
      </c>
      <c r="M20">
        <v>2.2000000000000002</v>
      </c>
      <c r="N20">
        <f t="shared" si="0"/>
        <v>8.8000000000000007</v>
      </c>
      <c r="P20">
        <f t="shared" si="1"/>
        <v>8.8000000000000007</v>
      </c>
      <c r="S20">
        <v>18.3</v>
      </c>
      <c r="U20">
        <v>13</v>
      </c>
    </row>
    <row r="21" spans="1:21">
      <c r="A21" s="146" t="s">
        <v>241</v>
      </c>
      <c r="B21" s="146" t="s">
        <v>208</v>
      </c>
      <c r="C21" s="146" t="s">
        <v>209</v>
      </c>
      <c r="D21" s="146" t="s">
        <v>243</v>
      </c>
      <c r="E21" s="139"/>
      <c r="F21" s="139"/>
      <c r="L21">
        <v>3.5</v>
      </c>
      <c r="M21">
        <v>0.9</v>
      </c>
      <c r="N21">
        <f t="shared" si="0"/>
        <v>3.15</v>
      </c>
      <c r="O21">
        <f>0.8*2.2</f>
        <v>1.7600000000000002</v>
      </c>
      <c r="P21">
        <f t="shared" si="1"/>
        <v>1.3899999999999997</v>
      </c>
      <c r="S21">
        <v>16</v>
      </c>
      <c r="U21">
        <v>13</v>
      </c>
    </row>
    <row r="22" spans="1:21">
      <c r="A22" s="146" t="s">
        <v>242</v>
      </c>
      <c r="B22" s="139">
        <v>10.6</v>
      </c>
      <c r="C22" s="139">
        <v>2.7</v>
      </c>
      <c r="D22" s="139">
        <f>B22*C22</f>
        <v>28.62</v>
      </c>
      <c r="E22" s="139"/>
      <c r="F22" s="139"/>
      <c r="L22">
        <v>3.5</v>
      </c>
      <c r="M22">
        <v>0.9</v>
      </c>
      <c r="N22">
        <f t="shared" si="0"/>
        <v>3.15</v>
      </c>
      <c r="O22">
        <f>0.8*2.2</f>
        <v>1.7600000000000002</v>
      </c>
      <c r="P22">
        <f t="shared" si="1"/>
        <v>1.3899999999999997</v>
      </c>
      <c r="S22">
        <v>13</v>
      </c>
      <c r="U22">
        <v>19</v>
      </c>
    </row>
    <row r="23" spans="1:21">
      <c r="A23" s="146" t="s">
        <v>242</v>
      </c>
      <c r="B23" s="139">
        <v>7.3</v>
      </c>
      <c r="C23" s="139">
        <v>2.7</v>
      </c>
      <c r="D23" s="139">
        <f t="shared" ref="D23:D33" si="7">B23*C23</f>
        <v>19.71</v>
      </c>
      <c r="E23" s="139"/>
      <c r="F23" s="139"/>
      <c r="L23">
        <v>3.5</v>
      </c>
      <c r="M23">
        <v>3</v>
      </c>
      <c r="N23">
        <f t="shared" si="0"/>
        <v>10.5</v>
      </c>
      <c r="P23">
        <f t="shared" si="1"/>
        <v>10.5</v>
      </c>
      <c r="S23">
        <v>13</v>
      </c>
      <c r="U23">
        <v>56</v>
      </c>
    </row>
    <row r="24" spans="1:21">
      <c r="A24" s="146" t="s">
        <v>242</v>
      </c>
      <c r="B24" s="139">
        <v>10.8</v>
      </c>
      <c r="C24" s="139">
        <v>2.7</v>
      </c>
      <c r="D24" s="139">
        <f t="shared" si="7"/>
        <v>29.160000000000004</v>
      </c>
      <c r="E24" s="139"/>
      <c r="F24" s="139"/>
      <c r="L24">
        <v>3.5</v>
      </c>
      <c r="M24">
        <v>3</v>
      </c>
      <c r="N24">
        <f t="shared" si="0"/>
        <v>10.5</v>
      </c>
      <c r="P24">
        <f t="shared" si="1"/>
        <v>10.5</v>
      </c>
      <c r="S24">
        <v>19</v>
      </c>
      <c r="U24">
        <v>22</v>
      </c>
    </row>
    <row r="25" spans="1:21" ht="15">
      <c r="A25" s="146" t="s">
        <v>242</v>
      </c>
      <c r="B25" s="139">
        <v>10.6</v>
      </c>
      <c r="C25" s="139">
        <v>2.7</v>
      </c>
      <c r="D25" s="139">
        <f t="shared" si="7"/>
        <v>28.62</v>
      </c>
      <c r="E25" s="139"/>
      <c r="F25" s="139">
        <f>SUM(B22:B33)</f>
        <v>102.64999999999999</v>
      </c>
      <c r="M25" s="193" t="s">
        <v>247</v>
      </c>
      <c r="N25" s="193"/>
      <c r="O25" s="193"/>
      <c r="P25" s="148">
        <f>SUM(P3:P24)</f>
        <v>187.92000000000004</v>
      </c>
      <c r="S25">
        <v>56</v>
      </c>
      <c r="U25">
        <v>21</v>
      </c>
    </row>
    <row r="26" spans="1:21">
      <c r="A26" s="146" t="s">
        <v>242</v>
      </c>
      <c r="B26" s="139">
        <v>10.95</v>
      </c>
      <c r="C26" s="139">
        <v>2.7</v>
      </c>
      <c r="D26" s="139">
        <f t="shared" si="7"/>
        <v>29.565000000000001</v>
      </c>
      <c r="E26" s="139"/>
      <c r="F26" s="139">
        <f>SUM(B46:B57)</f>
        <v>143.05000000000001</v>
      </c>
      <c r="S26">
        <f>SUM(S3:S25)</f>
        <v>402.85</v>
      </c>
      <c r="U26">
        <v>13</v>
      </c>
    </row>
    <row r="27" spans="1:21" ht="15">
      <c r="A27" s="146" t="s">
        <v>242</v>
      </c>
      <c r="B27" s="139">
        <v>1</v>
      </c>
      <c r="C27" s="139">
        <v>2.7</v>
      </c>
      <c r="D27" s="139">
        <f t="shared" si="7"/>
        <v>2.7</v>
      </c>
      <c r="E27" s="139"/>
      <c r="F27" s="139">
        <f>F25+F26</f>
        <v>245.7</v>
      </c>
      <c r="L27" s="148" t="s">
        <v>253</v>
      </c>
      <c r="U27">
        <v>13</v>
      </c>
    </row>
    <row r="28" spans="1:21">
      <c r="A28" s="146" t="s">
        <v>242</v>
      </c>
      <c r="B28" s="139">
        <v>10.6</v>
      </c>
      <c r="C28" s="139">
        <v>2.7</v>
      </c>
      <c r="D28" s="139">
        <f t="shared" si="7"/>
        <v>28.62</v>
      </c>
      <c r="E28" s="139"/>
      <c r="F28" s="139"/>
      <c r="L28">
        <f>0.9*1.15*2</f>
        <v>2.0699999999999998</v>
      </c>
      <c r="M28">
        <v>2</v>
      </c>
      <c r="N28">
        <f>L28*M28</f>
        <v>4.1399999999999997</v>
      </c>
      <c r="U28">
        <v>13</v>
      </c>
    </row>
    <row r="29" spans="1:21">
      <c r="A29" s="146" t="s">
        <v>242</v>
      </c>
      <c r="B29" s="139">
        <v>1</v>
      </c>
      <c r="C29" s="139">
        <v>2.7</v>
      </c>
      <c r="D29" s="139">
        <f t="shared" si="7"/>
        <v>2.7</v>
      </c>
      <c r="E29" s="139"/>
      <c r="F29" s="139">
        <f>F27*0.35</f>
        <v>85.99499999999999</v>
      </c>
      <c r="L29">
        <f>0.2*3.3*2</f>
        <v>1.32</v>
      </c>
      <c r="M29">
        <v>2</v>
      </c>
      <c r="N29">
        <f t="shared" ref="N29:N37" si="8">L29*M29</f>
        <v>2.64</v>
      </c>
      <c r="U29">
        <v>25</v>
      </c>
    </row>
    <row r="30" spans="1:21">
      <c r="A30" s="146" t="s">
        <v>242</v>
      </c>
      <c r="B30" s="139">
        <v>10.95</v>
      </c>
      <c r="C30" s="139">
        <v>2.7</v>
      </c>
      <c r="D30" s="139">
        <f t="shared" si="7"/>
        <v>29.565000000000001</v>
      </c>
      <c r="E30" s="139"/>
      <c r="F30" s="139"/>
      <c r="L30">
        <f>4.4*1.35</f>
        <v>5.9400000000000013</v>
      </c>
      <c r="M30">
        <v>2</v>
      </c>
      <c r="N30">
        <f t="shared" si="8"/>
        <v>11.880000000000003</v>
      </c>
      <c r="U30">
        <v>19</v>
      </c>
    </row>
    <row r="31" spans="1:21">
      <c r="A31" s="146" t="s">
        <v>242</v>
      </c>
      <c r="B31" s="139">
        <v>10.6</v>
      </c>
      <c r="C31" s="139">
        <v>2.7</v>
      </c>
      <c r="D31" s="139">
        <f t="shared" si="7"/>
        <v>28.62</v>
      </c>
      <c r="E31" s="139"/>
      <c r="F31" s="139"/>
      <c r="L31">
        <f>0.3*3.3*2</f>
        <v>1.9799999999999998</v>
      </c>
      <c r="M31">
        <v>2</v>
      </c>
      <c r="N31">
        <f t="shared" si="8"/>
        <v>3.9599999999999995</v>
      </c>
      <c r="U31">
        <v>21</v>
      </c>
    </row>
    <row r="32" spans="1:21">
      <c r="A32" s="146" t="s">
        <v>242</v>
      </c>
      <c r="B32" s="139">
        <v>10.95</v>
      </c>
      <c r="C32" s="139">
        <v>2.7</v>
      </c>
      <c r="D32" s="139">
        <f t="shared" si="7"/>
        <v>29.565000000000001</v>
      </c>
      <c r="E32" s="139"/>
      <c r="F32" s="139"/>
      <c r="L32">
        <f>(0.2*1.55*2)+(0.3*1.4*2)</f>
        <v>1.46</v>
      </c>
      <c r="M32">
        <v>14</v>
      </c>
      <c r="N32">
        <f t="shared" si="8"/>
        <v>20.439999999999998</v>
      </c>
      <c r="U32">
        <v>25</v>
      </c>
    </row>
    <row r="33" spans="1:22">
      <c r="A33" s="146" t="s">
        <v>242</v>
      </c>
      <c r="B33" s="139">
        <v>7.3</v>
      </c>
      <c r="C33" s="139">
        <v>2.7</v>
      </c>
      <c r="D33" s="139">
        <f t="shared" si="7"/>
        <v>19.71</v>
      </c>
      <c r="E33" s="139"/>
      <c r="F33" s="139">
        <f>SUM(D22:D45)</f>
        <v>343.87749999999988</v>
      </c>
      <c r="L33">
        <f>0.8*7.8*2</f>
        <v>12.48</v>
      </c>
      <c r="M33">
        <v>1</v>
      </c>
      <c r="N33">
        <f t="shared" si="8"/>
        <v>12.48</v>
      </c>
      <c r="U33">
        <v>19</v>
      </c>
    </row>
    <row r="34" spans="1:22">
      <c r="A34" s="146" t="s">
        <v>244</v>
      </c>
      <c r="B34" s="146">
        <v>10.6</v>
      </c>
      <c r="C34" s="146">
        <v>0.65</v>
      </c>
      <c r="D34" s="146">
        <f>B34*C34</f>
        <v>6.89</v>
      </c>
      <c r="E34" s="139"/>
      <c r="F34" s="139">
        <f>SUM(E4:E11)</f>
        <v>201.66000000000003</v>
      </c>
      <c r="L34">
        <f>0.35*4</f>
        <v>1.4</v>
      </c>
      <c r="M34">
        <v>1</v>
      </c>
      <c r="N34">
        <f t="shared" si="8"/>
        <v>1.4</v>
      </c>
      <c r="U34">
        <v>40</v>
      </c>
    </row>
    <row r="35" spans="1:22">
      <c r="A35" s="146" t="s">
        <v>244</v>
      </c>
      <c r="B35" s="146">
        <v>7.3</v>
      </c>
      <c r="C35" s="146">
        <v>0.65</v>
      </c>
      <c r="D35" s="146">
        <f t="shared" ref="D35:D67" si="9">B35*C35</f>
        <v>4.7450000000000001</v>
      </c>
      <c r="F35">
        <f>F33-F34</f>
        <v>142.21749999999986</v>
      </c>
      <c r="L35">
        <f>1.2*7</f>
        <v>8.4</v>
      </c>
      <c r="M35">
        <v>1</v>
      </c>
      <c r="N35">
        <f t="shared" si="8"/>
        <v>8.4</v>
      </c>
      <c r="U35">
        <v>34</v>
      </c>
    </row>
    <row r="36" spans="1:22">
      <c r="A36" s="146" t="s">
        <v>244</v>
      </c>
      <c r="B36" s="146">
        <v>10.8</v>
      </c>
      <c r="C36" s="146">
        <v>0.65</v>
      </c>
      <c r="D36" s="146">
        <f t="shared" si="9"/>
        <v>7.0200000000000005</v>
      </c>
      <c r="L36">
        <f>0.4*7.7*2</f>
        <v>6.16</v>
      </c>
      <c r="M36">
        <v>3</v>
      </c>
      <c r="N36">
        <f t="shared" si="8"/>
        <v>18.48</v>
      </c>
      <c r="U36">
        <v>26</v>
      </c>
    </row>
    <row r="37" spans="1:22">
      <c r="A37" s="146" t="s">
        <v>244</v>
      </c>
      <c r="B37" s="146">
        <v>10.6</v>
      </c>
      <c r="C37" s="146">
        <v>0.65</v>
      </c>
      <c r="D37" s="146">
        <f t="shared" si="9"/>
        <v>6.89</v>
      </c>
      <c r="L37">
        <f>853800/(100*100)</f>
        <v>85.38</v>
      </c>
      <c r="M37">
        <v>1</v>
      </c>
      <c r="N37">
        <f t="shared" si="8"/>
        <v>85.38</v>
      </c>
      <c r="U37">
        <v>40</v>
      </c>
    </row>
    <row r="38" spans="1:22" ht="15">
      <c r="A38" s="146" t="s">
        <v>244</v>
      </c>
      <c r="B38" s="146">
        <v>10.95</v>
      </c>
      <c r="C38" s="146">
        <v>0.65</v>
      </c>
      <c r="D38" s="146">
        <f t="shared" si="9"/>
        <v>7.1174999999999997</v>
      </c>
      <c r="N38" s="148">
        <f>SUM(N28:N37)</f>
        <v>169.2</v>
      </c>
    </row>
    <row r="39" spans="1:22">
      <c r="A39" s="146" t="s">
        <v>244</v>
      </c>
      <c r="B39" s="146">
        <v>1</v>
      </c>
      <c r="C39" s="146">
        <v>0.65</v>
      </c>
      <c r="D39" s="146">
        <f t="shared" si="9"/>
        <v>0.65</v>
      </c>
      <c r="U39">
        <f>SUM(U3:U37)</f>
        <v>703.85</v>
      </c>
      <c r="V39">
        <f>U39-(U41*2)</f>
        <v>665.45</v>
      </c>
    </row>
    <row r="40" spans="1:22" ht="15">
      <c r="A40" s="146" t="s">
        <v>244</v>
      </c>
      <c r="B40" s="146">
        <v>10.6</v>
      </c>
      <c r="C40" s="146">
        <v>0.65</v>
      </c>
      <c r="D40" s="146">
        <f t="shared" si="9"/>
        <v>6.89</v>
      </c>
      <c r="L40" s="148" t="s">
        <v>254</v>
      </c>
    </row>
    <row r="41" spans="1:22">
      <c r="A41" s="146" t="s">
        <v>244</v>
      </c>
      <c r="B41" s="146">
        <v>1</v>
      </c>
      <c r="C41" s="146">
        <v>0.65</v>
      </c>
      <c r="D41" s="146">
        <f t="shared" si="9"/>
        <v>0.65</v>
      </c>
      <c r="L41">
        <f>3.5*2</f>
        <v>7</v>
      </c>
      <c r="M41">
        <v>2</v>
      </c>
      <c r="N41">
        <f>L41*M41</f>
        <v>14</v>
      </c>
      <c r="U41">
        <f>D12*B12</f>
        <v>19.200000000000003</v>
      </c>
    </row>
    <row r="42" spans="1:22">
      <c r="A42" s="146" t="s">
        <v>244</v>
      </c>
      <c r="B42" s="146">
        <v>10.95</v>
      </c>
      <c r="C42" s="146">
        <v>0.65</v>
      </c>
      <c r="D42" s="146">
        <f t="shared" si="9"/>
        <v>7.1174999999999997</v>
      </c>
      <c r="L42">
        <v>6.5</v>
      </c>
      <c r="M42">
        <v>2</v>
      </c>
      <c r="N42">
        <f t="shared" ref="N42:N47" si="10">L42*M42</f>
        <v>13</v>
      </c>
    </row>
    <row r="43" spans="1:22">
      <c r="A43" s="146" t="s">
        <v>244</v>
      </c>
      <c r="B43" s="146">
        <v>10.6</v>
      </c>
      <c r="C43" s="146">
        <v>0.65</v>
      </c>
      <c r="D43" s="146">
        <f t="shared" si="9"/>
        <v>6.89</v>
      </c>
      <c r="L43">
        <f>(1.5+1.65)*2</f>
        <v>6.3</v>
      </c>
      <c r="M43">
        <v>14</v>
      </c>
      <c r="N43">
        <f t="shared" si="10"/>
        <v>88.2</v>
      </c>
    </row>
    <row r="44" spans="1:22">
      <c r="A44" s="146" t="s">
        <v>244</v>
      </c>
      <c r="B44" s="146">
        <v>10.95</v>
      </c>
      <c r="C44" s="146">
        <v>0.65</v>
      </c>
      <c r="D44" s="146">
        <f t="shared" si="9"/>
        <v>7.1174999999999997</v>
      </c>
      <c r="L44">
        <f>8*2</f>
        <v>16</v>
      </c>
      <c r="M44">
        <v>1</v>
      </c>
      <c r="N44">
        <f t="shared" si="10"/>
        <v>16</v>
      </c>
    </row>
    <row r="45" spans="1:22">
      <c r="A45" s="146" t="s">
        <v>244</v>
      </c>
      <c r="B45" s="146">
        <v>7.3</v>
      </c>
      <c r="C45" s="146">
        <v>0.65</v>
      </c>
      <c r="D45" s="146">
        <f t="shared" si="9"/>
        <v>4.7450000000000001</v>
      </c>
      <c r="L45">
        <v>8.15</v>
      </c>
      <c r="M45">
        <v>1</v>
      </c>
      <c r="N45">
        <f t="shared" si="10"/>
        <v>8.15</v>
      </c>
    </row>
    <row r="46" spans="1:22">
      <c r="A46" s="146" t="s">
        <v>245</v>
      </c>
      <c r="B46" s="146">
        <v>11.45</v>
      </c>
      <c r="C46" s="146">
        <v>2.7</v>
      </c>
      <c r="D46" s="146">
        <f t="shared" si="9"/>
        <v>30.914999999999999</v>
      </c>
      <c r="L46">
        <f>8*2</f>
        <v>16</v>
      </c>
      <c r="M46">
        <v>3</v>
      </c>
      <c r="N46">
        <f t="shared" si="10"/>
        <v>48</v>
      </c>
    </row>
    <row r="47" spans="1:22">
      <c r="A47" s="146" t="s">
        <v>245</v>
      </c>
      <c r="B47" s="146">
        <v>7.3</v>
      </c>
      <c r="C47" s="146">
        <v>2.7</v>
      </c>
      <c r="D47" s="146">
        <f t="shared" si="9"/>
        <v>19.71</v>
      </c>
      <c r="L47">
        <v>110</v>
      </c>
      <c r="M47">
        <v>1</v>
      </c>
      <c r="N47">
        <f t="shared" si="10"/>
        <v>110</v>
      </c>
      <c r="P47">
        <f>SUM(P3:P45)</f>
        <v>375.84000000000009</v>
      </c>
    </row>
    <row r="48" spans="1:22">
      <c r="A48" s="146" t="s">
        <v>245</v>
      </c>
      <c r="B48" s="146">
        <v>4</v>
      </c>
      <c r="C48" s="146">
        <v>2.7</v>
      </c>
      <c r="D48" s="146">
        <f t="shared" si="9"/>
        <v>10.8</v>
      </c>
      <c r="N48">
        <f>SUM(N41:N47)</f>
        <v>297.35000000000002</v>
      </c>
    </row>
    <row r="49" spans="1:14">
      <c r="A49" s="146" t="s">
        <v>245</v>
      </c>
      <c r="B49" s="146">
        <v>12.1</v>
      </c>
      <c r="C49" s="146">
        <v>2.7</v>
      </c>
      <c r="D49" s="146">
        <f t="shared" si="9"/>
        <v>32.67</v>
      </c>
    </row>
    <row r="50" spans="1:14">
      <c r="A50" s="146" t="s">
        <v>245</v>
      </c>
      <c r="B50" s="146">
        <v>11.1</v>
      </c>
      <c r="C50" s="146">
        <v>2.7</v>
      </c>
      <c r="D50" s="146">
        <f t="shared" si="9"/>
        <v>29.970000000000002</v>
      </c>
    </row>
    <row r="51" spans="1:14" ht="15">
      <c r="A51" s="146" t="s">
        <v>245</v>
      </c>
      <c r="B51" s="146">
        <v>2</v>
      </c>
      <c r="C51" s="146">
        <v>2.7</v>
      </c>
      <c r="D51" s="146">
        <f t="shared" si="9"/>
        <v>5.4</v>
      </c>
      <c r="L51" s="148" t="s">
        <v>255</v>
      </c>
      <c r="N51" s="148" t="s">
        <v>256</v>
      </c>
    </row>
    <row r="52" spans="1:14">
      <c r="A52" s="146" t="s">
        <v>245</v>
      </c>
      <c r="B52" s="146">
        <f>4*16</f>
        <v>64</v>
      </c>
      <c r="C52" s="146">
        <v>2.7</v>
      </c>
      <c r="D52" s="146">
        <f t="shared" si="9"/>
        <v>172.8</v>
      </c>
      <c r="L52">
        <f>4219560/(100*100)</f>
        <v>421.95600000000002</v>
      </c>
      <c r="N52">
        <v>33.299999999999997</v>
      </c>
    </row>
    <row r="53" spans="1:14">
      <c r="A53" s="146" t="s">
        <v>245</v>
      </c>
      <c r="B53" s="146">
        <v>2.85</v>
      </c>
      <c r="C53" s="146">
        <v>2.7</v>
      </c>
      <c r="D53" s="146">
        <f t="shared" si="9"/>
        <v>7.6950000000000012</v>
      </c>
      <c r="L53">
        <v>93.82</v>
      </c>
      <c r="N53">
        <v>20.100000000000001</v>
      </c>
    </row>
    <row r="54" spans="1:14">
      <c r="A54" s="146" t="s">
        <v>245</v>
      </c>
      <c r="B54" s="146">
        <f>5*2</f>
        <v>10</v>
      </c>
      <c r="C54" s="146">
        <v>2.7</v>
      </c>
      <c r="D54" s="146">
        <f t="shared" si="9"/>
        <v>27</v>
      </c>
      <c r="L54">
        <v>23.2</v>
      </c>
      <c r="N54">
        <f>2.7*14</f>
        <v>37.800000000000004</v>
      </c>
    </row>
    <row r="55" spans="1:14">
      <c r="A55" s="146" t="s">
        <v>245</v>
      </c>
      <c r="B55" s="146">
        <v>11.1</v>
      </c>
      <c r="C55" s="146">
        <v>2.7</v>
      </c>
      <c r="D55" s="146">
        <f t="shared" si="9"/>
        <v>29.970000000000002</v>
      </c>
      <c r="L55">
        <v>23.2</v>
      </c>
      <c r="N55">
        <f>3.8*2</f>
        <v>7.6</v>
      </c>
    </row>
    <row r="56" spans="1:14">
      <c r="A56" s="146" t="s">
        <v>245</v>
      </c>
      <c r="B56" s="146">
        <v>2</v>
      </c>
      <c r="C56" s="146">
        <v>2.7</v>
      </c>
      <c r="D56" s="146">
        <f t="shared" si="9"/>
        <v>5.4</v>
      </c>
      <c r="L56">
        <f>7.17*14</f>
        <v>100.38</v>
      </c>
    </row>
    <row r="57" spans="1:14">
      <c r="A57" s="146" t="s">
        <v>245</v>
      </c>
      <c r="B57" s="139">
        <v>5.15</v>
      </c>
      <c r="C57" s="146">
        <v>2.7</v>
      </c>
      <c r="D57" s="146">
        <f t="shared" si="9"/>
        <v>13.905000000000001</v>
      </c>
      <c r="L57">
        <v>167.81</v>
      </c>
      <c r="N57">
        <f>SUM(N52:N55)</f>
        <v>98.8</v>
      </c>
    </row>
    <row r="58" spans="1:14">
      <c r="A58" s="146" t="s">
        <v>246</v>
      </c>
      <c r="B58" s="146">
        <f>4*13</f>
        <v>52</v>
      </c>
      <c r="C58" s="146">
        <v>2.2999999999999998</v>
      </c>
      <c r="D58" s="146">
        <f t="shared" si="9"/>
        <v>119.6</v>
      </c>
      <c r="L58">
        <v>25.92</v>
      </c>
    </row>
    <row r="59" spans="1:14">
      <c r="A59" s="146" t="s">
        <v>246</v>
      </c>
      <c r="B59" s="146">
        <v>11.45</v>
      </c>
      <c r="C59" s="146">
        <v>2.2999999999999998</v>
      </c>
      <c r="D59" s="146">
        <f t="shared" si="9"/>
        <v>26.334999999999997</v>
      </c>
      <c r="L59">
        <f>SUM(L52:L58)</f>
        <v>856.28600000000017</v>
      </c>
    </row>
    <row r="60" spans="1:14">
      <c r="A60" s="146" t="s">
        <v>246</v>
      </c>
      <c r="B60" s="146">
        <v>11.45</v>
      </c>
      <c r="C60" s="146">
        <v>2.2999999999999998</v>
      </c>
      <c r="D60" s="146">
        <f t="shared" si="9"/>
        <v>26.334999999999997</v>
      </c>
    </row>
    <row r="61" spans="1:14">
      <c r="A61" s="146" t="s">
        <v>246</v>
      </c>
      <c r="B61" s="146">
        <v>15</v>
      </c>
      <c r="C61" s="146">
        <v>2.2999999999999998</v>
      </c>
      <c r="D61" s="146">
        <f t="shared" si="9"/>
        <v>34.5</v>
      </c>
    </row>
    <row r="62" spans="1:14">
      <c r="A62" s="146" t="s">
        <v>246</v>
      </c>
      <c r="B62" s="146">
        <v>2</v>
      </c>
      <c r="C62" s="146">
        <v>2.2999999999999998</v>
      </c>
      <c r="D62" s="146">
        <f t="shared" si="9"/>
        <v>4.5999999999999996</v>
      </c>
    </row>
    <row r="63" spans="1:14">
      <c r="A63" s="146" t="s">
        <v>246</v>
      </c>
      <c r="B63" s="146">
        <v>8.4499999999999993</v>
      </c>
      <c r="C63" s="146">
        <v>2.2999999999999998</v>
      </c>
      <c r="D63" s="146">
        <f t="shared" si="9"/>
        <v>19.434999999999995</v>
      </c>
    </row>
    <row r="64" spans="1:14">
      <c r="A64" s="146" t="s">
        <v>246</v>
      </c>
      <c r="B64" s="146">
        <f>8.15*2</f>
        <v>16.3</v>
      </c>
      <c r="C64" s="146">
        <v>2.2999999999999998</v>
      </c>
      <c r="D64" s="146">
        <f t="shared" si="9"/>
        <v>37.49</v>
      </c>
    </row>
    <row r="65" spans="1:6">
      <c r="A65" s="146" t="s">
        <v>246</v>
      </c>
      <c r="B65" s="146">
        <v>5.8</v>
      </c>
      <c r="C65" s="146">
        <v>2.2999999999999998</v>
      </c>
      <c r="D65" s="146">
        <f t="shared" si="9"/>
        <v>13.339999999999998</v>
      </c>
    </row>
    <row r="66" spans="1:6">
      <c r="A66" s="146" t="s">
        <v>246</v>
      </c>
      <c r="B66" s="146">
        <v>2.5</v>
      </c>
      <c r="C66" s="146">
        <v>2.2999999999999998</v>
      </c>
      <c r="D66" s="146">
        <f t="shared" si="9"/>
        <v>5.75</v>
      </c>
    </row>
    <row r="67" spans="1:6">
      <c r="A67" s="146" t="s">
        <v>246</v>
      </c>
      <c r="B67" s="146">
        <v>8.8000000000000007</v>
      </c>
      <c r="C67" s="146">
        <v>2.2999999999999998</v>
      </c>
      <c r="D67" s="146">
        <f t="shared" si="9"/>
        <v>20.239999999999998</v>
      </c>
    </row>
    <row r="68" spans="1:6">
      <c r="B68" s="146"/>
    </row>
    <row r="69" spans="1:6">
      <c r="B69">
        <f>SUM(B22:B67)</f>
        <v>482.09999999999997</v>
      </c>
      <c r="D69" s="139">
        <f>SUM(D22:D67)</f>
        <v>1037.7375</v>
      </c>
      <c r="F69">
        <f>D69-E16</f>
        <v>770.99749999999995</v>
      </c>
    </row>
    <row r="71" spans="1:6">
      <c r="F71">
        <f>D69-135</f>
        <v>902.73749999999995</v>
      </c>
    </row>
  </sheetData>
  <mergeCells count="4">
    <mergeCell ref="A1:G1"/>
    <mergeCell ref="A16:D16"/>
    <mergeCell ref="L1:N1"/>
    <mergeCell ref="M25:O2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60"/>
  <sheetViews>
    <sheetView zoomScaleNormal="100" workbookViewId="0">
      <selection activeCell="G59" sqref="G59"/>
    </sheetView>
  </sheetViews>
  <sheetFormatPr defaultRowHeight="14.25"/>
  <cols>
    <col min="1" max="1" width="2.625" customWidth="1"/>
    <col min="2" max="2" width="7.25" customWidth="1"/>
    <col min="3" max="3" width="36.875" customWidth="1"/>
    <col min="4" max="4" width="13.25" customWidth="1"/>
    <col min="5" max="5" width="8.5" customWidth="1"/>
    <col min="6" max="7" width="9.875" bestFit="1" customWidth="1"/>
    <col min="8" max="8" width="10.625" customWidth="1"/>
    <col min="9" max="9" width="9.625" customWidth="1"/>
    <col min="10" max="13" width="9.875" bestFit="1" customWidth="1"/>
    <col min="14" max="14" width="12.625" bestFit="1" customWidth="1"/>
  </cols>
  <sheetData>
    <row r="1" spans="2:14" ht="14.25" customHeight="1">
      <c r="B1" s="196" t="s">
        <v>456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2:14" ht="14.25" customHeight="1"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</row>
    <row r="3" spans="2:14" ht="15" customHeight="1"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</row>
    <row r="4" spans="2:14">
      <c r="B4" s="79" t="s">
        <v>484</v>
      </c>
      <c r="C4" s="4"/>
      <c r="D4" s="4"/>
      <c r="E4" s="5"/>
      <c r="F4" s="53"/>
      <c r="G4" s="44"/>
      <c r="H4" s="43"/>
      <c r="I4" s="6"/>
      <c r="J4" s="6"/>
      <c r="K4" s="6"/>
      <c r="L4" s="6"/>
      <c r="M4" s="6"/>
    </row>
    <row r="5" spans="2:14">
      <c r="B5" s="79" t="s">
        <v>334</v>
      </c>
      <c r="C5" s="4"/>
      <c r="D5" s="4"/>
      <c r="E5" s="5"/>
      <c r="F5" s="53"/>
      <c r="G5" s="44"/>
      <c r="H5" s="43"/>
      <c r="I5" s="6"/>
      <c r="J5" s="6"/>
      <c r="K5" s="6"/>
      <c r="L5" s="6"/>
      <c r="M5" s="6"/>
    </row>
    <row r="6" spans="2:14">
      <c r="B6" s="172" t="s">
        <v>16</v>
      </c>
      <c r="C6" s="172" t="s">
        <v>19</v>
      </c>
      <c r="D6" s="172" t="s">
        <v>21</v>
      </c>
      <c r="E6" s="172" t="s">
        <v>93</v>
      </c>
      <c r="F6" s="172">
        <v>1</v>
      </c>
      <c r="G6" s="172">
        <v>2</v>
      </c>
      <c r="H6" s="172">
        <v>3</v>
      </c>
      <c r="I6" s="172">
        <v>4</v>
      </c>
      <c r="J6" s="172">
        <v>5</v>
      </c>
      <c r="K6" s="172">
        <v>6</v>
      </c>
      <c r="L6" s="172">
        <v>7</v>
      </c>
      <c r="M6" s="172">
        <v>8</v>
      </c>
    </row>
    <row r="7" spans="2:14">
      <c r="B7" s="88"/>
      <c r="C7" s="173"/>
      <c r="D7" s="173"/>
      <c r="E7" s="173"/>
      <c r="F7" s="88"/>
      <c r="G7" s="88"/>
      <c r="H7" s="88"/>
      <c r="I7" s="88"/>
      <c r="J7" s="88"/>
      <c r="K7" s="88"/>
      <c r="L7" s="88"/>
      <c r="M7" s="88"/>
    </row>
    <row r="8" spans="2:14">
      <c r="B8" s="173">
        <v>1</v>
      </c>
      <c r="C8" s="83" t="s">
        <v>33</v>
      </c>
      <c r="D8" s="84">
        <f>Orçamento!J15</f>
        <v>20066.243296000001</v>
      </c>
      <c r="E8" s="85">
        <f>D8/$D$49</f>
        <v>2.3088250356981387E-2</v>
      </c>
      <c r="F8" s="86">
        <v>1</v>
      </c>
      <c r="G8" s="87"/>
      <c r="H8" s="88"/>
      <c r="I8" s="88"/>
      <c r="J8" s="88"/>
      <c r="K8" s="88"/>
      <c r="L8" s="88"/>
      <c r="M8" s="88"/>
      <c r="N8" s="171"/>
    </row>
    <row r="9" spans="2:14">
      <c r="B9" s="173"/>
      <c r="C9" s="89"/>
      <c r="D9" s="84"/>
      <c r="E9" s="85"/>
      <c r="F9" s="90">
        <f>F8*D8</f>
        <v>20066.243296000001</v>
      </c>
      <c r="G9" s="90"/>
      <c r="H9" s="88"/>
      <c r="I9" s="88"/>
      <c r="J9" s="88"/>
      <c r="K9" s="88"/>
      <c r="L9" s="88"/>
      <c r="M9" s="88"/>
      <c r="N9" s="171"/>
    </row>
    <row r="10" spans="2:14">
      <c r="B10" s="173">
        <v>2</v>
      </c>
      <c r="C10" s="91" t="s">
        <v>396</v>
      </c>
      <c r="D10" s="84">
        <f>Orçamento!J24</f>
        <v>6808.9581450000005</v>
      </c>
      <c r="E10" s="85">
        <f>D10/$D$49</f>
        <v>7.8343976998078747E-3</v>
      </c>
      <c r="F10" s="86">
        <v>1</v>
      </c>
      <c r="G10" s="92"/>
      <c r="H10" s="87"/>
      <c r="I10" s="88"/>
      <c r="J10" s="88"/>
      <c r="K10" s="88"/>
      <c r="L10" s="88"/>
      <c r="M10" s="88"/>
      <c r="N10" s="171"/>
    </row>
    <row r="11" spans="2:14">
      <c r="B11" s="173"/>
      <c r="C11" s="89"/>
      <c r="D11" s="84"/>
      <c r="E11" s="85"/>
      <c r="F11" s="90">
        <f>F10*D10</f>
        <v>6808.9581450000005</v>
      </c>
      <c r="G11" s="93"/>
      <c r="H11" s="90"/>
      <c r="I11" s="88"/>
      <c r="J11" s="88"/>
      <c r="K11" s="88"/>
      <c r="L11" s="88"/>
      <c r="M11" s="88"/>
      <c r="N11" s="171"/>
    </row>
    <row r="12" spans="2:14">
      <c r="B12" s="173">
        <v>3</v>
      </c>
      <c r="C12" s="91" t="s">
        <v>94</v>
      </c>
      <c r="D12" s="84">
        <f>Orçamento!J33</f>
        <v>8829.3698240000012</v>
      </c>
      <c r="E12" s="85">
        <f>D12/$D$49</f>
        <v>1.0159086480902236E-2</v>
      </c>
      <c r="F12" s="86">
        <v>1</v>
      </c>
      <c r="G12" s="112"/>
      <c r="H12" s="112"/>
      <c r="I12" s="88"/>
      <c r="J12" s="88"/>
      <c r="K12" s="88"/>
      <c r="L12" s="88"/>
      <c r="M12" s="88"/>
      <c r="N12" s="171"/>
    </row>
    <row r="13" spans="2:14">
      <c r="B13" s="173"/>
      <c r="C13" s="89"/>
      <c r="D13" s="84"/>
      <c r="E13" s="85"/>
      <c r="F13" s="90">
        <f>F12*D12</f>
        <v>8829.3698240000012</v>
      </c>
      <c r="G13" s="90"/>
      <c r="H13" s="113"/>
      <c r="I13" s="88"/>
      <c r="J13" s="88"/>
      <c r="K13" s="88"/>
      <c r="L13" s="88"/>
      <c r="M13" s="88"/>
      <c r="N13" s="171"/>
    </row>
    <row r="14" spans="2:14">
      <c r="B14" s="173">
        <v>4</v>
      </c>
      <c r="C14" s="91" t="s">
        <v>35</v>
      </c>
      <c r="D14" s="84">
        <f>Orçamento!J54</f>
        <v>50965.148593333324</v>
      </c>
      <c r="E14" s="85">
        <f>D14/$D$49</f>
        <v>5.8640578251047112E-2</v>
      </c>
      <c r="F14" s="86">
        <v>0.5</v>
      </c>
      <c r="G14" s="86">
        <v>0.5</v>
      </c>
      <c r="H14" s="165"/>
      <c r="I14" s="179"/>
      <c r="J14" s="92"/>
      <c r="K14" s="92"/>
      <c r="L14" s="92"/>
      <c r="M14" s="92"/>
      <c r="N14" s="171"/>
    </row>
    <row r="15" spans="2:14">
      <c r="B15" s="173"/>
      <c r="C15" s="89"/>
      <c r="D15" s="84"/>
      <c r="E15" s="85"/>
      <c r="F15" s="90">
        <f>F14*$D14</f>
        <v>25482.574296666662</v>
      </c>
      <c r="G15" s="90">
        <f>G14*$D14</f>
        <v>25482.574296666662</v>
      </c>
      <c r="H15" s="165"/>
      <c r="I15" s="113"/>
      <c r="J15" s="90"/>
      <c r="K15" s="90"/>
      <c r="L15" s="90"/>
      <c r="M15" s="90"/>
      <c r="N15" s="171"/>
    </row>
    <row r="16" spans="2:14">
      <c r="B16" s="173">
        <v>5</v>
      </c>
      <c r="C16" s="91" t="s">
        <v>85</v>
      </c>
      <c r="D16" s="84">
        <f>Orçamento!J60</f>
        <v>84013.554240000012</v>
      </c>
      <c r="E16" s="85">
        <f>D16/$D$49</f>
        <v>9.6666124548565588E-2</v>
      </c>
      <c r="F16" s="88"/>
      <c r="G16" s="86">
        <v>0.5</v>
      </c>
      <c r="H16" s="86">
        <v>0.5</v>
      </c>
      <c r="I16" s="165"/>
      <c r="J16" s="92"/>
      <c r="K16" s="165"/>
      <c r="L16" s="165"/>
      <c r="M16" s="92"/>
      <c r="N16" s="171"/>
    </row>
    <row r="17" spans="2:14">
      <c r="B17" s="173"/>
      <c r="C17" s="89"/>
      <c r="D17" s="84"/>
      <c r="E17" s="85"/>
      <c r="F17" s="88"/>
      <c r="G17" s="90">
        <f>G16*$D16</f>
        <v>42006.777120000006</v>
      </c>
      <c r="H17" s="90">
        <f>H16*$D16</f>
        <v>42006.777120000006</v>
      </c>
      <c r="I17" s="165"/>
      <c r="J17" s="165"/>
      <c r="K17" s="165"/>
      <c r="L17" s="165"/>
      <c r="M17" s="90"/>
      <c r="N17" s="171"/>
    </row>
    <row r="18" spans="2:14">
      <c r="B18" s="173">
        <v>6</v>
      </c>
      <c r="C18" s="22" t="s">
        <v>38</v>
      </c>
      <c r="D18" s="84">
        <f>Orçamento!J75</f>
        <v>89244.998920000027</v>
      </c>
      <c r="E18" s="85">
        <f>D18/$D$49</f>
        <v>0.10268543283257389</v>
      </c>
      <c r="F18" s="88"/>
      <c r="G18" s="165"/>
      <c r="H18" s="86">
        <v>0.5</v>
      </c>
      <c r="I18" s="86">
        <v>0.5</v>
      </c>
      <c r="J18" s="165"/>
      <c r="K18" s="112"/>
      <c r="L18" s="112"/>
      <c r="M18" s="112"/>
      <c r="N18" s="171"/>
    </row>
    <row r="19" spans="2:14">
      <c r="B19" s="173"/>
      <c r="C19" s="88"/>
      <c r="D19" s="84"/>
      <c r="E19" s="85"/>
      <c r="F19" s="88"/>
      <c r="G19" s="165"/>
      <c r="H19" s="90">
        <f>H18*$D18</f>
        <v>44622.499460000014</v>
      </c>
      <c r="I19" s="90">
        <f>I18*$D18</f>
        <v>44622.499460000014</v>
      </c>
      <c r="J19" s="165"/>
      <c r="K19" s="113"/>
      <c r="L19" s="113"/>
      <c r="M19" s="113"/>
      <c r="N19" s="171"/>
    </row>
    <row r="20" spans="2:14">
      <c r="B20" s="173">
        <v>7</v>
      </c>
      <c r="C20" s="22" t="s">
        <v>41</v>
      </c>
      <c r="D20" s="84">
        <f>Orçamento!J84</f>
        <v>105216.76879999999</v>
      </c>
      <c r="E20" s="85">
        <f>D20/$D$49</f>
        <v>0.12106257578822829</v>
      </c>
      <c r="G20" s="92"/>
      <c r="H20" s="165"/>
      <c r="I20" s="86">
        <v>0.5</v>
      </c>
      <c r="J20" s="86">
        <v>0.5</v>
      </c>
      <c r="K20" s="165"/>
      <c r="L20" s="112"/>
      <c r="M20" s="112"/>
      <c r="N20" s="171"/>
    </row>
    <row r="21" spans="2:14">
      <c r="B21" s="173"/>
      <c r="C21" s="88"/>
      <c r="D21" s="84"/>
      <c r="E21" s="85"/>
      <c r="G21" s="94"/>
      <c r="H21" s="165"/>
      <c r="I21" s="90">
        <f>I20*D20</f>
        <v>52608.384399999995</v>
      </c>
      <c r="J21" s="90">
        <f>J20*D20</f>
        <v>52608.384399999995</v>
      </c>
      <c r="K21" s="165"/>
      <c r="L21" s="113"/>
      <c r="M21" s="113"/>
      <c r="N21" s="171"/>
    </row>
    <row r="22" spans="2:14">
      <c r="B22" s="173">
        <v>8</v>
      </c>
      <c r="C22" s="22" t="s">
        <v>52</v>
      </c>
      <c r="D22" s="84">
        <f>Orçamento!J89</f>
        <v>3338.5123199999998</v>
      </c>
      <c r="E22" s="85">
        <f>D22/$D$49</f>
        <v>3.8412974031562718E-3</v>
      </c>
      <c r="F22" s="112"/>
      <c r="G22" s="86">
        <v>0.5</v>
      </c>
      <c r="H22" s="165"/>
      <c r="I22" s="112"/>
      <c r="J22" s="165"/>
      <c r="K22" s="86">
        <v>0.5</v>
      </c>
      <c r="L22" s="112"/>
      <c r="M22" s="112"/>
      <c r="N22" s="171"/>
    </row>
    <row r="23" spans="2:14">
      <c r="B23" s="173"/>
      <c r="C23" s="88"/>
      <c r="D23" s="84"/>
      <c r="E23" s="85"/>
      <c r="F23" s="113"/>
      <c r="G23" s="90">
        <f>G22*D22</f>
        <v>1669.2561599999999</v>
      </c>
      <c r="H23" s="165"/>
      <c r="I23" s="113"/>
      <c r="J23" s="165"/>
      <c r="K23" s="90">
        <f>K22*D22</f>
        <v>1669.2561599999999</v>
      </c>
      <c r="L23" s="113"/>
      <c r="M23" s="113"/>
      <c r="N23" s="171"/>
    </row>
    <row r="24" spans="2:14">
      <c r="B24" s="173">
        <v>9</v>
      </c>
      <c r="C24" s="22" t="s">
        <v>448</v>
      </c>
      <c r="D24" s="84">
        <f>Orçamento!J95</f>
        <v>47831.614776000009</v>
      </c>
      <c r="E24" s="85">
        <f>D24/$D$49</f>
        <v>5.5035129427894403E-2</v>
      </c>
      <c r="F24" s="88"/>
      <c r="G24" s="112"/>
      <c r="H24" s="112"/>
      <c r="I24" s="92"/>
      <c r="J24" s="86">
        <v>1</v>
      </c>
      <c r="K24" s="165"/>
      <c r="L24" s="112"/>
      <c r="M24" s="92"/>
      <c r="N24" s="171"/>
    </row>
    <row r="25" spans="2:14">
      <c r="B25" s="173"/>
      <c r="C25" s="88"/>
      <c r="D25" s="84"/>
      <c r="E25" s="85"/>
      <c r="F25" s="88"/>
      <c r="G25" s="113"/>
      <c r="H25" s="113"/>
      <c r="I25" s="93"/>
      <c r="J25" s="93">
        <f>J24*D24</f>
        <v>47831.614776000009</v>
      </c>
      <c r="K25" s="165"/>
      <c r="L25" s="93"/>
      <c r="M25" s="93"/>
      <c r="N25" s="171"/>
    </row>
    <row r="26" spans="2:14">
      <c r="B26" s="173">
        <v>10</v>
      </c>
      <c r="C26" s="22" t="s">
        <v>111</v>
      </c>
      <c r="D26" s="84">
        <f>Orçamento!J100</f>
        <v>25972.735012399997</v>
      </c>
      <c r="E26" s="85">
        <f>D26/$D$49</f>
        <v>2.9884268797905199E-2</v>
      </c>
      <c r="F26" s="88"/>
      <c r="G26" s="112"/>
      <c r="H26" s="112"/>
      <c r="I26" s="112"/>
      <c r="J26" s="112"/>
      <c r="K26" s="86">
        <v>1</v>
      </c>
      <c r="L26" s="112"/>
      <c r="M26" s="112"/>
      <c r="N26" s="171"/>
    </row>
    <row r="27" spans="2:14">
      <c r="B27" s="173"/>
      <c r="C27" s="88"/>
      <c r="D27" s="84"/>
      <c r="E27" s="85"/>
      <c r="F27" s="88"/>
      <c r="G27" s="90"/>
      <c r="H27" s="90"/>
      <c r="I27" s="113"/>
      <c r="J27" s="113"/>
      <c r="K27" s="90">
        <f>K26*$D26</f>
        <v>25972.735012399997</v>
      </c>
      <c r="L27" s="113"/>
      <c r="M27" s="113"/>
      <c r="N27" s="171"/>
    </row>
    <row r="28" spans="2:14">
      <c r="B28" s="173">
        <v>11</v>
      </c>
      <c r="C28" s="22" t="s">
        <v>86</v>
      </c>
      <c r="D28" s="84">
        <f>Orçamento!J109</f>
        <v>190212.62898000001</v>
      </c>
      <c r="E28" s="85">
        <f>D28/$D$49</f>
        <v>0.21885894306012371</v>
      </c>
      <c r="F28" s="88"/>
      <c r="G28" s="88"/>
      <c r="H28" s="88"/>
      <c r="I28" s="112"/>
      <c r="J28" s="112"/>
      <c r="K28" s="112"/>
      <c r="L28" s="86">
        <v>0.7</v>
      </c>
      <c r="M28" s="86">
        <v>0.3</v>
      </c>
      <c r="N28" s="171"/>
    </row>
    <row r="29" spans="2:14">
      <c r="B29" s="173"/>
      <c r="C29" s="88"/>
      <c r="D29" s="84"/>
      <c r="E29" s="85"/>
      <c r="F29" s="88"/>
      <c r="G29" s="88"/>
      <c r="H29" s="88"/>
      <c r="I29" s="90"/>
      <c r="J29" s="90"/>
      <c r="K29" s="90"/>
      <c r="L29" s="90">
        <f>D28*L28</f>
        <v>133148.84028599999</v>
      </c>
      <c r="M29" s="90">
        <f>M28*D28</f>
        <v>57063.788694000003</v>
      </c>
      <c r="N29" s="171"/>
    </row>
    <row r="30" spans="2:14">
      <c r="B30" s="173">
        <v>12</v>
      </c>
      <c r="C30" s="22" t="s">
        <v>87</v>
      </c>
      <c r="D30" s="84">
        <f>Orçamento!J117</f>
        <v>25200.889863599998</v>
      </c>
      <c r="E30" s="85">
        <f>D30/$D$49</f>
        <v>2.8996182584185848E-2</v>
      </c>
      <c r="F30" s="88"/>
      <c r="G30" s="111"/>
      <c r="H30" s="112"/>
      <c r="I30" s="112"/>
      <c r="J30" s="112"/>
      <c r="K30" s="86">
        <v>0.7</v>
      </c>
      <c r="L30" s="86">
        <v>0.2</v>
      </c>
      <c r="M30" s="86">
        <v>0.1</v>
      </c>
      <c r="N30" s="171"/>
    </row>
    <row r="31" spans="2:14">
      <c r="B31" s="173"/>
      <c r="C31" s="88"/>
      <c r="D31" s="84"/>
      <c r="E31" s="85"/>
      <c r="F31" s="88"/>
      <c r="G31" s="114"/>
      <c r="H31" s="114"/>
      <c r="I31" s="114"/>
      <c r="J31" s="114"/>
      <c r="K31" s="95">
        <f>K30*D30</f>
        <v>17640.622904519998</v>
      </c>
      <c r="L31" s="95">
        <f>L30*D30</f>
        <v>5040.1779727200001</v>
      </c>
      <c r="M31" s="95">
        <f>M30*D30</f>
        <v>2520.08898636</v>
      </c>
      <c r="N31" s="171"/>
    </row>
    <row r="32" spans="2:14">
      <c r="B32" s="173">
        <v>13</v>
      </c>
      <c r="C32" s="22" t="s">
        <v>9</v>
      </c>
      <c r="D32" s="84">
        <f>Orçamento!J136</f>
        <v>8977.0863600000012</v>
      </c>
      <c r="E32" s="85">
        <f>D32/$D$49</f>
        <v>1.0329049354107998E-2</v>
      </c>
      <c r="F32" s="88"/>
      <c r="G32" s="174"/>
      <c r="H32" s="86">
        <v>0.4</v>
      </c>
      <c r="I32" s="86">
        <v>0.4</v>
      </c>
      <c r="J32" s="112"/>
      <c r="K32" s="112"/>
      <c r="L32" s="112"/>
      <c r="M32" s="86">
        <v>0.2</v>
      </c>
      <c r="N32" s="171"/>
    </row>
    <row r="33" spans="2:14">
      <c r="B33" s="173"/>
      <c r="C33" s="88"/>
      <c r="D33" s="84"/>
      <c r="E33" s="85"/>
      <c r="F33" s="88"/>
      <c r="G33" s="95"/>
      <c r="H33" s="90">
        <f>H32*D32</f>
        <v>3590.8345440000007</v>
      </c>
      <c r="I33" s="90">
        <f>I32*$D32</f>
        <v>3590.8345440000007</v>
      </c>
      <c r="J33" s="113"/>
      <c r="K33" s="113"/>
      <c r="L33" s="113"/>
      <c r="M33" s="90">
        <f>M32*$D32</f>
        <v>1795.4172720000004</v>
      </c>
      <c r="N33" s="171"/>
    </row>
    <row r="34" spans="2:14">
      <c r="B34" s="173">
        <v>14</v>
      </c>
      <c r="C34" s="22" t="s">
        <v>10</v>
      </c>
      <c r="D34" s="84">
        <f>Orçamento!J157</f>
        <v>14901.656528</v>
      </c>
      <c r="E34" s="85">
        <f>D34/$D$49</f>
        <v>1.7145868889210242E-2</v>
      </c>
      <c r="F34" s="88"/>
      <c r="G34" s="97">
        <v>0.6</v>
      </c>
      <c r="H34" s="112"/>
      <c r="I34" s="111"/>
      <c r="J34" s="111"/>
      <c r="K34" s="111"/>
      <c r="L34" s="111"/>
      <c r="M34" s="97">
        <v>0.4</v>
      </c>
      <c r="N34" s="171"/>
    </row>
    <row r="35" spans="2:14">
      <c r="B35" s="173"/>
      <c r="C35" s="88"/>
      <c r="D35" s="84"/>
      <c r="E35" s="85"/>
      <c r="F35" s="88"/>
      <c r="G35" s="114">
        <f>G34*D34</f>
        <v>8940.9939168000001</v>
      </c>
      <c r="H35" s="114"/>
      <c r="I35" s="114"/>
      <c r="J35" s="114"/>
      <c r="K35" s="114"/>
      <c r="L35" s="114"/>
      <c r="M35" s="95">
        <f>M34*D34</f>
        <v>5960.6626112000004</v>
      </c>
      <c r="N35" s="171"/>
    </row>
    <row r="36" spans="2:14">
      <c r="B36" s="173">
        <v>15</v>
      </c>
      <c r="C36" s="22" t="s">
        <v>95</v>
      </c>
      <c r="D36" s="84">
        <f>Orçamento!J176</f>
        <v>127724.627976</v>
      </c>
      <c r="E36" s="85">
        <f>D36/$D$49</f>
        <v>0.14696015312692023</v>
      </c>
      <c r="F36" s="88"/>
      <c r="G36" s="111"/>
      <c r="H36" s="112"/>
      <c r="I36" s="112"/>
      <c r="J36" s="112"/>
      <c r="K36" s="112"/>
      <c r="L36" s="112"/>
      <c r="M36" s="86">
        <v>1</v>
      </c>
      <c r="N36" s="171"/>
    </row>
    <row r="37" spans="2:14">
      <c r="B37" s="173"/>
      <c r="C37" s="88"/>
      <c r="D37" s="84"/>
      <c r="E37" s="85"/>
      <c r="F37" s="88"/>
      <c r="G37" s="114"/>
      <c r="H37" s="113"/>
      <c r="I37" s="113"/>
      <c r="J37" s="113"/>
      <c r="K37" s="113"/>
      <c r="L37" s="113"/>
      <c r="M37" s="90">
        <f>M36*$D36</f>
        <v>127724.627976</v>
      </c>
      <c r="N37" s="171"/>
    </row>
    <row r="38" spans="2:14">
      <c r="B38" s="173">
        <v>16</v>
      </c>
      <c r="C38" s="22" t="s">
        <v>483</v>
      </c>
      <c r="D38" s="84">
        <f>Orçamento!J204</f>
        <v>12554.8742</v>
      </c>
      <c r="E38" s="85">
        <f>D38/$D$49</f>
        <v>1.4445657538089804E-2</v>
      </c>
      <c r="F38" s="88"/>
      <c r="G38" s="86">
        <v>0.5</v>
      </c>
      <c r="H38" s="112"/>
      <c r="I38" s="112"/>
      <c r="J38" s="112"/>
      <c r="K38" s="112"/>
      <c r="L38" s="86">
        <v>0.25</v>
      </c>
      <c r="M38" s="86">
        <v>0.25</v>
      </c>
      <c r="N38" s="171"/>
    </row>
    <row r="39" spans="2:14">
      <c r="B39" s="88"/>
      <c r="C39" s="88"/>
      <c r="D39" s="96"/>
      <c r="E39" s="85"/>
      <c r="F39" s="88"/>
      <c r="G39" s="90">
        <f>G38*D38</f>
        <v>6277.4371000000001</v>
      </c>
      <c r="H39" s="113"/>
      <c r="I39" s="113"/>
      <c r="J39" s="113"/>
      <c r="K39" s="113"/>
      <c r="L39" s="90">
        <f>L38*D38</f>
        <v>3138.7185500000001</v>
      </c>
      <c r="M39" s="90">
        <f>M38*D38</f>
        <v>3138.7185500000001</v>
      </c>
      <c r="N39" s="171"/>
    </row>
    <row r="40" spans="2:14">
      <c r="B40" s="173">
        <v>16</v>
      </c>
      <c r="C40" s="22" t="s">
        <v>96</v>
      </c>
      <c r="D40" s="84">
        <f>Orçamento!J229</f>
        <v>19043.082608000001</v>
      </c>
      <c r="E40" s="85">
        <f>D40/$D$49</f>
        <v>2.1911000097852198E-2</v>
      </c>
      <c r="F40" s="88"/>
      <c r="G40" s="86">
        <v>0.3</v>
      </c>
      <c r="H40" s="86">
        <v>0.2</v>
      </c>
      <c r="I40" s="112"/>
      <c r="J40" s="86">
        <v>0.2</v>
      </c>
      <c r="K40" s="112"/>
      <c r="L40" s="86">
        <v>0.2</v>
      </c>
      <c r="M40" s="86">
        <v>0.1</v>
      </c>
      <c r="N40" s="171"/>
    </row>
    <row r="41" spans="2:14">
      <c r="B41" s="88"/>
      <c r="C41" s="88"/>
      <c r="D41" s="96"/>
      <c r="E41" s="85"/>
      <c r="F41" s="88"/>
      <c r="G41" s="90">
        <f>G40*D40</f>
        <v>5712.9247824000004</v>
      </c>
      <c r="H41" s="90">
        <f>H40*D40</f>
        <v>3808.6165216000004</v>
      </c>
      <c r="I41" s="113"/>
      <c r="J41" s="90">
        <f>J40*D40</f>
        <v>3808.6165216000004</v>
      </c>
      <c r="K41" s="113"/>
      <c r="L41" s="90">
        <f>L40*D40</f>
        <v>3808.6165216000004</v>
      </c>
      <c r="M41" s="90">
        <f>M40*D40</f>
        <v>1904.3082608000002</v>
      </c>
      <c r="N41" s="171"/>
    </row>
    <row r="42" spans="2:14">
      <c r="B42" s="173">
        <v>17</v>
      </c>
      <c r="C42" s="29" t="s">
        <v>226</v>
      </c>
      <c r="D42" s="96">
        <f>Orçamento!J235</f>
        <v>20267.513200000001</v>
      </c>
      <c r="E42" s="85">
        <f>D42/$D$49</f>
        <v>2.3319831817662867E-2</v>
      </c>
      <c r="F42" s="88"/>
      <c r="G42" s="111"/>
      <c r="H42" s="111"/>
      <c r="I42" s="111"/>
      <c r="J42" s="111"/>
      <c r="K42" s="97">
        <v>0.5</v>
      </c>
      <c r="L42" s="111"/>
      <c r="M42" s="97">
        <v>0.5</v>
      </c>
      <c r="N42" s="171"/>
    </row>
    <row r="43" spans="2:14">
      <c r="B43" s="173"/>
      <c r="C43" s="166"/>
      <c r="D43" s="167"/>
      <c r="E43" s="168"/>
      <c r="F43" s="169"/>
      <c r="G43" s="111"/>
      <c r="H43" s="111"/>
      <c r="I43" s="111"/>
      <c r="J43" s="111"/>
      <c r="K43" s="90">
        <f>K42*D42</f>
        <v>10133.756600000001</v>
      </c>
      <c r="L43" s="90"/>
      <c r="M43" s="90">
        <f>M42*D42</f>
        <v>10133.756600000001</v>
      </c>
      <c r="N43" s="171"/>
    </row>
    <row r="44" spans="2:14">
      <c r="B44" s="173">
        <v>18</v>
      </c>
      <c r="C44" s="22" t="s">
        <v>42</v>
      </c>
      <c r="D44" s="96">
        <f>Orçamento!J242</f>
        <v>6972.3545760000006</v>
      </c>
      <c r="E44" s="85">
        <f>D44/$D$49</f>
        <v>8.0224018842840611E-3</v>
      </c>
      <c r="F44" s="88"/>
      <c r="G44" s="111"/>
      <c r="H44" s="112"/>
      <c r="I44" s="112"/>
      <c r="J44" s="112"/>
      <c r="K44" s="97">
        <v>1</v>
      </c>
      <c r="L44" s="112"/>
      <c r="M44" s="112"/>
      <c r="N44" s="171"/>
    </row>
    <row r="45" spans="2:14">
      <c r="B45" s="173"/>
      <c r="C45" s="88"/>
      <c r="D45" s="96"/>
      <c r="E45" s="85"/>
      <c r="F45" s="88"/>
      <c r="G45" s="95"/>
      <c r="H45" s="113"/>
      <c r="I45" s="113"/>
      <c r="J45" s="113"/>
      <c r="K45" s="113">
        <f>D44*K44</f>
        <v>6972.3545760000006</v>
      </c>
      <c r="L45" s="113"/>
      <c r="M45" s="113"/>
      <c r="N45" s="171"/>
    </row>
    <row r="46" spans="2:14">
      <c r="B46" s="173">
        <v>19</v>
      </c>
      <c r="C46" s="22" t="s">
        <v>6</v>
      </c>
      <c r="D46" s="96">
        <f>Orçamento!J247</f>
        <v>967.98937400000011</v>
      </c>
      <c r="E46" s="85">
        <f>D46/$D$49</f>
        <v>1.1137700605007999E-3</v>
      </c>
      <c r="F46" s="88"/>
      <c r="G46" s="111"/>
      <c r="H46" s="111"/>
      <c r="I46" s="111"/>
      <c r="J46" s="111"/>
      <c r="K46" s="111"/>
      <c r="L46" s="111"/>
      <c r="M46" s="97">
        <v>1</v>
      </c>
      <c r="N46" s="171"/>
    </row>
    <row r="47" spans="2:14">
      <c r="B47" s="173"/>
      <c r="C47" s="88"/>
      <c r="D47" s="96"/>
      <c r="E47" s="85"/>
      <c r="F47" s="88"/>
      <c r="G47" s="90"/>
      <c r="H47" s="90"/>
      <c r="I47" s="113"/>
      <c r="J47" s="113"/>
      <c r="K47" s="113"/>
      <c r="L47" s="113"/>
      <c r="M47" s="90">
        <f>D46</f>
        <v>967.98937400000011</v>
      </c>
      <c r="N47" s="171"/>
    </row>
    <row r="48" spans="2:14" ht="15" thickBot="1">
      <c r="B48" s="98"/>
      <c r="C48" s="98"/>
      <c r="D48" s="99"/>
      <c r="E48" s="98"/>
      <c r="F48" s="98"/>
      <c r="G48" s="98"/>
      <c r="H48" s="98"/>
      <c r="I48" s="98"/>
      <c r="J48" s="98"/>
      <c r="K48" s="98"/>
      <c r="L48" s="98"/>
      <c r="M48" s="98"/>
      <c r="N48" s="171"/>
    </row>
    <row r="49" spans="2:15" ht="15" thickBot="1">
      <c r="B49" s="194" t="s">
        <v>97</v>
      </c>
      <c r="C49" s="195"/>
      <c r="D49" s="100">
        <f>SUM(D8:D47)</f>
        <v>869110.60759233334</v>
      </c>
      <c r="E49" s="101">
        <f>SUM(E8:E47)</f>
        <v>0.99999999999999989</v>
      </c>
      <c r="F49" s="102">
        <f t="shared" ref="F49:K49" si="0">F9+F11+F13+F15+F17+F19+F21+F23+F25+F27+F29+F31+F33+F35+F37+F39+F41+F43+F45+F47</f>
        <v>61187.145561666664</v>
      </c>
      <c r="G49" s="102">
        <f t="shared" si="0"/>
        <v>90089.963375866675</v>
      </c>
      <c r="H49" s="102">
        <f t="shared" si="0"/>
        <v>94028.727645600011</v>
      </c>
      <c r="I49" s="102">
        <f t="shared" si="0"/>
        <v>100821.718404</v>
      </c>
      <c r="J49" s="102">
        <f t="shared" si="0"/>
        <v>104248.61569760001</v>
      </c>
      <c r="K49" s="102">
        <f t="shared" si="0"/>
        <v>62388.725252919998</v>
      </c>
      <c r="L49" s="102">
        <f t="shared" ref="L49:M49" si="1">L9+L11+L13+L15+L17+L19+L21+L23+L25+L27+L29+L31+L33+L35+L37+L39+L41+L43+L45+L47</f>
        <v>145136.35333031998</v>
      </c>
      <c r="M49" s="102">
        <f t="shared" si="1"/>
        <v>211209.35832435999</v>
      </c>
      <c r="N49" s="171"/>
    </row>
    <row r="50" spans="2:15" ht="15" thickBot="1">
      <c r="B50" s="98"/>
      <c r="C50" s="98"/>
      <c r="D50" s="99"/>
      <c r="E50" s="98"/>
      <c r="F50" s="103">
        <f>F49/$D$49</f>
        <v>7.0402023663215046E-2</v>
      </c>
      <c r="G50" s="103">
        <f t="shared" ref="G50:I50" si="2">G49/$D$49</f>
        <v>0.10365765023331121</v>
      </c>
      <c r="H50" s="103">
        <f t="shared" si="2"/>
        <v>0.10818959845178337</v>
      </c>
      <c r="I50" s="103">
        <f t="shared" si="2"/>
        <v>0.11600562405204427</v>
      </c>
      <c r="J50" s="103">
        <f t="shared" ref="J50:L50" si="3">J49/$D$49</f>
        <v>0.11994861734157899</v>
      </c>
      <c r="K50" s="103">
        <f t="shared" si="3"/>
        <v>7.178456310152892E-2</v>
      </c>
      <c r="L50" s="103">
        <f t="shared" si="3"/>
        <v>0.16699411106301662</v>
      </c>
      <c r="M50" s="103">
        <f t="shared" ref="M50" si="4">M49/$D$49</f>
        <v>0.24301781209352152</v>
      </c>
      <c r="O50" s="170"/>
    </row>
    <row r="51" spans="2:15" ht="15" thickBot="1">
      <c r="B51" s="98"/>
      <c r="C51" s="98"/>
      <c r="D51" s="99"/>
      <c r="E51" s="98"/>
      <c r="F51" s="104">
        <f>F50</f>
        <v>7.0402023663215046E-2</v>
      </c>
      <c r="G51" s="105">
        <f>F51+G50</f>
        <v>0.17405967389652627</v>
      </c>
      <c r="H51" s="105">
        <f t="shared" ref="H51:L51" si="5">G51+H50</f>
        <v>0.28224927234830965</v>
      </c>
      <c r="I51" s="105">
        <f t="shared" si="5"/>
        <v>0.39825489640035394</v>
      </c>
      <c r="J51" s="105">
        <f t="shared" si="5"/>
        <v>0.51820351374193296</v>
      </c>
      <c r="K51" s="105">
        <f t="shared" si="5"/>
        <v>0.58998807684346188</v>
      </c>
      <c r="L51" s="105">
        <f t="shared" si="5"/>
        <v>0.75698218790647853</v>
      </c>
      <c r="M51" s="105">
        <f>L51+M50</f>
        <v>1</v>
      </c>
    </row>
    <row r="54" spans="2:15">
      <c r="B54" s="197" t="s">
        <v>504</v>
      </c>
      <c r="C54" s="197"/>
      <c r="D54" s="197"/>
      <c r="E54" s="197"/>
      <c r="F54" s="197"/>
      <c r="G54" s="197"/>
      <c r="H54" s="197"/>
      <c r="I54" s="197"/>
      <c r="J54" s="197"/>
      <c r="K54" s="197"/>
      <c r="L54" s="197"/>
      <c r="M54" s="197"/>
    </row>
    <row r="58" spans="2:15">
      <c r="D58" s="1"/>
      <c r="F58" s="1"/>
    </row>
    <row r="59" spans="2:15">
      <c r="C59" s="1" t="s">
        <v>221</v>
      </c>
      <c r="D59" s="32"/>
      <c r="I59" s="1" t="s">
        <v>502</v>
      </c>
    </row>
    <row r="60" spans="2:15">
      <c r="C60" s="32" t="s">
        <v>137</v>
      </c>
      <c r="D60" s="1"/>
      <c r="I60" s="32" t="s">
        <v>138</v>
      </c>
    </row>
  </sheetData>
  <mergeCells count="3">
    <mergeCell ref="B49:C49"/>
    <mergeCell ref="B1:M3"/>
    <mergeCell ref="B54:M54"/>
  </mergeCells>
  <pageMargins left="0.25" right="0.25" top="0.75" bottom="0.75" header="0.3" footer="0.3"/>
  <pageSetup paperSize="9" scale="5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1"/>
  <sheetViews>
    <sheetView topLeftCell="A40" workbookViewId="0">
      <selection activeCell="C66" sqref="C66"/>
    </sheetView>
  </sheetViews>
  <sheetFormatPr defaultRowHeight="14.25"/>
  <cols>
    <col min="1" max="1" width="19" customWidth="1"/>
    <col min="2" max="2" width="10.375" bestFit="1" customWidth="1"/>
    <col min="3" max="3" width="45.25" customWidth="1"/>
    <col min="4" max="4" width="9.25" customWidth="1"/>
    <col min="5" max="5" width="11.375" customWidth="1"/>
    <col min="6" max="6" width="13.625" customWidth="1"/>
    <col min="7" max="9" width="0" hidden="1" customWidth="1"/>
    <col min="10" max="10" width="13.75" customWidth="1"/>
  </cols>
  <sheetData>
    <row r="1" spans="1:10">
      <c r="A1" s="199" t="s">
        <v>500</v>
      </c>
      <c r="B1" s="199"/>
      <c r="C1" s="199"/>
      <c r="D1" s="199"/>
      <c r="E1" s="199"/>
      <c r="F1" s="199"/>
      <c r="G1" s="199"/>
      <c r="H1" s="199"/>
      <c r="I1" s="199"/>
      <c r="J1" s="199"/>
    </row>
    <row r="2" spans="1:10">
      <c r="A2" s="184" t="s">
        <v>457</v>
      </c>
      <c r="B2" s="185"/>
      <c r="C2" s="185"/>
      <c r="D2" s="185"/>
      <c r="E2" s="185"/>
      <c r="F2" s="185"/>
      <c r="G2" s="185"/>
      <c r="H2" s="185"/>
      <c r="I2" s="185"/>
      <c r="J2" s="185"/>
    </row>
    <row r="4" spans="1:10">
      <c r="A4" s="199" t="s">
        <v>195</v>
      </c>
      <c r="B4" s="199"/>
      <c r="C4" s="199"/>
      <c r="D4" s="199"/>
      <c r="E4" s="199"/>
      <c r="F4" s="199"/>
      <c r="G4" s="199"/>
      <c r="H4" s="199"/>
      <c r="I4" s="199"/>
      <c r="J4" s="199"/>
    </row>
    <row r="5" spans="1:10" ht="15">
      <c r="A5" s="129" t="s">
        <v>487</v>
      </c>
      <c r="B5" s="129" t="s">
        <v>17</v>
      </c>
      <c r="C5" s="117" t="s">
        <v>182</v>
      </c>
      <c r="D5" s="129" t="s">
        <v>164</v>
      </c>
      <c r="E5" s="130" t="s">
        <v>174</v>
      </c>
      <c r="F5" s="130" t="s">
        <v>175</v>
      </c>
      <c r="G5" s="115"/>
      <c r="H5" s="115"/>
      <c r="I5" s="131"/>
      <c r="J5" s="130" t="s">
        <v>176</v>
      </c>
    </row>
    <row r="6" spans="1:10">
      <c r="A6" s="132" t="s">
        <v>202</v>
      </c>
      <c r="B6" s="132">
        <v>4417</v>
      </c>
      <c r="C6" s="133" t="s">
        <v>196</v>
      </c>
      <c r="D6" s="138" t="s">
        <v>178</v>
      </c>
      <c r="E6" s="134">
        <v>1</v>
      </c>
      <c r="F6" s="134">
        <v>7.43</v>
      </c>
      <c r="G6" s="135"/>
      <c r="H6" s="135"/>
      <c r="I6" s="136"/>
      <c r="J6" s="134">
        <f>F6*E6</f>
        <v>7.43</v>
      </c>
    </row>
    <row r="7" spans="1:10">
      <c r="A7" s="120" t="s">
        <v>202</v>
      </c>
      <c r="B7" s="120">
        <v>20209</v>
      </c>
      <c r="C7" s="121" t="s">
        <v>197</v>
      </c>
      <c r="D7" s="120" t="s">
        <v>178</v>
      </c>
      <c r="E7" s="122">
        <v>4</v>
      </c>
      <c r="F7" s="122">
        <v>27.88</v>
      </c>
      <c r="G7" s="123"/>
      <c r="H7" s="123"/>
      <c r="I7" s="124"/>
      <c r="J7" s="134">
        <f t="shared" ref="J7:J11" si="0">F7*E7</f>
        <v>111.52</v>
      </c>
    </row>
    <row r="8" spans="1:10">
      <c r="A8" s="140" t="s">
        <v>202</v>
      </c>
      <c r="B8" s="140">
        <v>4813</v>
      </c>
      <c r="C8" s="141" t="s">
        <v>204</v>
      </c>
      <c r="D8" s="140" t="s">
        <v>203</v>
      </c>
      <c r="E8" s="125">
        <v>1</v>
      </c>
      <c r="F8" s="125">
        <v>250</v>
      </c>
      <c r="G8" s="123"/>
      <c r="H8" s="123"/>
      <c r="I8" s="126"/>
      <c r="J8" s="142">
        <f t="shared" si="0"/>
        <v>250</v>
      </c>
    </row>
    <row r="9" spans="1:10">
      <c r="A9" s="120" t="s">
        <v>202</v>
      </c>
      <c r="B9" s="120">
        <v>5075</v>
      </c>
      <c r="C9" s="121" t="s">
        <v>198</v>
      </c>
      <c r="D9" s="120" t="s">
        <v>201</v>
      </c>
      <c r="E9" s="122">
        <v>0.1</v>
      </c>
      <c r="F9" s="122">
        <v>14.7</v>
      </c>
      <c r="G9" s="143"/>
      <c r="H9" s="143"/>
      <c r="I9" s="124"/>
      <c r="J9" s="142">
        <f t="shared" si="0"/>
        <v>1.47</v>
      </c>
    </row>
    <row r="10" spans="1:10">
      <c r="A10" s="120" t="s">
        <v>166</v>
      </c>
      <c r="B10" s="120">
        <v>88262</v>
      </c>
      <c r="C10" s="121" t="s">
        <v>199</v>
      </c>
      <c r="D10" s="120" t="s">
        <v>169</v>
      </c>
      <c r="E10" s="122">
        <v>0.5</v>
      </c>
      <c r="F10" s="122">
        <v>28.6</v>
      </c>
      <c r="G10" s="143"/>
      <c r="H10" s="143"/>
      <c r="I10" s="124"/>
      <c r="J10" s="142">
        <f t="shared" si="0"/>
        <v>14.3</v>
      </c>
    </row>
    <row r="11" spans="1:10">
      <c r="A11" s="120" t="s">
        <v>166</v>
      </c>
      <c r="B11" s="120">
        <v>88316</v>
      </c>
      <c r="C11" s="121" t="s">
        <v>200</v>
      </c>
      <c r="D11" s="120" t="s">
        <v>169</v>
      </c>
      <c r="E11" s="122">
        <v>1</v>
      </c>
      <c r="F11" s="122">
        <v>24</v>
      </c>
      <c r="G11" s="143"/>
      <c r="H11" s="143"/>
      <c r="I11" s="124"/>
      <c r="J11" s="134">
        <f t="shared" si="0"/>
        <v>24</v>
      </c>
    </row>
    <row r="12" spans="1:10">
      <c r="A12" s="180"/>
      <c r="B12" s="180"/>
      <c r="C12" s="181"/>
      <c r="D12" s="180"/>
      <c r="E12" s="182"/>
      <c r="F12" s="128" t="s">
        <v>183</v>
      </c>
      <c r="G12" s="128"/>
      <c r="H12" s="128"/>
      <c r="I12" s="128"/>
      <c r="J12" s="128">
        <f>SUM(J6:J11)</f>
        <v>408.72</v>
      </c>
    </row>
    <row r="14" spans="1:10">
      <c r="A14" s="199" t="s">
        <v>193</v>
      </c>
      <c r="B14" s="199"/>
      <c r="C14" s="199"/>
      <c r="D14" s="199"/>
      <c r="E14" s="199"/>
      <c r="F14" s="199"/>
      <c r="G14" s="199"/>
      <c r="H14" s="199"/>
      <c r="I14" s="199"/>
      <c r="J14" s="199"/>
    </row>
    <row r="15" spans="1:10" ht="15">
      <c r="A15" s="129" t="s">
        <v>184</v>
      </c>
      <c r="B15" s="129" t="s">
        <v>17</v>
      </c>
      <c r="C15" s="117" t="s">
        <v>182</v>
      </c>
      <c r="D15" s="129" t="s">
        <v>164</v>
      </c>
      <c r="E15" s="130" t="s">
        <v>174</v>
      </c>
      <c r="F15" s="130" t="s">
        <v>175</v>
      </c>
      <c r="G15" s="115"/>
      <c r="H15" s="115"/>
      <c r="I15" s="131"/>
      <c r="J15" s="130" t="s">
        <v>176</v>
      </c>
    </row>
    <row r="16" spans="1:10">
      <c r="A16" s="132" t="s">
        <v>166</v>
      </c>
      <c r="B16" s="132">
        <v>90777</v>
      </c>
      <c r="C16" s="133" t="s">
        <v>187</v>
      </c>
      <c r="D16" s="138" t="s">
        <v>169</v>
      </c>
      <c r="E16" s="134">
        <v>15</v>
      </c>
      <c r="F16" s="134">
        <v>125</v>
      </c>
      <c r="G16" s="135"/>
      <c r="H16" s="135"/>
      <c r="I16" s="136"/>
      <c r="J16" s="134">
        <f>F16*E16</f>
        <v>1875</v>
      </c>
    </row>
    <row r="17" spans="1:10">
      <c r="A17" s="120" t="s">
        <v>166</v>
      </c>
      <c r="B17" s="120">
        <v>90780</v>
      </c>
      <c r="C17" s="121" t="s">
        <v>188</v>
      </c>
      <c r="D17" s="120" t="s">
        <v>169</v>
      </c>
      <c r="E17" s="122">
        <v>45</v>
      </c>
      <c r="F17" s="122">
        <v>115</v>
      </c>
      <c r="G17" s="123"/>
      <c r="H17" s="123"/>
      <c r="I17" s="124"/>
      <c r="J17" s="134">
        <f t="shared" ref="J17:J18" si="1">F17*E17</f>
        <v>5175</v>
      </c>
    </row>
    <row r="18" spans="1:10">
      <c r="A18" s="120" t="s">
        <v>166</v>
      </c>
      <c r="B18" s="120">
        <v>90766</v>
      </c>
      <c r="C18" s="121" t="s">
        <v>189</v>
      </c>
      <c r="D18" s="120" t="s">
        <v>169</v>
      </c>
      <c r="E18" s="122">
        <v>60</v>
      </c>
      <c r="F18" s="122">
        <v>28</v>
      </c>
      <c r="G18" s="123"/>
      <c r="H18" s="123"/>
      <c r="I18" s="124"/>
      <c r="J18" s="134">
        <f t="shared" si="1"/>
        <v>1680</v>
      </c>
    </row>
    <row r="19" spans="1:10">
      <c r="F19" s="128" t="s">
        <v>183</v>
      </c>
      <c r="G19" s="128"/>
      <c r="H19" s="128"/>
      <c r="I19" s="128"/>
      <c r="J19" s="128">
        <f>J16+J17+J18</f>
        <v>8730</v>
      </c>
    </row>
    <row r="20" spans="1:10">
      <c r="F20" s="137"/>
      <c r="G20" s="137"/>
      <c r="H20" s="137"/>
      <c r="I20" s="137"/>
      <c r="J20" s="137"/>
    </row>
    <row r="21" spans="1:10">
      <c r="A21" s="199" t="s">
        <v>489</v>
      </c>
      <c r="B21" s="199"/>
      <c r="C21" s="199"/>
      <c r="D21" s="199"/>
      <c r="E21" s="199"/>
      <c r="F21" s="199"/>
      <c r="G21" s="199"/>
      <c r="H21" s="199"/>
      <c r="I21" s="199"/>
      <c r="J21" s="199"/>
    </row>
    <row r="22" spans="1:10" ht="15">
      <c r="A22" s="129" t="s">
        <v>185</v>
      </c>
      <c r="B22" s="129" t="s">
        <v>17</v>
      </c>
      <c r="C22" s="117" t="s">
        <v>182</v>
      </c>
      <c r="D22" s="129" t="s">
        <v>164</v>
      </c>
      <c r="E22" s="130" t="s">
        <v>174</v>
      </c>
      <c r="F22" s="130" t="s">
        <v>175</v>
      </c>
      <c r="G22" s="115"/>
      <c r="H22" s="115"/>
      <c r="I22" s="131"/>
      <c r="J22" s="130" t="s">
        <v>176</v>
      </c>
    </row>
    <row r="23" spans="1:10">
      <c r="A23" s="159" t="s">
        <v>202</v>
      </c>
      <c r="B23" s="159">
        <v>4823</v>
      </c>
      <c r="C23" s="160" t="s">
        <v>371</v>
      </c>
      <c r="D23" s="159" t="s">
        <v>201</v>
      </c>
      <c r="E23" s="161">
        <v>1</v>
      </c>
      <c r="F23" s="161">
        <v>35.11</v>
      </c>
      <c r="G23" s="162"/>
      <c r="H23" s="162"/>
      <c r="I23" s="163"/>
      <c r="J23" s="161">
        <f>F23*E23</f>
        <v>35.11</v>
      </c>
    </row>
    <row r="24" spans="1:10">
      <c r="A24" s="159" t="s">
        <v>202</v>
      </c>
      <c r="B24" s="159">
        <v>7568</v>
      </c>
      <c r="C24" s="160" t="s">
        <v>372</v>
      </c>
      <c r="D24" s="159" t="s">
        <v>164</v>
      </c>
      <c r="E24" s="161">
        <v>12</v>
      </c>
      <c r="F24" s="161">
        <v>1.29</v>
      </c>
      <c r="G24" s="162"/>
      <c r="H24" s="162"/>
      <c r="I24" s="163"/>
      <c r="J24" s="161">
        <f t="shared" ref="J24:J29" si="2">F24*E24</f>
        <v>15.48</v>
      </c>
    </row>
    <row r="25" spans="1:10">
      <c r="A25" s="120" t="s">
        <v>202</v>
      </c>
      <c r="B25" s="120">
        <v>11795</v>
      </c>
      <c r="C25" s="121" t="s">
        <v>373</v>
      </c>
      <c r="D25" s="120" t="s">
        <v>203</v>
      </c>
      <c r="E25" s="122">
        <f>(4.5*0.5)+(4.5*0.1)+(4.5*0.15)+(0.5*2*0.15)+(4*0.3*2)+(4*0.4*2)</f>
        <v>9.125</v>
      </c>
      <c r="F25" s="122">
        <v>724.52</v>
      </c>
      <c r="G25" s="123"/>
      <c r="H25" s="123"/>
      <c r="I25" s="124"/>
      <c r="J25" s="161">
        <f t="shared" si="2"/>
        <v>6611.2449999999999</v>
      </c>
    </row>
    <row r="26" spans="1:10">
      <c r="A26" s="159" t="s">
        <v>202</v>
      </c>
      <c r="B26" s="159">
        <v>37329</v>
      </c>
      <c r="C26" s="160" t="s">
        <v>374</v>
      </c>
      <c r="D26" s="159" t="s">
        <v>201</v>
      </c>
      <c r="E26" s="161">
        <v>0.03</v>
      </c>
      <c r="F26" s="161">
        <v>98.93</v>
      </c>
      <c r="G26" s="162"/>
      <c r="H26" s="162"/>
      <c r="I26" s="163"/>
      <c r="J26" s="161">
        <f t="shared" si="2"/>
        <v>2.9679000000000002</v>
      </c>
    </row>
    <row r="27" spans="1:10">
      <c r="A27" s="159" t="s">
        <v>202</v>
      </c>
      <c r="B27" s="120">
        <v>37591</v>
      </c>
      <c r="C27" s="121" t="s">
        <v>375</v>
      </c>
      <c r="D27" s="120" t="s">
        <v>164</v>
      </c>
      <c r="E27" s="122">
        <v>4</v>
      </c>
      <c r="F27" s="122">
        <v>22.11</v>
      </c>
      <c r="G27" s="123"/>
      <c r="H27" s="123"/>
      <c r="I27" s="124"/>
      <c r="J27" s="161">
        <f t="shared" si="2"/>
        <v>88.44</v>
      </c>
    </row>
    <row r="28" spans="1:10">
      <c r="A28" s="120" t="s">
        <v>166</v>
      </c>
      <c r="B28" s="120">
        <v>88274</v>
      </c>
      <c r="C28" s="121" t="s">
        <v>348</v>
      </c>
      <c r="D28" s="120" t="s">
        <v>169</v>
      </c>
      <c r="E28" s="122">
        <v>2.5</v>
      </c>
      <c r="F28" s="122">
        <v>28</v>
      </c>
      <c r="G28" s="123"/>
      <c r="H28" s="123"/>
      <c r="I28" s="124"/>
      <c r="J28" s="161">
        <f t="shared" si="2"/>
        <v>70</v>
      </c>
    </row>
    <row r="29" spans="1:10">
      <c r="A29" s="120" t="s">
        <v>166</v>
      </c>
      <c r="B29" s="120">
        <v>88316</v>
      </c>
      <c r="C29" s="121" t="s">
        <v>333</v>
      </c>
      <c r="D29" s="120" t="s">
        <v>169</v>
      </c>
      <c r="E29" s="122">
        <v>2</v>
      </c>
      <c r="F29" s="122">
        <v>24</v>
      </c>
      <c r="G29" s="123"/>
      <c r="H29" s="123"/>
      <c r="I29" s="124"/>
      <c r="J29" s="161">
        <f t="shared" si="2"/>
        <v>48</v>
      </c>
    </row>
    <row r="30" spans="1:10">
      <c r="A30" s="127"/>
      <c r="B30" s="127"/>
      <c r="C30" s="127"/>
      <c r="D30" s="127"/>
      <c r="E30" s="127"/>
      <c r="F30" s="128" t="s">
        <v>183</v>
      </c>
      <c r="G30" s="128"/>
      <c r="H30" s="128"/>
      <c r="I30" s="128"/>
      <c r="J30" s="128">
        <f>SUM(J23:J29)</f>
        <v>6871.2428999999993</v>
      </c>
    </row>
    <row r="31" spans="1:10">
      <c r="A31" s="127"/>
      <c r="B31" s="127"/>
      <c r="C31" s="127"/>
      <c r="D31" s="127"/>
      <c r="E31" s="127"/>
      <c r="F31" s="137"/>
      <c r="G31" s="137"/>
      <c r="H31" s="137"/>
      <c r="I31" s="137"/>
      <c r="J31" s="137"/>
    </row>
    <row r="32" spans="1:10">
      <c r="A32" s="199" t="s">
        <v>389</v>
      </c>
      <c r="B32" s="199"/>
      <c r="C32" s="199"/>
      <c r="D32" s="199"/>
      <c r="E32" s="199"/>
      <c r="F32" s="199"/>
      <c r="G32" s="199"/>
      <c r="H32" s="199"/>
      <c r="I32" s="199"/>
      <c r="J32" s="199"/>
    </row>
    <row r="33" spans="1:10" ht="15">
      <c r="A33" s="129" t="s">
        <v>186</v>
      </c>
      <c r="B33" s="129" t="s">
        <v>17</v>
      </c>
      <c r="C33" s="117" t="s">
        <v>182</v>
      </c>
      <c r="D33" s="129" t="s">
        <v>164</v>
      </c>
      <c r="E33" s="130" t="s">
        <v>174</v>
      </c>
      <c r="F33" s="130" t="s">
        <v>175</v>
      </c>
      <c r="G33" s="115"/>
      <c r="H33" s="115"/>
      <c r="I33" s="131"/>
      <c r="J33" s="130" t="s">
        <v>176</v>
      </c>
    </row>
    <row r="34" spans="1:10">
      <c r="A34" s="159" t="s">
        <v>177</v>
      </c>
      <c r="B34" s="159"/>
      <c r="C34" s="160" t="s">
        <v>390</v>
      </c>
      <c r="D34" s="159" t="s">
        <v>164</v>
      </c>
      <c r="E34" s="161" t="s">
        <v>165</v>
      </c>
      <c r="F34" s="161">
        <v>30</v>
      </c>
      <c r="G34" s="162"/>
      <c r="H34" s="162"/>
      <c r="I34" s="163"/>
      <c r="J34" s="161">
        <f>F34</f>
        <v>30</v>
      </c>
    </row>
    <row r="35" spans="1:10">
      <c r="A35" s="120" t="s">
        <v>166</v>
      </c>
      <c r="B35" s="120" t="s">
        <v>167</v>
      </c>
      <c r="C35" s="121" t="s">
        <v>168</v>
      </c>
      <c r="D35" s="120" t="s">
        <v>169</v>
      </c>
      <c r="E35" s="122" t="s">
        <v>170</v>
      </c>
      <c r="F35" s="122">
        <v>26</v>
      </c>
      <c r="G35" s="123"/>
      <c r="H35" s="123"/>
      <c r="I35" s="124"/>
      <c r="J35" s="122">
        <f>E35*F35</f>
        <v>4.4901999999999997</v>
      </c>
    </row>
    <row r="36" spans="1:10">
      <c r="A36" s="120" t="s">
        <v>166</v>
      </c>
      <c r="B36" s="120" t="s">
        <v>171</v>
      </c>
      <c r="C36" s="121" t="s">
        <v>172</v>
      </c>
      <c r="D36" s="120" t="s">
        <v>169</v>
      </c>
      <c r="E36" s="122" t="s">
        <v>173</v>
      </c>
      <c r="F36" s="122">
        <v>30</v>
      </c>
      <c r="G36" s="123"/>
      <c r="H36" s="123"/>
      <c r="I36" s="124"/>
      <c r="J36" s="122">
        <f>E36*F36</f>
        <v>12.432</v>
      </c>
    </row>
    <row r="37" spans="1:10">
      <c r="A37" s="127"/>
      <c r="B37" s="127"/>
      <c r="C37" s="127"/>
      <c r="D37" s="127"/>
      <c r="E37" s="127"/>
      <c r="F37" s="128" t="s">
        <v>183</v>
      </c>
      <c r="G37" s="128"/>
      <c r="H37" s="128"/>
      <c r="I37" s="128"/>
      <c r="J37" s="128">
        <f>J34+J35+J36</f>
        <v>46.922200000000004</v>
      </c>
    </row>
    <row r="38" spans="1:10">
      <c r="A38" s="127"/>
      <c r="B38" s="127"/>
      <c r="C38" s="127"/>
      <c r="D38" s="127"/>
      <c r="E38" s="127"/>
      <c r="F38" s="137"/>
      <c r="G38" s="137"/>
      <c r="H38" s="137"/>
      <c r="I38" s="137"/>
      <c r="J38" s="137"/>
    </row>
    <row r="39" spans="1:10">
      <c r="A39" s="199" t="s">
        <v>313</v>
      </c>
      <c r="B39" s="199"/>
      <c r="C39" s="199"/>
      <c r="D39" s="199"/>
      <c r="E39" s="199"/>
      <c r="F39" s="199"/>
      <c r="G39" s="199"/>
      <c r="H39" s="199"/>
      <c r="I39" s="199"/>
      <c r="J39" s="199"/>
    </row>
    <row r="40" spans="1:10" ht="15">
      <c r="A40" s="116" t="s">
        <v>494</v>
      </c>
      <c r="B40" s="116" t="s">
        <v>17</v>
      </c>
      <c r="C40" s="117" t="s">
        <v>182</v>
      </c>
      <c r="D40" s="116" t="s">
        <v>164</v>
      </c>
      <c r="E40" s="118" t="s">
        <v>174</v>
      </c>
      <c r="F40" s="118" t="s">
        <v>175</v>
      </c>
      <c r="G40" s="115"/>
      <c r="H40" s="115"/>
      <c r="I40" s="119"/>
      <c r="J40" s="118" t="s">
        <v>176</v>
      </c>
    </row>
    <row r="41" spans="1:10">
      <c r="A41" s="154" t="s">
        <v>177</v>
      </c>
      <c r="B41" s="154"/>
      <c r="C41" s="155" t="s">
        <v>219</v>
      </c>
      <c r="D41" s="154" t="s">
        <v>164</v>
      </c>
      <c r="E41" s="156" t="s">
        <v>165</v>
      </c>
      <c r="F41" s="156">
        <v>95</v>
      </c>
      <c r="G41" s="157"/>
      <c r="H41" s="157"/>
      <c r="I41" s="158"/>
      <c r="J41" s="156">
        <f>F41</f>
        <v>95</v>
      </c>
    </row>
    <row r="42" spans="1:10">
      <c r="A42" s="120" t="s">
        <v>166</v>
      </c>
      <c r="B42" s="120" t="s">
        <v>167</v>
      </c>
      <c r="C42" s="121" t="s">
        <v>168</v>
      </c>
      <c r="D42" s="120" t="s">
        <v>169</v>
      </c>
      <c r="E42" s="122">
        <v>0.25</v>
      </c>
      <c r="F42" s="122">
        <v>26</v>
      </c>
      <c r="G42" s="123"/>
      <c r="H42" s="123"/>
      <c r="I42" s="124"/>
      <c r="J42" s="122">
        <f>E42*F42</f>
        <v>6.5</v>
      </c>
    </row>
    <row r="43" spans="1:10">
      <c r="A43" s="120" t="s">
        <v>166</v>
      </c>
      <c r="B43" s="120" t="s">
        <v>171</v>
      </c>
      <c r="C43" s="121" t="s">
        <v>172</v>
      </c>
      <c r="D43" s="120" t="s">
        <v>169</v>
      </c>
      <c r="E43" s="122">
        <v>1</v>
      </c>
      <c r="F43" s="125">
        <v>30</v>
      </c>
      <c r="G43" s="123"/>
      <c r="H43" s="123"/>
      <c r="I43" s="126"/>
      <c r="J43" s="125">
        <f>E43*F43</f>
        <v>30</v>
      </c>
    </row>
    <row r="44" spans="1:10">
      <c r="A44" s="127"/>
      <c r="B44" s="127"/>
      <c r="C44" s="127"/>
      <c r="D44" s="127"/>
      <c r="E44" s="127"/>
      <c r="F44" s="128" t="s">
        <v>183</v>
      </c>
      <c r="G44" s="128"/>
      <c r="H44" s="128"/>
      <c r="I44" s="128"/>
      <c r="J44" s="128">
        <f>J41+J42+J43</f>
        <v>131.5</v>
      </c>
    </row>
    <row r="45" spans="1:10">
      <c r="A45" s="127"/>
      <c r="B45" s="127"/>
      <c r="C45" s="127"/>
      <c r="D45" s="127"/>
      <c r="E45" s="127"/>
      <c r="F45" s="137"/>
      <c r="G45" s="137"/>
      <c r="H45" s="137"/>
      <c r="I45" s="137"/>
      <c r="J45" s="137"/>
    </row>
    <row r="46" spans="1:10">
      <c r="A46" s="199" t="s">
        <v>314</v>
      </c>
      <c r="B46" s="199"/>
      <c r="C46" s="199"/>
      <c r="D46" s="199"/>
      <c r="E46" s="199"/>
      <c r="F46" s="199"/>
      <c r="G46" s="199"/>
      <c r="H46" s="199"/>
      <c r="I46" s="199"/>
      <c r="J46" s="199"/>
    </row>
    <row r="47" spans="1:10" ht="15">
      <c r="A47" s="129" t="s">
        <v>495</v>
      </c>
      <c r="B47" s="129" t="s">
        <v>17</v>
      </c>
      <c r="C47" s="117" t="s">
        <v>182</v>
      </c>
      <c r="D47" s="129" t="s">
        <v>164</v>
      </c>
      <c r="E47" s="130" t="s">
        <v>174</v>
      </c>
      <c r="F47" s="130" t="s">
        <v>175</v>
      </c>
      <c r="G47" s="115"/>
      <c r="H47" s="115"/>
      <c r="I47" s="131"/>
      <c r="J47" s="130" t="s">
        <v>176</v>
      </c>
    </row>
    <row r="48" spans="1:10">
      <c r="A48" s="159" t="s">
        <v>177</v>
      </c>
      <c r="B48" s="159"/>
      <c r="C48" s="160" t="s">
        <v>395</v>
      </c>
      <c r="D48" s="159" t="s">
        <v>164</v>
      </c>
      <c r="E48" s="161" t="s">
        <v>165</v>
      </c>
      <c r="F48" s="161">
        <v>45</v>
      </c>
      <c r="G48" s="162"/>
      <c r="H48" s="162"/>
      <c r="I48" s="163"/>
      <c r="J48" s="161">
        <f>F48</f>
        <v>45</v>
      </c>
    </row>
    <row r="49" spans="1:10">
      <c r="A49" s="120" t="s">
        <v>166</v>
      </c>
      <c r="B49" s="120" t="s">
        <v>167</v>
      </c>
      <c r="C49" s="121" t="s">
        <v>168</v>
      </c>
      <c r="D49" s="120" t="s">
        <v>169</v>
      </c>
      <c r="E49" s="122" t="s">
        <v>170</v>
      </c>
      <c r="F49" s="122">
        <v>26</v>
      </c>
      <c r="G49" s="123"/>
      <c r="H49" s="123"/>
      <c r="I49" s="124"/>
      <c r="J49" s="122">
        <f>E49*F49</f>
        <v>4.4901999999999997</v>
      </c>
    </row>
    <row r="50" spans="1:10">
      <c r="A50" s="120" t="s">
        <v>166</v>
      </c>
      <c r="B50" s="120" t="s">
        <v>171</v>
      </c>
      <c r="C50" s="121" t="s">
        <v>172</v>
      </c>
      <c r="D50" s="120" t="s">
        <v>169</v>
      </c>
      <c r="E50" s="122" t="s">
        <v>173</v>
      </c>
      <c r="F50" s="122">
        <v>30</v>
      </c>
      <c r="G50" s="123"/>
      <c r="H50" s="123"/>
      <c r="I50" s="124"/>
      <c r="J50" s="122">
        <f>E50*F50</f>
        <v>12.432</v>
      </c>
    </row>
    <row r="51" spans="1:10">
      <c r="A51" s="127"/>
      <c r="B51" s="127"/>
      <c r="C51" s="127"/>
      <c r="D51" s="127"/>
      <c r="E51" s="127"/>
      <c r="F51" s="128" t="s">
        <v>183</v>
      </c>
      <c r="G51" s="128"/>
      <c r="H51" s="128"/>
      <c r="I51" s="128"/>
      <c r="J51" s="128">
        <f>J48+J49+J50</f>
        <v>61.922200000000004</v>
      </c>
    </row>
    <row r="53" spans="1:10">
      <c r="A53" s="199" t="s">
        <v>194</v>
      </c>
      <c r="B53" s="199"/>
      <c r="C53" s="199"/>
      <c r="D53" s="199"/>
      <c r="E53" s="199"/>
      <c r="F53" s="199"/>
      <c r="G53" s="199"/>
      <c r="H53" s="199"/>
      <c r="I53" s="199"/>
      <c r="J53" s="199"/>
    </row>
    <row r="54" spans="1:10" ht="15">
      <c r="A54" s="129" t="s">
        <v>263</v>
      </c>
      <c r="B54" s="129" t="s">
        <v>17</v>
      </c>
      <c r="C54" s="117" t="s">
        <v>182</v>
      </c>
      <c r="D54" s="129" t="s">
        <v>164</v>
      </c>
      <c r="E54" s="130" t="s">
        <v>174</v>
      </c>
      <c r="F54" s="130" t="s">
        <v>175</v>
      </c>
      <c r="G54" s="115"/>
      <c r="H54" s="115"/>
      <c r="I54" s="131"/>
      <c r="J54" s="130" t="s">
        <v>176</v>
      </c>
    </row>
    <row r="55" spans="1:10">
      <c r="A55" s="154" t="s">
        <v>177</v>
      </c>
      <c r="B55" s="154"/>
      <c r="C55" s="155" t="s">
        <v>190</v>
      </c>
      <c r="D55" s="154" t="s">
        <v>164</v>
      </c>
      <c r="E55" s="156" t="s">
        <v>165</v>
      </c>
      <c r="F55" s="156">
        <v>100</v>
      </c>
      <c r="G55" s="157"/>
      <c r="H55" s="157"/>
      <c r="I55" s="158"/>
      <c r="J55" s="156">
        <f>F55</f>
        <v>100</v>
      </c>
    </row>
    <row r="56" spans="1:10">
      <c r="A56" s="120" t="s">
        <v>166</v>
      </c>
      <c r="B56" s="120" t="s">
        <v>167</v>
      </c>
      <c r="C56" s="121" t="s">
        <v>168</v>
      </c>
      <c r="D56" s="120" t="s">
        <v>169</v>
      </c>
      <c r="E56" s="122" t="s">
        <v>170</v>
      </c>
      <c r="F56" s="122">
        <v>26</v>
      </c>
      <c r="G56" s="123"/>
      <c r="H56" s="123"/>
      <c r="I56" s="124"/>
      <c r="J56" s="122">
        <f>E56*F56</f>
        <v>4.4901999999999997</v>
      </c>
    </row>
    <row r="57" spans="1:10">
      <c r="A57" s="120" t="s">
        <v>166</v>
      </c>
      <c r="B57" s="120" t="s">
        <v>171</v>
      </c>
      <c r="C57" s="121" t="s">
        <v>172</v>
      </c>
      <c r="D57" s="120" t="s">
        <v>169</v>
      </c>
      <c r="E57" s="122" t="s">
        <v>173</v>
      </c>
      <c r="F57" s="122">
        <v>30</v>
      </c>
      <c r="G57" s="123"/>
      <c r="H57" s="123"/>
      <c r="I57" s="124"/>
      <c r="J57" s="122">
        <f>E57*F57</f>
        <v>12.432</v>
      </c>
    </row>
    <row r="58" spans="1:10">
      <c r="A58" s="127"/>
      <c r="B58" s="127"/>
      <c r="C58" s="127"/>
      <c r="D58" s="127"/>
      <c r="E58" s="127"/>
      <c r="F58" s="128" t="s">
        <v>183</v>
      </c>
      <c r="G58" s="128"/>
      <c r="H58" s="128"/>
      <c r="I58" s="128"/>
      <c r="J58" s="128">
        <f>J55+J56+J57</f>
        <v>116.9222</v>
      </c>
    </row>
    <row r="60" spans="1:10">
      <c r="A60" s="192" t="s">
        <v>501</v>
      </c>
      <c r="B60" s="192"/>
      <c r="C60" s="192"/>
      <c r="D60" s="192"/>
      <c r="E60" s="192"/>
      <c r="F60" s="192"/>
      <c r="G60" s="192"/>
      <c r="H60" s="192"/>
      <c r="I60" s="192"/>
      <c r="J60" s="192"/>
    </row>
    <row r="61" spans="1:10">
      <c r="A61" s="178"/>
      <c r="B61" s="178"/>
      <c r="C61" s="178"/>
      <c r="D61" s="178"/>
      <c r="E61" s="178"/>
      <c r="F61" s="178"/>
      <c r="G61" s="178"/>
      <c r="H61" s="178"/>
      <c r="I61" s="178"/>
    </row>
    <row r="62" spans="1:10">
      <c r="A62" s="8"/>
      <c r="B62" s="32"/>
      <c r="C62" s="1"/>
      <c r="D62" s="1"/>
      <c r="E62" s="1"/>
      <c r="F62" s="1"/>
      <c r="G62" s="1"/>
      <c r="H62" s="1"/>
      <c r="I62" s="1"/>
      <c r="J62" s="137"/>
    </row>
    <row r="63" spans="1:10">
      <c r="A63" s="8"/>
      <c r="B63" s="32"/>
      <c r="C63" s="1"/>
      <c r="D63" s="1"/>
      <c r="E63" s="1"/>
      <c r="F63" s="1"/>
      <c r="G63" s="1"/>
      <c r="H63" s="1"/>
      <c r="I63" s="1"/>
      <c r="J63" s="137"/>
    </row>
    <row r="64" spans="1:10">
      <c r="A64" s="8"/>
      <c r="B64" s="32"/>
      <c r="C64" s="1"/>
      <c r="D64" s="1"/>
      <c r="E64" s="1"/>
      <c r="F64" s="1"/>
      <c r="G64" s="1"/>
      <c r="H64" s="1"/>
      <c r="I64" s="1"/>
      <c r="J64" s="137"/>
    </row>
    <row r="65" spans="1:10">
      <c r="A65" s="8"/>
      <c r="B65" s="32"/>
      <c r="C65" s="1"/>
      <c r="D65" s="1"/>
      <c r="E65" s="1"/>
      <c r="F65" s="1"/>
      <c r="G65" s="1"/>
      <c r="H65" s="1"/>
      <c r="I65" s="1"/>
      <c r="J65" s="137"/>
    </row>
    <row r="66" spans="1:10">
      <c r="A66" s="1"/>
      <c r="B66" s="18"/>
      <c r="C66" s="1"/>
      <c r="D66" s="1"/>
      <c r="E66" s="1"/>
      <c r="F66" s="1"/>
      <c r="G66" s="1"/>
      <c r="H66" s="1"/>
      <c r="I66" s="106"/>
      <c r="J66" s="137"/>
    </row>
    <row r="67" spans="1:10">
      <c r="A67" s="1"/>
      <c r="B67" s="1"/>
      <c r="C67" s="1"/>
      <c r="D67" s="1"/>
      <c r="E67" s="1"/>
      <c r="F67" s="1"/>
      <c r="G67" s="1"/>
      <c r="H67" s="1"/>
      <c r="I67" s="1"/>
      <c r="J67" s="137"/>
    </row>
    <row r="68" spans="1:10">
      <c r="A68" s="200" t="s">
        <v>221</v>
      </c>
      <c r="B68" s="200"/>
      <c r="C68" s="200"/>
      <c r="D68" s="200"/>
      <c r="E68" s="200"/>
      <c r="F68" s="200"/>
      <c r="G68" s="200"/>
      <c r="H68" s="200"/>
      <c r="I68" s="200"/>
      <c r="J68" s="200"/>
    </row>
    <row r="69" spans="1:10">
      <c r="A69" s="198" t="s">
        <v>137</v>
      </c>
      <c r="B69" s="198"/>
      <c r="C69" s="198"/>
      <c r="D69" s="198"/>
      <c r="E69" s="198"/>
      <c r="F69" s="198"/>
      <c r="G69" s="198"/>
      <c r="H69" s="198"/>
      <c r="I69" s="198"/>
      <c r="J69" s="198"/>
    </row>
    <row r="89" spans="1:10">
      <c r="A89" s="127"/>
      <c r="B89" s="127"/>
      <c r="C89" s="127"/>
      <c r="D89" s="127"/>
      <c r="E89" s="127"/>
      <c r="F89" s="137"/>
      <c r="G89" s="137"/>
      <c r="H89" s="137"/>
      <c r="I89" s="137"/>
      <c r="J89" s="137"/>
    </row>
    <row r="90" spans="1:10">
      <c r="A90" s="127"/>
      <c r="B90" s="127"/>
      <c r="C90" s="127"/>
      <c r="D90" s="127"/>
      <c r="E90" s="127"/>
      <c r="F90" s="137"/>
      <c r="G90" s="137"/>
      <c r="H90" s="137"/>
      <c r="I90" s="137"/>
      <c r="J90" s="137"/>
    </row>
    <row r="91" spans="1:10">
      <c r="A91" s="127"/>
      <c r="B91" s="127"/>
      <c r="C91" s="127"/>
      <c r="D91" s="127"/>
      <c r="E91" s="127"/>
      <c r="F91" s="137"/>
      <c r="G91" s="137"/>
      <c r="H91" s="137"/>
      <c r="I91" s="137"/>
      <c r="J91" s="137"/>
    </row>
    <row r="92" spans="1:10">
      <c r="A92" s="127"/>
      <c r="B92" s="127"/>
      <c r="C92" s="127"/>
      <c r="D92" s="127"/>
      <c r="E92" s="127"/>
      <c r="F92" s="137"/>
      <c r="G92" s="137"/>
      <c r="H92" s="137"/>
      <c r="I92" s="137"/>
      <c r="J92" s="137"/>
    </row>
    <row r="93" spans="1:10">
      <c r="A93" s="127"/>
      <c r="B93" s="127"/>
      <c r="C93" s="127"/>
      <c r="D93" s="127"/>
      <c r="E93" s="127"/>
      <c r="F93" s="137"/>
      <c r="G93" s="137"/>
      <c r="H93" s="137"/>
      <c r="I93" s="137"/>
      <c r="J93" s="137"/>
    </row>
    <row r="94" spans="1:10">
      <c r="A94" s="127"/>
      <c r="B94" s="127"/>
      <c r="C94" s="127"/>
      <c r="D94" s="127"/>
      <c r="E94" s="127"/>
      <c r="F94" s="137"/>
      <c r="G94" s="137"/>
      <c r="H94" s="137"/>
      <c r="I94" s="137"/>
      <c r="J94" s="137"/>
    </row>
    <row r="95" spans="1:10">
      <c r="A95" s="127"/>
      <c r="B95" s="127"/>
      <c r="C95" s="127"/>
      <c r="D95" s="127"/>
      <c r="E95" s="127"/>
      <c r="F95" s="137"/>
      <c r="G95" s="137"/>
      <c r="H95" s="137"/>
      <c r="I95" s="137"/>
      <c r="J95" s="137"/>
    </row>
    <row r="96" spans="1:10">
      <c r="A96" s="127"/>
      <c r="B96" s="127"/>
      <c r="C96" s="127"/>
      <c r="D96" s="127"/>
      <c r="E96" s="127"/>
      <c r="F96" s="137"/>
      <c r="G96" s="137"/>
      <c r="H96" s="137"/>
      <c r="I96" s="137"/>
      <c r="J96" s="137"/>
    </row>
    <row r="98" ht="15.75" customHeight="1"/>
    <row r="99" ht="17.25" customHeight="1"/>
    <row r="100" ht="18.75" customHeight="1"/>
    <row r="101" ht="15.75" customHeight="1"/>
  </sheetData>
  <mergeCells count="11">
    <mergeCell ref="A69:J69"/>
    <mergeCell ref="A1:J1"/>
    <mergeCell ref="A60:J60"/>
    <mergeCell ref="A68:J68"/>
    <mergeCell ref="A53:J53"/>
    <mergeCell ref="A14:J14"/>
    <mergeCell ref="A4:J4"/>
    <mergeCell ref="A21:J21"/>
    <mergeCell ref="A39:J39"/>
    <mergeCell ref="A32:J32"/>
    <mergeCell ref="A46:J46"/>
  </mergeCells>
  <conditionalFormatting sqref="I54:J57 A55:F57 B54 D54:F54">
    <cfRule type="expression" dxfId="35" priority="361" stopIfTrue="1">
      <formula>AND(#REF!&lt;&gt;"COMPOSICAO",#REF!&lt;&gt;"INSUMO",#REF!&lt;&gt;"")</formula>
    </cfRule>
    <cfRule type="expression" dxfId="34" priority="362" stopIfTrue="1">
      <formula>AND(OR(#REF!="COMPOSICAO",#REF!="INSUMO",#REF!&lt;&gt;""),#REF!&lt;&gt;"")</formula>
    </cfRule>
  </conditionalFormatting>
  <conditionalFormatting sqref="C15 F19:J20 A15 C5 A5">
    <cfRule type="expression" dxfId="33" priority="512" stopIfTrue="1">
      <formula>AND(#REF!&lt;&gt;"COMPOSICAO",#REF!&lt;&gt;"INSUMO",#REF!&lt;&gt;"")</formula>
    </cfRule>
    <cfRule type="expression" dxfId="32" priority="513" stopIfTrue="1">
      <formula>AND(OR(#REF!="COMPOSICAO",#REF!="INSUMO",#REF!&lt;&gt;""),#REF!&lt;&gt;"")</formula>
    </cfRule>
  </conditionalFormatting>
  <conditionalFormatting sqref="A16:F18 B15 D15:F15 I15:J18 A6:F9 B5 D5:F5 I5:J8 I9 J9:J11">
    <cfRule type="expression" dxfId="31" priority="345" stopIfTrue="1">
      <formula>AND(#REF!&lt;&gt;"COMPOSICAO",#REF!&lt;&gt;"INSUMO",#REF!&lt;&gt;"")</formula>
    </cfRule>
    <cfRule type="expression" dxfId="30" priority="346" stopIfTrue="1">
      <formula>AND(OR(#REF!="COMPOSICAO",#REF!="INSUMO",#REF!&lt;&gt;""),#REF!&lt;&gt;"")</formula>
    </cfRule>
  </conditionalFormatting>
  <conditionalFormatting sqref="C54 F58:J58 A54">
    <cfRule type="expression" dxfId="29" priority="333" stopIfTrue="1">
      <formula>AND(#REF!&lt;&gt;"COMPOSICAO",#REF!&lt;&gt;"INSUMO",#REF!&lt;&gt;"")</formula>
    </cfRule>
    <cfRule type="expression" dxfId="28" priority="334" stopIfTrue="1">
      <formula>AND(OR(#REF!="COMPOSICAO",#REF!="INSUMO",#REF!&lt;&gt;""),#REF!&lt;&gt;"")</formula>
    </cfRule>
  </conditionalFormatting>
  <conditionalFormatting sqref="B10:F10 I10">
    <cfRule type="expression" dxfId="27" priority="329" stopIfTrue="1">
      <formula>AND(#REF!&lt;&gt;"COMPOSICAO",#REF!&lt;&gt;"INSUMO",#REF!&lt;&gt;"")</formula>
    </cfRule>
    <cfRule type="expression" dxfId="26" priority="330" stopIfTrue="1">
      <formula>AND(OR(#REF!="COMPOSICAO",#REF!="INSUMO",#REF!&lt;&gt;""),#REF!&lt;&gt;"")</formula>
    </cfRule>
  </conditionalFormatting>
  <conditionalFormatting sqref="B11:F11 I11 B12:E12">
    <cfRule type="expression" dxfId="25" priority="610" stopIfTrue="1">
      <formula>AND(#REF!&lt;&gt;"COMPOSICAO",#REF!&lt;&gt;"INSUMO",#REF!&lt;&gt;"")</formula>
    </cfRule>
    <cfRule type="expression" dxfId="24" priority="611" stopIfTrue="1">
      <formula>AND(OR(#REF!="COMPOSICAO",#REF!="INSUMO",#REF!&lt;&gt;""),#REF!&lt;&gt;"")</formula>
    </cfRule>
  </conditionalFormatting>
  <conditionalFormatting sqref="A10">
    <cfRule type="expression" dxfId="23" priority="325" stopIfTrue="1">
      <formula>AND(#REF!&lt;&gt;"COMPOSICAO",#REF!&lt;&gt;"INSUMO",#REF!&lt;&gt;"")</formula>
    </cfRule>
    <cfRule type="expression" dxfId="22" priority="326" stopIfTrue="1">
      <formula>AND(OR(#REF!="COMPOSICAO",#REF!="INSUMO",#REF!&lt;&gt;""),#REF!&lt;&gt;"")</formula>
    </cfRule>
  </conditionalFormatting>
  <conditionalFormatting sqref="A11:A12">
    <cfRule type="expression" dxfId="21" priority="323" stopIfTrue="1">
      <formula>AND(#REF!&lt;&gt;"COMPOSICAO",#REF!&lt;&gt;"INSUMO",#REF!&lt;&gt;"")</formula>
    </cfRule>
    <cfRule type="expression" dxfId="20" priority="324" stopIfTrue="1">
      <formula>AND(OR(#REF!="COMPOSICAO",#REF!="INSUMO",#REF!&lt;&gt;""),#REF!&lt;&gt;"")</formula>
    </cfRule>
  </conditionalFormatting>
  <conditionalFormatting sqref="A40:F43 I40:J43 F44:J44">
    <cfRule type="expression" dxfId="19" priority="111" stopIfTrue="1">
      <formula>AND(#REF!&lt;&gt;"COMPOSICAO",#REF!&lt;&gt;"INSUMO",#REF!&lt;&gt;"")</formula>
    </cfRule>
    <cfRule type="expression" dxfId="18" priority="112" stopIfTrue="1">
      <formula>AND(OR(#REF!="COMPOSICAO",#REF!="INSUMO",#REF!&lt;&gt;""),#REF!&lt;&gt;"")</formula>
    </cfRule>
  </conditionalFormatting>
  <conditionalFormatting sqref="I33:J36 A33:F36 J62:J67 F37:J37">
    <cfRule type="expression" dxfId="17" priority="113" stopIfTrue="1">
      <formula>AND(#REF!&lt;&gt;"COMPOSICAO",#REF!&lt;&gt;"INSUMO",#REF!&lt;&gt;"")</formula>
    </cfRule>
    <cfRule type="expression" dxfId="16" priority="114" stopIfTrue="1">
      <formula>AND(OR(#REF!="COMPOSICAO",#REF!="INSUMO",#REF!&lt;&gt;""),#REF!&lt;&gt;"")</formula>
    </cfRule>
  </conditionalFormatting>
  <conditionalFormatting sqref="I47:J50 A47:F50 F51:J51">
    <cfRule type="expression" dxfId="15" priority="109" stopIfTrue="1">
      <formula>AND(#REF!&lt;&gt;"COMPOSICAO",#REF!&lt;&gt;"INSUMO",#REF!&lt;&gt;"")</formula>
    </cfRule>
    <cfRule type="expression" dxfId="14" priority="110" stopIfTrue="1">
      <formula>AND(OR(#REF!="COMPOSICAO",#REF!="INSUMO",#REF!&lt;&gt;""),#REF!&lt;&gt;"")</formula>
    </cfRule>
  </conditionalFormatting>
  <conditionalFormatting sqref="I22:J23 F30:J31 A22:F23 A25:F25 A24:D24 I25 I27:I28 A28:F28 B27:F27 J24:J29 F38:J38 F45:J45">
    <cfRule type="expression" dxfId="13" priority="87" stopIfTrue="1">
      <formula>AND(#REF!&lt;&gt;"COMPOSICAO",#REF!&lt;&gt;"INSUMO",#REF!&lt;&gt;"")</formula>
    </cfRule>
    <cfRule type="expression" dxfId="12" priority="88" stopIfTrue="1">
      <formula>AND(OR(#REF!="COMPOSICAO",#REF!="INSUMO",#REF!&lt;&gt;""),#REF!&lt;&gt;"")</formula>
    </cfRule>
  </conditionalFormatting>
  <conditionalFormatting sqref="I24 E24:F24">
    <cfRule type="expression" dxfId="11" priority="85" stopIfTrue="1">
      <formula>AND(#REF!&lt;&gt;"COMPOSICAO",#REF!&lt;&gt;"INSUMO",#REF!&lt;&gt;"")</formula>
    </cfRule>
    <cfRule type="expression" dxfId="10" priority="86" stopIfTrue="1">
      <formula>AND(OR(#REF!="COMPOSICAO",#REF!="INSUMO",#REF!&lt;&gt;""),#REF!&lt;&gt;"")</formula>
    </cfRule>
  </conditionalFormatting>
  <conditionalFormatting sqref="I29 A29:F29">
    <cfRule type="expression" dxfId="9" priority="83" stopIfTrue="1">
      <formula>AND(#REF!&lt;&gt;"COMPOSICAO",#REF!&lt;&gt;"INSUMO",#REF!&lt;&gt;"")</formula>
    </cfRule>
    <cfRule type="expression" dxfId="8" priority="84" stopIfTrue="1">
      <formula>AND(OR(#REF!="COMPOSICAO",#REF!="INSUMO",#REF!&lt;&gt;""),#REF!&lt;&gt;"")</formula>
    </cfRule>
  </conditionalFormatting>
  <conditionalFormatting sqref="A26:D26 A27">
    <cfRule type="expression" dxfId="7" priority="81" stopIfTrue="1">
      <formula>AND(#REF!&lt;&gt;"COMPOSICAO",#REF!&lt;&gt;"INSUMO",#REF!&lt;&gt;"")</formula>
    </cfRule>
    <cfRule type="expression" dxfId="6" priority="82" stopIfTrue="1">
      <formula>AND(OR(#REF!="COMPOSICAO",#REF!="INSUMO",#REF!&lt;&gt;""),#REF!&lt;&gt;"")</formula>
    </cfRule>
  </conditionalFormatting>
  <conditionalFormatting sqref="I26 E26:F26">
    <cfRule type="expression" dxfId="5" priority="79" stopIfTrue="1">
      <formula>AND(#REF!&lt;&gt;"COMPOSICAO",#REF!&lt;&gt;"INSUMO",#REF!&lt;&gt;"")</formula>
    </cfRule>
    <cfRule type="expression" dxfId="4" priority="80" stopIfTrue="1">
      <formula>AND(OR(#REF!="COMPOSICAO",#REF!="INSUMO",#REF!&lt;&gt;""),#REF!&lt;&gt;"")</formula>
    </cfRule>
  </conditionalFormatting>
  <conditionalFormatting sqref="F89:J96">
    <cfRule type="expression" dxfId="3" priority="45" stopIfTrue="1">
      <formula>AND(#REF!&lt;&gt;"COMPOSICAO",#REF!&lt;&gt;"INSUMO",#REF!&lt;&gt;"")</formula>
    </cfRule>
    <cfRule type="expression" dxfId="2" priority="46" stopIfTrue="1">
      <formula>AND(OR(#REF!="COMPOSICAO",#REF!="INSUMO",#REF!&lt;&gt;""),#REF!&lt;&gt;"")</formula>
    </cfRule>
  </conditionalFormatting>
  <conditionalFormatting sqref="F12:J12">
    <cfRule type="expression" dxfId="1" priority="1" stopIfTrue="1">
      <formula>AND(#REF!&lt;&gt;"COMPOSICAO",#REF!&lt;&gt;"INSUMO",#REF!&lt;&gt;"")</formula>
    </cfRule>
    <cfRule type="expression" dxfId="0" priority="2" stopIfTrue="1">
      <formula>AND(OR(#REF!="COMPOSICAO",#REF!="INSUMO",#REF!&lt;&gt;""),#REF!&lt;&gt;"")</formula>
    </cfRule>
  </conditionalFormatting>
  <pageMargins left="0.25" right="0.25" top="0.75" bottom="0.75" header="0.3" footer="0.3"/>
  <pageSetup paperSize="9"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Orçamento</vt:lpstr>
      <vt:lpstr>Plan1</vt:lpstr>
      <vt:lpstr>Cronograma</vt:lpstr>
      <vt:lpstr>COMP</vt:lpstr>
      <vt:lpstr>Orçamento!Area_de_impressao</vt:lpstr>
      <vt:lpstr>Orçamento!Titulos_de_impressao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Windows</cp:lastModifiedBy>
  <cp:lastPrinted>2026-09-04T13:48:38Z</cp:lastPrinted>
  <dcterms:created xsi:type="dcterms:W3CDTF">2012-10-15T18:57:41Z</dcterms:created>
  <dcterms:modified xsi:type="dcterms:W3CDTF">2026-09-10T19:51:15Z</dcterms:modified>
</cp:coreProperties>
</file>