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50\Documentos\Documentos 2026\Engenharia\PONTE SÃO MIGUEL\ORÇAMENTO ATUALIZADO\"/>
    </mc:Choice>
  </mc:AlternateContent>
  <bookViews>
    <workbookView xWindow="0" yWindow="0" windowWidth="20490" windowHeight="7050" tabRatio="641"/>
  </bookViews>
  <sheets>
    <sheet name="ORÇAMENTO" sheetId="1" r:id="rId1"/>
    <sheet name="ENCARGOS" sheetId="7" r:id="rId2"/>
    <sheet name="CRONOGRAMA" sheetId="2" r:id="rId3"/>
    <sheet name="DMT" sheetId="3" r:id="rId4"/>
    <sheet name="BDI" sheetId="4" r:id="rId5"/>
    <sheet name="COMP. " sheetId="5" r:id="rId6"/>
    <sheet name="MEMÓRIA QUANTIDADES" sheetId="6" r:id="rId7"/>
  </sheets>
  <externalReferences>
    <externalReference r:id="rId8"/>
  </externalReferences>
  <definedNames>
    <definedName name="_xlnm._FilterDatabase" localSheetId="0" hidden="1">ORÇAMENTO!$B$3:$J$95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0" i="1" l="1"/>
  <c r="J91" i="1"/>
  <c r="J92" i="1"/>
  <c r="J93" i="1"/>
  <c r="J94" i="1"/>
  <c r="J95" i="1"/>
  <c r="J89" i="1"/>
  <c r="J81" i="1"/>
  <c r="J82" i="1"/>
  <c r="J83" i="1"/>
  <c r="J84" i="1"/>
  <c r="J85" i="1"/>
  <c r="J86" i="1"/>
  <c r="J87" i="1"/>
  <c r="J80" i="1"/>
  <c r="J72" i="1"/>
  <c r="J73" i="1"/>
  <c r="J74" i="1"/>
  <c r="J75" i="1"/>
  <c r="J76" i="1"/>
  <c r="J77" i="1"/>
  <c r="J78" i="1"/>
  <c r="J71" i="1"/>
  <c r="J67" i="1"/>
  <c r="J68" i="1"/>
  <c r="J69" i="1"/>
  <c r="J66" i="1"/>
  <c r="J61" i="1"/>
  <c r="J62" i="1"/>
  <c r="J63" i="1"/>
  <c r="J64" i="1"/>
  <c r="J60" i="1"/>
  <c r="J50" i="1"/>
  <c r="J51" i="1"/>
  <c r="J52" i="1"/>
  <c r="J53" i="1"/>
  <c r="J54" i="1"/>
  <c r="J55" i="1"/>
  <c r="J56" i="1"/>
  <c r="J57" i="1"/>
  <c r="J49" i="1"/>
  <c r="J39" i="1"/>
  <c r="J40" i="1"/>
  <c r="J41" i="1"/>
  <c r="J42" i="1"/>
  <c r="J43" i="1"/>
  <c r="J44" i="1"/>
  <c r="J45" i="1"/>
  <c r="J46" i="1"/>
  <c r="J47" i="1"/>
  <c r="J38" i="1"/>
  <c r="J25" i="1"/>
  <c r="J26" i="1"/>
  <c r="J27" i="1"/>
  <c r="J28" i="1"/>
  <c r="J29" i="1"/>
  <c r="J30" i="1"/>
  <c r="J31" i="1"/>
  <c r="J32" i="1"/>
  <c r="J33" i="1"/>
  <c r="J34" i="1"/>
  <c r="J35" i="1"/>
  <c r="J24" i="1"/>
  <c r="J14" i="1"/>
  <c r="J15" i="1"/>
  <c r="J16" i="1"/>
  <c r="J17" i="1"/>
  <c r="J18" i="1"/>
  <c r="J19" i="1"/>
  <c r="J20" i="1"/>
  <c r="J21" i="1"/>
  <c r="J13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I24" i="1"/>
  <c r="I25" i="1"/>
  <c r="I26" i="1"/>
  <c r="I27" i="1"/>
  <c r="I28" i="1"/>
  <c r="I29" i="1"/>
  <c r="I30" i="1"/>
  <c r="I31" i="1"/>
  <c r="I32" i="1"/>
  <c r="I33" i="1"/>
  <c r="I34" i="1"/>
  <c r="I35" i="1"/>
  <c r="I38" i="1"/>
  <c r="I39" i="1"/>
  <c r="I40" i="1"/>
  <c r="I41" i="1"/>
  <c r="I42" i="1"/>
  <c r="I43" i="1"/>
  <c r="I44" i="1"/>
  <c r="I45" i="1"/>
  <c r="I46" i="1"/>
  <c r="I47" i="1"/>
  <c r="I49" i="1"/>
  <c r="I50" i="1"/>
  <c r="I51" i="1"/>
  <c r="I52" i="1"/>
  <c r="I53" i="1"/>
  <c r="I54" i="1"/>
  <c r="I55" i="1"/>
  <c r="I56" i="1"/>
  <c r="I57" i="1"/>
  <c r="I60" i="1"/>
  <c r="I61" i="1"/>
  <c r="I62" i="1"/>
  <c r="I63" i="1"/>
  <c r="I64" i="1"/>
  <c r="I66" i="1"/>
  <c r="I67" i="1"/>
  <c r="I68" i="1"/>
  <c r="I69" i="1"/>
  <c r="I71" i="1"/>
  <c r="I72" i="1"/>
  <c r="I73" i="1"/>
  <c r="I74" i="1"/>
  <c r="I75" i="1"/>
  <c r="I76" i="1"/>
  <c r="I77" i="1"/>
  <c r="I78" i="1"/>
  <c r="I80" i="1"/>
  <c r="I81" i="1"/>
  <c r="I82" i="1"/>
  <c r="I83" i="1"/>
  <c r="I84" i="1"/>
  <c r="I85" i="1"/>
  <c r="I86" i="1"/>
  <c r="I87" i="1"/>
  <c r="I89" i="1"/>
  <c r="I90" i="1"/>
  <c r="I91" i="1"/>
  <c r="I92" i="1"/>
  <c r="I93" i="1"/>
  <c r="I94" i="1"/>
  <c r="I95" i="1"/>
  <c r="I13" i="1"/>
  <c r="I14" i="1"/>
  <c r="I15" i="1"/>
  <c r="I16" i="1"/>
  <c r="I17" i="1"/>
  <c r="I18" i="1"/>
  <c r="I19" i="1"/>
  <c r="I20" i="1"/>
  <c r="I21" i="1"/>
  <c r="L13" i="1"/>
  <c r="L14" i="1"/>
  <c r="L15" i="1"/>
  <c r="L16" i="1"/>
  <c r="L17" i="1"/>
  <c r="L18" i="1"/>
  <c r="L19" i="1"/>
  <c r="L20" i="1"/>
  <c r="L21" i="1"/>
  <c r="L24" i="1"/>
  <c r="L25" i="1"/>
  <c r="L26" i="1"/>
  <c r="L27" i="1"/>
  <c r="L28" i="1"/>
  <c r="L29" i="1"/>
  <c r="L30" i="1"/>
  <c r="L31" i="1"/>
  <c r="L32" i="1"/>
  <c r="L33" i="1"/>
  <c r="L34" i="1"/>
  <c r="L35" i="1"/>
  <c r="L38" i="1"/>
  <c r="L39" i="1"/>
  <c r="L40" i="1"/>
  <c r="L41" i="1"/>
  <c r="L42" i="1"/>
  <c r="L43" i="1"/>
  <c r="L44" i="1"/>
  <c r="L45" i="1"/>
  <c r="L46" i="1"/>
  <c r="L47" i="1"/>
  <c r="L49" i="1"/>
  <c r="L50" i="1"/>
  <c r="L51" i="1"/>
  <c r="L52" i="1"/>
  <c r="L53" i="1"/>
  <c r="L54" i="1"/>
  <c r="L55" i="1"/>
  <c r="L56" i="1"/>
  <c r="L57" i="1"/>
  <c r="L60" i="1"/>
  <c r="L61" i="1"/>
  <c r="L62" i="1"/>
  <c r="L63" i="1"/>
  <c r="L64" i="1"/>
  <c r="L66" i="1"/>
  <c r="L67" i="1"/>
  <c r="L68" i="1"/>
  <c r="L69" i="1"/>
  <c r="L71" i="1"/>
  <c r="L72" i="1"/>
  <c r="L73" i="1"/>
  <c r="L74" i="1"/>
  <c r="L75" i="1"/>
  <c r="L76" i="1"/>
  <c r="L77" i="1"/>
  <c r="L78" i="1"/>
  <c r="L80" i="1"/>
  <c r="L81" i="1"/>
  <c r="L82" i="1"/>
  <c r="L83" i="1"/>
  <c r="L84" i="1"/>
  <c r="L85" i="1"/>
  <c r="L86" i="1"/>
  <c r="L87" i="1"/>
  <c r="L89" i="1"/>
  <c r="L90" i="1"/>
  <c r="L91" i="1"/>
  <c r="L92" i="1"/>
  <c r="L93" i="1"/>
  <c r="L94" i="1"/>
  <c r="L95" i="1"/>
  <c r="L11" i="1"/>
  <c r="I11" i="1" s="1"/>
  <c r="N11" i="1" s="1"/>
  <c r="J11" i="1" s="1"/>
  <c r="G85" i="1" l="1"/>
  <c r="G77" i="1"/>
  <c r="G68" i="1"/>
  <c r="G55" i="1"/>
  <c r="G45" i="1"/>
  <c r="G34" i="1"/>
  <c r="G18" i="1"/>
  <c r="G62" i="1"/>
  <c r="G71" i="1"/>
  <c r="G72" i="1" s="1"/>
  <c r="G63" i="1"/>
  <c r="G53" i="1"/>
  <c r="G43" i="1"/>
  <c r="H39" i="5"/>
  <c r="G84" i="1"/>
  <c r="G87" i="1"/>
  <c r="G83" i="1"/>
  <c r="G82" i="1"/>
  <c r="G80" i="1"/>
  <c r="G51" i="1"/>
  <c r="G52" i="1"/>
  <c r="G41" i="1"/>
  <c r="G42" i="1"/>
  <c r="G30" i="1"/>
  <c r="G29" i="1"/>
  <c r="G31" i="1"/>
  <c r="G74" i="1"/>
  <c r="G40" i="1"/>
  <c r="G38" i="1"/>
  <c r="G32" i="1"/>
  <c r="G73" i="1" l="1"/>
  <c r="C13" i="2" l="1"/>
  <c r="G95" i="1"/>
  <c r="G91" i="1"/>
  <c r="G90" i="1"/>
  <c r="G89" i="1"/>
  <c r="G67" i="1"/>
  <c r="G66" i="1"/>
  <c r="G75" i="1" s="1"/>
  <c r="G78" i="1" s="1"/>
  <c r="G60" i="1"/>
  <c r="G57" i="1"/>
  <c r="G49" i="1"/>
  <c r="G47" i="1"/>
  <c r="G46" i="1"/>
  <c r="G39" i="1"/>
  <c r="G35" i="1"/>
  <c r="G26" i="1"/>
  <c r="G25" i="1"/>
  <c r="H88" i="5"/>
  <c r="H87" i="5"/>
  <c r="H86" i="5"/>
  <c r="H85" i="5"/>
  <c r="H84" i="5"/>
  <c r="H74" i="5"/>
  <c r="H75" i="5" s="1"/>
  <c r="G24" i="1"/>
  <c r="G20" i="1"/>
  <c r="G17" i="1"/>
  <c r="G44" i="1" l="1"/>
  <c r="G33" i="1"/>
  <c r="H89" i="5"/>
  <c r="G76" i="1"/>
  <c r="G86" i="1"/>
  <c r="G81" i="1"/>
  <c r="J13" i="6"/>
  <c r="G56" i="1"/>
  <c r="G20" i="6"/>
  <c r="J23" i="1" l="1"/>
  <c r="J22" i="1" s="1"/>
  <c r="D13" i="2" s="1"/>
  <c r="E13" i="2" s="1"/>
  <c r="J37" i="1"/>
  <c r="G54" i="1"/>
  <c r="G50" i="1"/>
  <c r="J10" i="1"/>
  <c r="H13" i="5"/>
  <c r="H14" i="5"/>
  <c r="H15" i="5"/>
  <c r="H12" i="5"/>
  <c r="J59" i="1" l="1"/>
  <c r="J88" i="1"/>
  <c r="D16" i="2" s="1"/>
  <c r="I16" i="2" s="1"/>
  <c r="J65" i="1"/>
  <c r="H16" i="5"/>
  <c r="D11" i="2"/>
  <c r="J79" i="1"/>
  <c r="J70" i="1"/>
  <c r="H66" i="5"/>
  <c r="H65" i="5"/>
  <c r="H64" i="5"/>
  <c r="H63" i="5"/>
  <c r="H62" i="5"/>
  <c r="H55" i="5"/>
  <c r="H54" i="5"/>
  <c r="H53" i="5"/>
  <c r="H52" i="5"/>
  <c r="H51" i="5"/>
  <c r="F36" i="5"/>
  <c r="H36" i="5" s="1"/>
  <c r="H41" i="5"/>
  <c r="H40" i="5"/>
  <c r="H43" i="5"/>
  <c r="H42" i="5"/>
  <c r="H38" i="5"/>
  <c r="H37" i="5"/>
  <c r="H24" i="5"/>
  <c r="H25" i="5"/>
  <c r="H26" i="5"/>
  <c r="H27" i="5"/>
  <c r="H28" i="5"/>
  <c r="H23" i="5"/>
  <c r="J48" i="1" l="1"/>
  <c r="J36" i="1" s="1"/>
  <c r="J12" i="1"/>
  <c r="J58" i="1"/>
  <c r="H67" i="5"/>
  <c r="E11" i="2"/>
  <c r="I11" i="2"/>
  <c r="H11" i="2"/>
  <c r="G11" i="2"/>
  <c r="F11" i="2"/>
  <c r="H56" i="5"/>
  <c r="D14" i="2"/>
  <c r="H44" i="5"/>
  <c r="H29" i="5"/>
  <c r="H48" i="6"/>
  <c r="I47" i="6"/>
  <c r="I48" i="6" s="1"/>
  <c r="D47" i="6"/>
  <c r="C47" i="6"/>
  <c r="G47" i="6" s="1"/>
  <c r="G48" i="6" s="1"/>
  <c r="I41" i="6"/>
  <c r="F40" i="6"/>
  <c r="D40" i="6"/>
  <c r="J32" i="6"/>
  <c r="C32" i="6"/>
  <c r="H31" i="6"/>
  <c r="K31" i="6" s="1"/>
  <c r="K32" i="6" s="1"/>
  <c r="F31" i="6"/>
  <c r="G31" i="6" s="1"/>
  <c r="G32" i="6" s="1"/>
  <c r="F20" i="6"/>
  <c r="I14" i="6"/>
  <c r="H13" i="6"/>
  <c r="H14" i="6" s="1"/>
  <c r="D13" i="6"/>
  <c r="G13" i="6" s="1"/>
  <c r="G14" i="6" s="1"/>
  <c r="D19" i="4"/>
  <c r="D24" i="4" s="1"/>
  <c r="J9" i="1" l="1"/>
  <c r="F14" i="2"/>
  <c r="G14" i="2"/>
  <c r="D12" i="2"/>
  <c r="D15" i="2"/>
  <c r="H32" i="6"/>
  <c r="H20" i="6"/>
  <c r="J20" i="6" s="1"/>
  <c r="J21" i="6" s="1"/>
  <c r="G21" i="6"/>
  <c r="I32" i="6"/>
  <c r="G40" i="6"/>
  <c r="G41" i="6" s="1"/>
  <c r="H40" i="6"/>
  <c r="H41" i="6" s="1"/>
  <c r="F47" i="6"/>
  <c r="F48" i="6" s="1"/>
  <c r="J40" i="6"/>
  <c r="J41" i="6" s="1"/>
  <c r="F41" i="6"/>
  <c r="J14" i="6"/>
  <c r="D21" i="4"/>
  <c r="I12" i="2" l="1"/>
  <c r="F12" i="2"/>
  <c r="H12" i="2"/>
  <c r="G12" i="2"/>
  <c r="E12" i="2"/>
  <c r="G15" i="2"/>
  <c r="H15" i="2"/>
  <c r="I15" i="2"/>
  <c r="D17" i="2"/>
  <c r="H21" i="6"/>
  <c r="G17" i="2" l="1"/>
  <c r="G18" i="2" s="1"/>
  <c r="H17" i="2"/>
  <c r="H18" i="2" s="1"/>
  <c r="I17" i="2"/>
  <c r="I18" i="2" s="1"/>
  <c r="F17" i="2"/>
  <c r="F18" i="2" s="1"/>
  <c r="E17" i="2"/>
  <c r="E18" i="2" s="1"/>
  <c r="D18" i="2" l="1"/>
</calcChain>
</file>

<file path=xl/sharedStrings.xml><?xml version="1.0" encoding="utf-8"?>
<sst xmlns="http://schemas.openxmlformats.org/spreadsheetml/2006/main" count="824" uniqueCount="413">
  <si>
    <t>PLANILHA ORÇAMENTÁRIA GLOBAL</t>
  </si>
  <si>
    <t xml:space="preserve">BDI </t>
  </si>
  <si>
    <t>DATA BASE</t>
  </si>
  <si>
    <t>Vigas</t>
  </si>
  <si>
    <t>km</t>
  </si>
  <si>
    <t>Concreto</t>
  </si>
  <si>
    <t>Item</t>
  </si>
  <si>
    <t>Código</t>
  </si>
  <si>
    <t>Banco</t>
  </si>
  <si>
    <t>Descrição</t>
  </si>
  <si>
    <t>Unid</t>
  </si>
  <si>
    <t>Quant.</t>
  </si>
  <si>
    <t>Valor Unit</t>
  </si>
  <si>
    <t>Total</t>
  </si>
  <si>
    <t>SERVIÇOS TÉCNICOS</t>
  </si>
  <si>
    <t>1.1</t>
  </si>
  <si>
    <t>SICRO3</t>
  </si>
  <si>
    <t>SERVIÇOS INICIAIS</t>
  </si>
  <si>
    <t>2.1</t>
  </si>
  <si>
    <t>2.2</t>
  </si>
  <si>
    <t>2.3</t>
  </si>
  <si>
    <t>SINAPI</t>
  </si>
  <si>
    <t>2.4</t>
  </si>
  <si>
    <t>2.6</t>
  </si>
  <si>
    <t>2.7</t>
  </si>
  <si>
    <t>INFRAESTRUTURA</t>
  </si>
  <si>
    <t>3.1</t>
  </si>
  <si>
    <t>m²</t>
  </si>
  <si>
    <t>MESOESTRUTURA</t>
  </si>
  <si>
    <t>4.1</t>
  </si>
  <si>
    <t>4.1.1</t>
  </si>
  <si>
    <t>4.1.2</t>
  </si>
  <si>
    <t>4.1.3</t>
  </si>
  <si>
    <t>4.1.4</t>
  </si>
  <si>
    <t>4.1.5</t>
  </si>
  <si>
    <t>m³</t>
  </si>
  <si>
    <t>4.2</t>
  </si>
  <si>
    <t>4.2.1</t>
  </si>
  <si>
    <t>4.2.2</t>
  </si>
  <si>
    <t>4.2.3</t>
  </si>
  <si>
    <t>4.2.4</t>
  </si>
  <si>
    <t>SUPERESTRUTURA</t>
  </si>
  <si>
    <t>5.2</t>
  </si>
  <si>
    <t>LAJE</t>
  </si>
  <si>
    <t>PINTURA COM TINTA ALQUÍDICA DE FUNDO E ACABAMENTO (ESMALTE SINTÉTICO GRAFITE) PULVERIZADA SOBRE SUPERFÍCIES METÁLICAS</t>
  </si>
  <si>
    <t>ACABAMENTOS E OBRAS COMPLEMENTARES</t>
  </si>
  <si>
    <t>LIMPEZA DE SUPERFÍCIE COM JATO DE ALTA PRESSÃO. AF_04/2019</t>
  </si>
  <si>
    <t>M2</t>
  </si>
  <si>
    <t>Observação: os serviços de aterro, reaterro e escavação mecânica serão executados pela Prefeitura Municipal.</t>
  </si>
  <si>
    <t>m</t>
  </si>
  <si>
    <t>Valor Unit
com BDI</t>
  </si>
  <si>
    <t>un</t>
  </si>
  <si>
    <t>M</t>
  </si>
  <si>
    <t>CHP</t>
  </si>
  <si>
    <t>H</t>
  </si>
  <si>
    <t>kg</t>
  </si>
  <si>
    <t>Carga, manobra e descarga de concreto com caminhão betoneira - carga em central de concreto de 30 m³/h e descarga livre</t>
  </si>
  <si>
    <t>t</t>
  </si>
  <si>
    <t>Transporte com caminhão betoneira - rodovia em leito natural</t>
  </si>
  <si>
    <t>tkm</t>
  </si>
  <si>
    <t>Transporte com caminhão betoneira - rodovia pavimentada</t>
  </si>
  <si>
    <t>Plataforma de trabalho em madeira apoiada no solo - altura de até 6 m - utilização de 5 vezes - confecção, instalação e retirada</t>
  </si>
  <si>
    <t>dm³</t>
  </si>
  <si>
    <t>Carga, descarga e manobra de vigas pré-moldadas de até 500 kN em cavalo mecânico com dolly de 4 eixos com capacidade de 57 t</t>
  </si>
  <si>
    <t>Transporte em cavalo mecânico com dolly de 4 eixos com capacidade de 57 t - rodovia em leito natural</t>
  </si>
  <si>
    <t>Transporte em cavalo mecânico com dolly de 4 eixos com capacidade de 57 t - rodovia pavimentada</t>
  </si>
  <si>
    <t>Lançamento de viga pré-moldada de até 500 kN com utilização de guindaste</t>
  </si>
  <si>
    <t>Lançamento de pré-laje com utilização de guindauto</t>
  </si>
  <si>
    <t>Dreno de PVC D = 100 mm para OAE - fornecimento e instalação</t>
  </si>
  <si>
    <t>TOTAL</t>
  </si>
  <si>
    <t>CRONOGRAMA FÍSICO FINANCEIRO</t>
  </si>
  <si>
    <t>ITEM</t>
  </si>
  <si>
    <t xml:space="preserve">DESCRIÇÃO </t>
  </si>
  <si>
    <t>TOTAIS</t>
  </si>
  <si>
    <t>ETAPA 1</t>
  </si>
  <si>
    <t>ETAPA 2</t>
  </si>
  <si>
    <t>ETAPA 3</t>
  </si>
  <si>
    <t>ETAPA 4</t>
  </si>
  <si>
    <t>%</t>
  </si>
  <si>
    <t>Ponte Rio Brasil 20,00x6,00x3,50m</t>
  </si>
  <si>
    <t>DMT - Distâncias Médias de Transporte</t>
  </si>
  <si>
    <t>Transporte de concreto</t>
  </si>
  <si>
    <t>Tipo Rodovia</t>
  </si>
  <si>
    <t>Pavimentada</t>
  </si>
  <si>
    <t>Leito Natural</t>
  </si>
  <si>
    <t>DETALHAMENTO DO BDI</t>
  </si>
  <si>
    <t>Conforme legislação tributária municipal, definir estimativa de percentual da base de cálculo para o ISS:</t>
  </si>
  <si>
    <t>Sobre a base de cálculo, definir a respectiva alíquota do ISS (entre 2% e 5%)</t>
  </si>
  <si>
    <t>PARCELAS DO BDI</t>
  </si>
  <si>
    <t>VALORES PERCENTUAIS ADOTADOS</t>
  </si>
  <si>
    <t>LIMITES DAS PARCELAS DO BDI PARA OBRAS DESTE TIPO. ACÓRDÃO TCU 2622/2013</t>
  </si>
  <si>
    <t>Min.</t>
  </si>
  <si>
    <t>Med.</t>
  </si>
  <si>
    <t>Máx.</t>
  </si>
  <si>
    <t>(AC) - Administração Central</t>
  </si>
  <si>
    <t>(R) - Riscos</t>
  </si>
  <si>
    <t>(S) + (G) - Seguro e Garantia</t>
  </si>
  <si>
    <t>(DF) - Despesas Financeiras</t>
  </si>
  <si>
    <t>(L) - Lucro</t>
  </si>
  <si>
    <t>(I1) - PIS</t>
  </si>
  <si>
    <t>(I2) - COFINS</t>
  </si>
  <si>
    <t>(I2) - ISS</t>
  </si>
  <si>
    <t>(I4) - Contribuição Previdenciária)</t>
  </si>
  <si>
    <t>BDI % =</t>
  </si>
  <si>
    <t>VALOR PARA SIMPLES CONFERÊNCIA DO ENQUADRAMENTO DO BDI NOS LIMITES ESTABELECIDOS PELO ACÓRDÃO TCU 2622/2013</t>
  </si>
  <si>
    <t>BDI desconsiderando a parcela (I4) contribuição previdenciária</t>
  </si>
  <si>
    <t>DECLARAÇÕES</t>
  </si>
  <si>
    <t>DECLARO que o percentual de encargos sociais utilizados no valor da mão-de-obra do orçamento são os encargos sociais praticados pelo SINAPI e/ou SICRO.</t>
  </si>
  <si>
    <t>COMPOSIÇÃO PRÓPRIA</t>
  </si>
  <si>
    <t>CODIGO DA COMPOSICAO:</t>
  </si>
  <si>
    <t>DATA-BASE:</t>
  </si>
  <si>
    <t>DESCRICAO DA COMPOSICAO:</t>
  </si>
  <si>
    <t>UNIDADE:</t>
  </si>
  <si>
    <t>DESCRIÇÃO ITEM</t>
  </si>
  <si>
    <t>UNIDADE ITEM</t>
  </si>
  <si>
    <t>COEFICIENTE</t>
  </si>
  <si>
    <t>PRECO UNITARIO</t>
  </si>
  <si>
    <t>CUSTO TOTAL</t>
  </si>
  <si>
    <t>VALOR TOTAL</t>
  </si>
  <si>
    <t>Comprimento</t>
  </si>
  <si>
    <t>Largura</t>
  </si>
  <si>
    <t>Altura</t>
  </si>
  <si>
    <t>Quantidade</t>
  </si>
  <si>
    <t>Forma</t>
  </si>
  <si>
    <t>Aço CA-50</t>
  </si>
  <si>
    <t>(C) m</t>
  </si>
  <si>
    <t>(L) m</t>
  </si>
  <si>
    <t>(H) m</t>
  </si>
  <si>
    <t>(Q)</t>
  </si>
  <si>
    <t>Plataforma</t>
  </si>
  <si>
    <t>ALAS</t>
  </si>
  <si>
    <t>Área de Corte</t>
  </si>
  <si>
    <t>Perímetro de forma</t>
  </si>
  <si>
    <t>Espessura</t>
  </si>
  <si>
    <t>(A) m</t>
  </si>
  <si>
    <t>E (m)</t>
  </si>
  <si>
    <t>Alas</t>
  </si>
  <si>
    <t>NEOPRENE</t>
  </si>
  <si>
    <t>Volume unit.</t>
  </si>
  <si>
    <t>Volume total</t>
  </si>
  <si>
    <t>Peso específico</t>
  </si>
  <si>
    <t>Peso total</t>
  </si>
  <si>
    <t>kg/dm³</t>
  </si>
  <si>
    <t>Neoprene</t>
  </si>
  <si>
    <t>VIGAS PRÉ MOLDADAS</t>
  </si>
  <si>
    <t>Peso Concreto (Pcs) =</t>
  </si>
  <si>
    <t>t/m³</t>
  </si>
  <si>
    <t>Área de corte</t>
  </si>
  <si>
    <t>Cordoalhas</t>
  </si>
  <si>
    <t>Peso transporte</t>
  </si>
  <si>
    <t>(P) m</t>
  </si>
  <si>
    <t>Ancoragens ativas (un)</t>
  </si>
  <si>
    <t>PRÉ LAJES</t>
  </si>
  <si>
    <t>(m)</t>
  </si>
  <si>
    <t>(Unitário) t</t>
  </si>
  <si>
    <t>Pré Lajes Tipo 1</t>
  </si>
  <si>
    <t>Escoramento</t>
  </si>
  <si>
    <t>C (m)</t>
  </si>
  <si>
    <t>Laje</t>
  </si>
  <si>
    <t>2.5</t>
  </si>
  <si>
    <t>PREFEITURA MUNICIPAL DE FLORIANO PEIXOTO/RS</t>
  </si>
  <si>
    <t>CONSTRUÇÃO UMA PONTE EM CONCRETO ARMADO PROTENDIDO</t>
  </si>
  <si>
    <t>Erechim à Floriano Peixoto/RS</t>
  </si>
  <si>
    <t>Distância média dos grandes centros (Erechim/RS, Passo Fundo/RS e Chapecó/SC) a Floriano Peixoto/RS</t>
  </si>
  <si>
    <t>Transporte vigas longarinas e das Lajes pré-moldadas</t>
  </si>
  <si>
    <t>Angelica Gasparetto Sandri</t>
  </si>
  <si>
    <t>Engenheira Civil</t>
  </si>
  <si>
    <t>CREA RS 215.874</t>
  </si>
  <si>
    <t>TOMADOR: PREFEITURA MUNICIPAL DE FLORIANO PEIXOTO/RS</t>
  </si>
  <si>
    <t>MUNICÍPIO: FLORIANO PEIXOTO/RS</t>
  </si>
  <si>
    <t>DECLARO que, de acordo com a legislação tributária do municipio de FLORIANO PEIXOTO - RS, considerando a natureza da obra  acima discriminada, para cálculo do valor de ISS a ser cobrado da empresa construtora, é aplicada a aliquota de 5% sobre o valor total da obra.</t>
  </si>
  <si>
    <t>DECLARO que o orçamento da obra foi verificado com os custos nas duas possibilidades de CONTRIBUIÇÃO PREVIDENCIÁRIA e foi adotado a modalidade SEM DESONERAÇÃO por ser a mais adequada ao Tomador PREFEITURA MUNICIPAL DE FLORIANO PEIXOTO - RS.</t>
  </si>
  <si>
    <t>COMP.01</t>
  </si>
  <si>
    <t>ADMINISTRAÇÃO DE OBRA</t>
  </si>
  <si>
    <t>unidade</t>
  </si>
  <si>
    <t>Composição:</t>
  </si>
  <si>
    <t>CÓDIGO</t>
  </si>
  <si>
    <t>SARRAFO DE MADEIRA 2,5x7 cm</t>
  </si>
  <si>
    <t>CAIBRO 7,5x7,5 cm</t>
  </si>
  <si>
    <t>M²</t>
  </si>
  <si>
    <t>KG</t>
  </si>
  <si>
    <t>CARPINTEIRO</t>
  </si>
  <si>
    <t>SERVENTE</t>
  </si>
  <si>
    <t>Composição</t>
  </si>
  <si>
    <t>ENGENHEIRO CIVIL DE OBRA PLENO COM ENCARGOS COMPLEMENTARES</t>
  </si>
  <si>
    <t>COMP.02</t>
  </si>
  <si>
    <t>PLACA DE OBRA EM CHAPA GALVANIZADA</t>
  </si>
  <si>
    <t>Insumo</t>
  </si>
  <si>
    <t>PLACA DE OBRA EM CHAPA GALVANIZADA N 22</t>
  </si>
  <si>
    <t>PREÇO DE AÇO 18x30</t>
  </si>
  <si>
    <t>COMP.03</t>
  </si>
  <si>
    <t>LONGARINA DE CONCRETO ARMADO PRÉ-MOLDADO 0,25x0,70</t>
  </si>
  <si>
    <t>FABRICAÇÃO DE FORMA PARA VIGAS, EM CHAPA DE MADEIRA COMPENSADA RESINA E= 17 MM</t>
  </si>
  <si>
    <t>CONCRETO FCK 40 MPA, TRAÇO: 1:1,6:1,9, PREPARO MECÂNICO EM BETONEIRA</t>
  </si>
  <si>
    <t>LANÇAMENTO COM USO DE BALDES, ADENSAMENTO E ACABAMENTO DE CONCRETO EM ESTRUTURAS</t>
  </si>
  <si>
    <t>M³</t>
  </si>
  <si>
    <t>COMP.04</t>
  </si>
  <si>
    <t>PLACAS TRELICADAS PRÉ-MOLDADAS PARA PONTE</t>
  </si>
  <si>
    <t>FABRICAÇÃO DE FORMA PARA LAJES, EM CHAPA DE MADEIRA COMPENSADA RESINA E= 17 MM</t>
  </si>
  <si>
    <t>TRELICA NERVURADA (ESPAÇADOR), ALTURA 120 MM, DIAMETRO DOS BANZOS INFERIORES E SUPERIOR = 6,0 MM, DIAGONAL 4,0 MM</t>
  </si>
  <si>
    <t>ARMAÇÃO DE LAJE DE ESTRUTURA CONVENCIONAL DE CONCRETO ARMADO UTILIZANDO AÇO CA - 50 DE 8,0 MM - MONTAGEM</t>
  </si>
  <si>
    <t>CONCRETO FCK 30 MPA, TRAÇO: 1:2,1:2,5, PREPARO MECÂNICO EM BETONEIRA</t>
  </si>
  <si>
    <t>GUARDA RODAS</t>
  </si>
  <si>
    <t>COMP.05</t>
  </si>
  <si>
    <t>Comp.01</t>
  </si>
  <si>
    <t>-</t>
  </si>
  <si>
    <t>Comp.02</t>
  </si>
  <si>
    <t>FORNECIMENTO E INSTALAÇÃO DE SUPORTE DE MADEIRA PARA PLACAS DE SINALIZAÇÃO, EM SOLO, COM H= DE 2,0 M E SEÇÃO DE 7,5 X 7,5 CM</t>
  </si>
  <si>
    <t>LOCACAO DE CONTAINER 2,30 X 6,00 M, ALT. 2,50 M, PARA ESCRITORIO, SEM DIVISORIAS INTERNAS E SEM SANITARIO (NAO INCLUI MOBILIZACAO/DESMOBILIZACAO)</t>
  </si>
  <si>
    <t>mês</t>
  </si>
  <si>
    <t>LOCACAO DE CONTAINER 2,30 X 6,00 M, ALT. 2,50 M, PARA ESCRITORIO, SEM DIVISORIAS INTERNAS COM SANITARIO (NAO INCLUI MOBILIZACAO/DESMOBILIZACAO)</t>
  </si>
  <si>
    <t>TxKm</t>
  </si>
  <si>
    <t xml:space="preserve">TRANSPORTE COM CAMINHÃO CARROCERIA 9T, EM VIA URBANA PAVIMENTADA, ADICIONAL PARA DMT EXCEDENTE A 30 KM </t>
  </si>
  <si>
    <t>TRANSPORTE COM CAMINHÃO CARROCERIA 9T, EM LEITO NATURAL</t>
  </si>
  <si>
    <t>GRUPO GERADOR REBOCÁVEL, POTÊNCIA 66 KVA, MOTOR A DIESEL</t>
  </si>
  <si>
    <t>MONTAGEM E DESMONTAGEM DE FÔRMA DE VIGA, ESCORAMENTO COM PONTALETE DE
MADEIRA,  EM MADEIRA SERRADA, 4 UTILIZAÇÕES</t>
  </si>
  <si>
    <t>FABRICAÇÃO DE FÔRMA PARA VIGAS, EM CHAPA DE MADEIRA COMPENSADA PLASTIFICADA, E = 18 MM</t>
  </si>
  <si>
    <t>Kg</t>
  </si>
  <si>
    <t>ARMAÇÃO DE PILAR OU VIGA DE ESTRUTURA CONVENCIONAL DE CONCRETO ARMADO UTILIZANDO AÇO CA-60 DE 16,0 MM - MONTAGEM.</t>
  </si>
  <si>
    <t>ARMAÇÃO DE PILAR OU VIGA DE ESTRUTURA CONVENCIONAL DE CONCRETO ARMADO UTILIZANDO AÇO CA-60 DE 10,0 MM - MONTAGEM.</t>
  </si>
  <si>
    <t>CONCRETAGEM FCK 30 MPA, COM USO DE BOMBA - LANÇAMENTO, ADENSAMENTO E ACABAMENTO</t>
  </si>
  <si>
    <t>VIGAS PRÉ-MOLDADAS- LONGARINAS</t>
  </si>
  <si>
    <t>Comp.03</t>
  </si>
  <si>
    <t>PLACAS PRÉ-MOLDADAS TRELIÇADAS PARA LAJE</t>
  </si>
  <si>
    <t>VIGAS TRANSVERSINAS</t>
  </si>
  <si>
    <t>ALMOXARIFE COM ENCARGOS COMPLEMENTARES</t>
  </si>
  <si>
    <t>DESENHISTA PROJETISTA COM ENCARGOS COMPLEMENTARES</t>
  </si>
  <si>
    <t>ARMAÇÃO DE PILAR OU VIGA DE ESTRUTURA CONVENCIONAL DE CONCRETO ARMADO UTILIZANDO AÇO CA-50 DE 6,3 MM - MONTAGEM</t>
  </si>
  <si>
    <t>ARMAÇÃO DE PILAR OU VIGA DE ESTRUTURA CONVENCIONAL DE CONCRETO ARMADO UTILIZANDO AÇO CA-50 DE 16,0 MM - MONTAGEM</t>
  </si>
  <si>
    <t>ARMAÇÃO DE PILAR OU VIGA DE ESTRUTURA CONVENCIONAL DE CONCRETO ARMADO UTILIZANDO AÇO CA-50 DE 12,5 MM - MONTAGEM</t>
  </si>
  <si>
    <t>ARMAÇÃO DE PILAR OU VIGA DE ESTRUTURA CONVENCIONAL DE CONCRETO ARMADO UTILIZANDO AÇO CA-50 DE 25,0 MM - MONTAGEM</t>
  </si>
  <si>
    <t>ARMAÇÃO DE PILAR OU VIGA DE ESTRUTURA CONVENCIONAL DE CONCRETO ARMADO UTILIZANDO AÇO CA-50 DE 8,0 MM - MONTAGEM</t>
  </si>
  <si>
    <t>ARMAÇÃO DE PILAR OU VIGA DE ESTRUTURA CONVENCIONAL DE CONCRETO ARMADO UTILIZANDO AÇO CA-50 DE 10,0 MM - MONTAGEM</t>
  </si>
  <si>
    <t>ARMAÇÃO DE PILAR OU VIGA DE ESTRUTURA CONVENCIONAL DE CONCRETO ARMADO UTILIZANDO AÇO CA-60 DE 8,0 MM - MONTAGEM.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</si>
  <si>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</si>
  <si>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</si>
  <si>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</si>
  <si>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</si>
  <si>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</si>
  <si>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</si>
  <si>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</si>
  <si>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</si>
  <si>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</si>
  <si>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Comp.04</t>
  </si>
  <si>
    <t>Placas treliçadas pré-moldadas para ponte</t>
  </si>
  <si>
    <t>TRANSPORTE COM CAMINHÃO CARROCERIA 9T, EM VIA URBANA PAVIMENTADA, ADICIONAL PARA DMT EXCEDENTE A 30 KM</t>
  </si>
  <si>
    <t>FABRICAÇÃO DE FÔRMA PARA LAJES, EM CHAPA DE MADEIRA COMPENSADA PLASTIFICADA, E = 18 MM</t>
  </si>
  <si>
    <t>MONTAGEM E DESMONTAGEM DE FÔRMA DE LAJE
MADEIRA,  EM MADEIRA SERRADA, 4 UTILIZAÇÕES</t>
  </si>
  <si>
    <t>ARMAÇÃO DE LAJE DE ESTRUTURA CONVENCIONAL DE CONCRETO ARMADO UTILIZANDO AÇO CA-50 DE 8,0 MM - MONTAGEM</t>
  </si>
  <si>
    <t>ARMAÇÃO DE LAJE DE ESTRUTURA CONVENCIONAL DE CONCRETO ARMADO UTILIZANDO AÇO CA-50 DE 5,0 MM - MONTAGEM</t>
  </si>
  <si>
    <t>5.1</t>
  </si>
  <si>
    <t>5.3</t>
  </si>
  <si>
    <t>5.4</t>
  </si>
  <si>
    <t>Comp.05</t>
  </si>
  <si>
    <t>Guarda rodas</t>
  </si>
  <si>
    <t>SINAPI-I</t>
  </si>
  <si>
    <t>PLACA DE SINALIZACAO EM CHAPA DE ACO NUM 16 COM PINTURA REFLETIVA</t>
  </si>
  <si>
    <t>3.1.10</t>
  </si>
  <si>
    <t>Distância de Floriano Peixoto/RS até a Ponte do Rio Abaúna</t>
  </si>
  <si>
    <t>Ponte sobre o Rio Abaúna 24,00 x 6,00 m</t>
  </si>
  <si>
    <t>2.8</t>
  </si>
  <si>
    <t>2.9</t>
  </si>
  <si>
    <t>LOCAÇÃO CONVENCIONAL DE OBRA, UTILIZANDO GABARITO DE TÁBUAS CORRIDAS PONTALEADAS A CADA 2,00 M</t>
  </si>
  <si>
    <t>TOPOGRAFO COM ENCARGOS COMPLEMENTARES</t>
  </si>
  <si>
    <t>FUNDAÇÕES</t>
  </si>
  <si>
    <t>CONSTRUÇÃO DE UMA PONTE EM CONCRETO SOBRE O RIO ABAÚNA</t>
  </si>
  <si>
    <t>ESCAVAÇÃO MANUAL PARA BLOCO DE COROAMENTO OU SAPATA (INCLUINDO ESCAVAÇÃO PARA COLOCAÇÃO DE FÔRMAS</t>
  </si>
  <si>
    <t>m3</t>
  </si>
  <si>
    <t>COMP.06</t>
  </si>
  <si>
    <t>ENSECADEIRAS DE MADEIRA</t>
  </si>
  <si>
    <t>FABRICAÇÃO, MONTAGEM E DESMONTAGEM DE FÔRMA PARA BLOCO DE COROAMENTO, EM MADEIRA SERRADA, E=25 MM, 1 UTILIZAÇÃO</t>
  </si>
  <si>
    <t>COMP.07</t>
  </si>
  <si>
    <t>ENSECADEIRAS DE CONCRETO ARMADO</t>
  </si>
  <si>
    <t>TELA DE ACO SOLDADA NERVURADA, CA-60, Q-196, (3,11 KG/M2), DIAMETRO DO FIO = 5,0 MM, LARGURA = 2,45 M, ESPACAMENTO DA MALHA = 10 X 10 CM</t>
  </si>
  <si>
    <t>Comp.06</t>
  </si>
  <si>
    <t>m2</t>
  </si>
  <si>
    <t>Comp.07</t>
  </si>
  <si>
    <t>3.1.11</t>
  </si>
  <si>
    <t>3.1.12</t>
  </si>
  <si>
    <t>PILARES DE CONCRETO ARMADO</t>
  </si>
  <si>
    <t>FABRICAÇÃO DE FÔRMA PARA PILARES, EM CHAPA DE MADEIRA COMPENSADA PLASTIFICADA, E = 18 MM</t>
  </si>
  <si>
    <t>MONTAGEM E DESMONTAGEM DE FÔRMA DE VIGA, ESCORAMENTO COM PONTALETE DE
MADEIRA,  EM MADEIRA SERRADA, 2 UTILIZAÇÕES</t>
  </si>
  <si>
    <t>4.1.6</t>
  </si>
  <si>
    <t>4.1.7</t>
  </si>
  <si>
    <t>4.1.8</t>
  </si>
  <si>
    <t>4.1.9</t>
  </si>
  <si>
    <t>4.2.5</t>
  </si>
  <si>
    <t>4.2.6</t>
  </si>
  <si>
    <t>4.2.7</t>
  </si>
  <si>
    <t>4.2.8</t>
  </si>
  <si>
    <t>4.2.9</t>
  </si>
  <si>
    <t>5.1.1</t>
  </si>
  <si>
    <t>5.1.2</t>
  </si>
  <si>
    <t>5.1.3</t>
  </si>
  <si>
    <t>5.1.4</t>
  </si>
  <si>
    <t>5.1.5</t>
  </si>
  <si>
    <t>5.2.1</t>
  </si>
  <si>
    <t>5.2.2</t>
  </si>
  <si>
    <t>5.2.3</t>
  </si>
  <si>
    <t>5.2.4</t>
  </si>
  <si>
    <t>LAJE - CAPEAMENTO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</si>
  <si>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</si>
  <si>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</si>
  <si>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</si>
  <si>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</si>
  <si>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</si>
  <si>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</si>
  <si>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</si>
  <si>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</si>
  <si>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5.4.1</t>
  </si>
  <si>
    <t>5.4.2</t>
  </si>
  <si>
    <t>5.4.3</t>
  </si>
  <si>
    <t>5.4.4</t>
  </si>
  <si>
    <t>5.4.5</t>
  </si>
  <si>
    <t>5.4.6</t>
  </si>
  <si>
    <t>5.4.7</t>
  </si>
  <si>
    <t>6.1</t>
  </si>
  <si>
    <t>6.2</t>
  </si>
  <si>
    <t>6.3</t>
  </si>
  <si>
    <t>6.4</t>
  </si>
  <si>
    <t>6.5</t>
  </si>
  <si>
    <t>6.6</t>
  </si>
  <si>
    <t>6.7</t>
  </si>
  <si>
    <t>ETAPA 5</t>
  </si>
  <si>
    <t>CABECEIRAS DE CONCRETO ARMADO/CORTINAS</t>
  </si>
  <si>
    <t>4.1.10</t>
  </si>
  <si>
    <t>ARMAÇÃO DE PILAR OU VIGA DE ESTRUTURA CONVENCIONAL DE CONCRETO ARMADO UTILIZANDO AÇO CA-60 DE 12,5 MM - MONTAGEM.</t>
  </si>
  <si>
    <t>5.4.8</t>
  </si>
  <si>
    <t>ENCARREGADO GERAL DE OBRAS COM ENCARGOS COMPLEMENTARES</t>
  </si>
  <si>
    <t>MÊS</t>
  </si>
  <si>
    <t>Endereço: Comunidade São Miguel, interior de Floriano Peixoto/RS</t>
  </si>
  <si>
    <t>CONSTRUÇÃO UMA PONTE EM CONCRETO ARMADO SOBRE O RIO ABAÚNA, COM. SÃO MIGUEL</t>
  </si>
  <si>
    <t>Floriano Peixoto/RS, 02 de setembro de 2026.</t>
  </si>
  <si>
    <t>OBRA: CONSTRUÇÃO DE UMA PONTE DE CONCRETO ARMADO SOBRE O RIO ABAÚNA, COM. SÃO MIGUEL</t>
  </si>
  <si>
    <t>CONSTRUÇÃO DE UMA PONTE EM CONCRETO ARMADO SOBRE O RIO ABAUNA, SÃO MIGUEL</t>
  </si>
  <si>
    <t>Floriano Peixoto/RS, 02 de setembro de 2026</t>
  </si>
  <si>
    <t>ESGOTAMENTO COM BOMBA SUBMERSÍVEL</t>
  </si>
  <si>
    <t>MARTELO PERFURADOR PNEUMÁTICO MANUAL, HASTE 19 X 108 MM, 11 KG - CHP DIURNO.</t>
  </si>
  <si>
    <t>GUARDA-CORPO DE AÇO GALVANIZADO COMPLEMENTAR À ALVENARIA, 0,65 M DE ALTURA, MONTANTES TUBULARES DE 1 1/4" ESPAÇADOS DE 1,80 M, TRAVESSA SUPERIOR DE 1 1/2", GRADIL FORMADO POR TUBOS HORIZONTAIS DE 1" E VERTICAIS DE 3/4", FIXADO COM ADESIVO ESTRUTURAL EPÓXI. AF_10/2025</t>
  </si>
  <si>
    <t>ESTADO DO RIO GRANDE DO SUL
PREFEITURA MUNICIPAL DE FLORIANO PEIXOTO</t>
  </si>
  <si>
    <t>ENCARGOS SOCIAIS SOBRE A MÃO DE OBRA ( SINAPI 01/2025)</t>
  </si>
  <si>
    <t>DESCRIÇÃO</t>
  </si>
  <si>
    <r>
      <rPr>
        <b/>
        <sz val="12"/>
        <rFont val="Arial"/>
        <family val="2"/>
        <charset val="1"/>
      </rPr>
      <t>COM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>DESONERAÇÃO</t>
    </r>
  </si>
  <si>
    <r>
      <rPr>
        <b/>
        <sz val="12"/>
        <rFont val="Arial"/>
        <family val="2"/>
        <charset val="1"/>
      </rPr>
      <t>SEM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>DESONERAÇÃO</t>
    </r>
  </si>
  <si>
    <t>HORISTA
%</t>
  </si>
  <si>
    <t>MENSALISTA
%</t>
  </si>
  <si>
    <r>
      <rPr>
        <b/>
        <sz val="12"/>
        <rFont val="Arial"/>
        <family val="2"/>
        <charset val="1"/>
      </rPr>
      <t>GRUPO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>A</t>
    </r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</si>
  <si>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</si>
  <si>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</si>
  <si>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</si>
  <si>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</si>
  <si>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</si>
  <si>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</si>
  <si>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</si>
  <si>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</si>
  <si>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</si>
  <si>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</si>
  <si>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</si>
  <si>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</si>
  <si>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</si>
  <si>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</si>
  <si>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</si>
  <si>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</si>
  <si>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</si>
  <si>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</si>
  <si>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</si>
  <si>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r>
      <rPr>
        <b/>
        <sz val="12"/>
        <rFont val="Arial"/>
        <family val="2"/>
        <charset val="1"/>
      </rPr>
      <t>GRUPO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>B</t>
    </r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</si>
  <si>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</si>
  <si>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</si>
  <si>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</si>
  <si>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</si>
  <si>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</si>
  <si>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</si>
  <si>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</si>
  <si>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</si>
  <si>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</si>
  <si>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</si>
  <si>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</si>
  <si>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</si>
  <si>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</si>
  <si>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</si>
  <si>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</si>
  <si>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</si>
  <si>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</si>
  <si>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</si>
  <si>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</si>
  <si>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</si>
  <si>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</si>
  <si>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</si>
  <si>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r>
      <rPr>
        <b/>
        <sz val="12"/>
        <rFont val="Arial"/>
        <family val="2"/>
        <charset val="1"/>
      </rPr>
      <t>GRUPO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>C</t>
    </r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</si>
  <si>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</si>
  <si>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</si>
  <si>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</si>
  <si>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</si>
  <si>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</si>
  <si>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</si>
  <si>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</si>
  <si>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</si>
  <si>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</si>
  <si>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</si>
  <si>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</si>
  <si>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r>
      <rPr>
        <b/>
        <sz val="12"/>
        <rFont val="Arial"/>
        <family val="2"/>
        <charset val="1"/>
      </rPr>
      <t>GRUPO</t>
    </r>
    <r>
      <rPr>
        <sz val="12"/>
        <rFont val="Arial"/>
        <family val="2"/>
        <charset val="1"/>
      </rPr>
      <t xml:space="preserve"> </t>
    </r>
    <r>
      <rPr>
        <b/>
        <sz val="12"/>
        <rFont val="Arial"/>
        <family val="2"/>
        <charset val="1"/>
      </rPr>
      <t>D</t>
    </r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</si>
  <si>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</si>
  <si>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</si>
  <si>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</si>
  <si>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</si>
  <si>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</si>
  <si>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TOTAL(A+B+C+D)</t>
  </si>
  <si>
    <t>Angelica Gasparetto Sandri                                                                                                                                                                                                                                                                                                            Engenheira Civil - CREA RS 215.874</t>
  </si>
  <si>
    <t>Jair Antonio Ostrowski                                                                              Prefeito Municipal</t>
  </si>
  <si>
    <t>Floriano Peixoto/RS, 02 de setemrbo de 2026.</t>
  </si>
  <si>
    <t>valores</t>
  </si>
  <si>
    <t>Floriano Peixoto/RS, 02 de outubro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</si>
</sst>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0.00000"/>
    <numFmt numFmtId="166" formatCode="0.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sz val="12.5"/>
      <name val="Calibri"/>
      <family val="2"/>
      <scheme val="minor"/>
    </font>
    <font>
      <i/>
      <sz val="12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b/>
      <sz val="8"/>
      <color indexed="8"/>
      <name val="Arial"/>
      <family val="2"/>
    </font>
    <font>
      <b/>
      <sz val="11"/>
      <color rgb="FF000000"/>
      <name val="Arial"/>
      <family val="2"/>
    </font>
    <font>
      <sz val="8"/>
      <color indexed="8"/>
      <name val="Arial"/>
      <family val="2"/>
    </font>
    <font>
      <i/>
      <sz val="11"/>
      <color rgb="FF7F7F7F"/>
      <name val="Calibri"/>
      <family val="2"/>
      <scheme val="minor"/>
    </font>
    <font>
      <sz val="24"/>
      <color rgb="FF000000"/>
      <name val="Arial"/>
      <family val="2"/>
      <charset val="1"/>
    </font>
    <font>
      <b/>
      <sz val="16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4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rgb="FF00B050"/>
        <bgColor rgb="FF008080"/>
      </patternFill>
    </fill>
    <fill>
      <patternFill patternType="solid">
        <fgColor rgb="FF92D050"/>
        <bgColor rgb="FFBFBFBF"/>
      </patternFill>
    </fill>
  </fills>
  <borders count="3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rgb="FFCDCDCD"/>
      </left>
      <right style="thin">
        <color rgb="FFCDCDCD"/>
      </right>
      <top style="thin">
        <color rgb="FFCDCDCD"/>
      </top>
      <bottom style="thin">
        <color rgb="FFCDCDCD"/>
      </bottom>
      <diagonal/>
    </border>
    <border>
      <left style="thin">
        <color rgb="FFCDCDCD"/>
      </left>
      <right/>
      <top style="thin">
        <color rgb="FFCDCDCD"/>
      </top>
      <bottom style="thin">
        <color rgb="FFCDCDCD"/>
      </bottom>
      <diagonal/>
    </border>
    <border>
      <left/>
      <right/>
      <top style="thin">
        <color rgb="FFCDCDCD"/>
      </top>
      <bottom style="thin">
        <color rgb="FFCDCDCD"/>
      </bottom>
      <diagonal/>
    </border>
    <border>
      <left/>
      <right style="thin">
        <color rgb="FFCDCDCD"/>
      </right>
      <top style="thin">
        <color rgb="FFCDCDCD"/>
      </top>
      <bottom style="thin">
        <color rgb="FFCDCDCD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DCDCD"/>
      </left>
      <right style="thin">
        <color rgb="FFCDCDCD"/>
      </right>
      <top/>
      <bottom style="thin">
        <color rgb="FFCDCDCD"/>
      </bottom>
      <diagonal/>
    </border>
    <border>
      <left style="thin">
        <color rgb="FFCDCDCD"/>
      </left>
      <right style="thin">
        <color rgb="FFCDCDCD"/>
      </right>
      <top style="thin">
        <color rgb="FFCDCDCD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11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4" fillId="0" borderId="0"/>
    <xf numFmtId="0" fontId="28" fillId="0" borderId="0" applyNumberFormat="0" applyFill="0" applyBorder="0" applyAlignment="0" applyProtection="0"/>
  </cellStyleXfs>
  <cellXfs count="252">
    <xf numFmtId="0" fontId="0" fillId="0" borderId="0" xfId="0"/>
    <xf numFmtId="0" fontId="8" fillId="0" borderId="0" xfId="3" applyFont="1" applyAlignment="1">
      <alignment horizontal="left" vertical="top"/>
    </xf>
    <xf numFmtId="0" fontId="10" fillId="0" borderId="0" xfId="3" applyFont="1" applyAlignment="1">
      <alignment horizontal="left" vertical="top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left" vertical="center"/>
    </xf>
    <xf numFmtId="43" fontId="8" fillId="0" borderId="0" xfId="4" applyFont="1" applyFill="1" applyBorder="1" applyAlignment="1">
      <alignment horizontal="center" vertical="center"/>
    </xf>
    <xf numFmtId="44" fontId="8" fillId="0" borderId="0" xfId="5" applyFont="1" applyFill="1" applyBorder="1" applyAlignment="1">
      <alignment horizontal="left" vertical="center"/>
    </xf>
    <xf numFmtId="44" fontId="7" fillId="0" borderId="4" xfId="5" applyFont="1" applyFill="1" applyBorder="1" applyAlignment="1">
      <alignment horizontal="center" vertical="center"/>
    </xf>
    <xf numFmtId="10" fontId="7" fillId="0" borderId="4" xfId="6" applyNumberFormat="1" applyFont="1" applyFill="1" applyBorder="1" applyAlignment="1">
      <alignment horizontal="center" vertical="center"/>
    </xf>
    <xf numFmtId="17" fontId="7" fillId="0" borderId="4" xfId="6" quotePrefix="1" applyNumberFormat="1" applyFont="1" applyFill="1" applyBorder="1" applyAlignment="1">
      <alignment horizontal="center" vertical="center"/>
    </xf>
    <xf numFmtId="44" fontId="8" fillId="0" borderId="0" xfId="5" applyFont="1" applyFill="1" applyBorder="1" applyAlignment="1">
      <alignment horizontal="left" vertical="center" wrapText="1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left" vertical="top"/>
    </xf>
    <xf numFmtId="0" fontId="7" fillId="3" borderId="6" xfId="3" applyFont="1" applyFill="1" applyBorder="1" applyAlignment="1">
      <alignment horizontal="left" vertical="center" wrapText="1"/>
    </xf>
    <xf numFmtId="0" fontId="7" fillId="3" borderId="6" xfId="3" applyFont="1" applyFill="1" applyBorder="1" applyAlignment="1">
      <alignment horizontal="center" vertical="center" wrapText="1"/>
    </xf>
    <xf numFmtId="43" fontId="8" fillId="3" borderId="6" xfId="4" applyFont="1" applyFill="1" applyBorder="1" applyAlignment="1">
      <alignment horizontal="center" vertical="center" wrapText="1"/>
    </xf>
    <xf numFmtId="44" fontId="8" fillId="3" borderId="6" xfId="5" applyFont="1" applyFill="1" applyBorder="1" applyAlignment="1">
      <alignment horizontal="left" vertical="center" wrapText="1"/>
    </xf>
    <xf numFmtId="44" fontId="8" fillId="3" borderId="7" xfId="5" applyFont="1" applyFill="1" applyBorder="1" applyAlignment="1">
      <alignment horizontal="left" vertical="center" wrapText="1"/>
    </xf>
    <xf numFmtId="44" fontId="7" fillId="3" borderId="6" xfId="5" applyFont="1" applyFill="1" applyBorder="1" applyAlignment="1">
      <alignment horizontal="left" vertical="center" shrinkToFit="1"/>
    </xf>
    <xf numFmtId="164" fontId="8" fillId="3" borderId="6" xfId="3" applyNumberFormat="1" applyFont="1" applyFill="1" applyBorder="1" applyAlignment="1">
      <alignment horizontal="left" vertical="top" shrinkToFit="1"/>
    </xf>
    <xf numFmtId="1" fontId="8" fillId="3" borderId="6" xfId="3" applyNumberFormat="1" applyFont="1" applyFill="1" applyBorder="1" applyAlignment="1">
      <alignment horizontal="center" vertical="top" shrinkToFit="1"/>
    </xf>
    <xf numFmtId="0" fontId="8" fillId="3" borderId="6" xfId="3" applyFont="1" applyFill="1" applyBorder="1" applyAlignment="1">
      <alignment horizontal="center" vertical="top" wrapText="1"/>
    </xf>
    <xf numFmtId="0" fontId="8" fillId="3" borderId="6" xfId="3" applyFont="1" applyFill="1" applyBorder="1" applyAlignment="1">
      <alignment horizontal="left" vertical="center" wrapText="1"/>
    </xf>
    <xf numFmtId="43" fontId="8" fillId="3" borderId="6" xfId="4" applyFont="1" applyFill="1" applyBorder="1" applyAlignment="1">
      <alignment horizontal="center" vertical="center" shrinkToFit="1"/>
    </xf>
    <xf numFmtId="44" fontId="8" fillId="3" borderId="6" xfId="5" applyFont="1" applyFill="1" applyBorder="1" applyAlignment="1">
      <alignment horizontal="left" vertical="center" shrinkToFit="1"/>
    </xf>
    <xf numFmtId="44" fontId="8" fillId="3" borderId="7" xfId="5" applyFont="1" applyFill="1" applyBorder="1" applyAlignment="1">
      <alignment horizontal="left" vertical="center" shrinkToFit="1"/>
    </xf>
    <xf numFmtId="164" fontId="7" fillId="3" borderId="6" xfId="3" applyNumberFormat="1" applyFont="1" applyFill="1" applyBorder="1" applyAlignment="1">
      <alignment horizontal="left" vertical="top" shrinkToFit="1"/>
    </xf>
    <xf numFmtId="43" fontId="7" fillId="3" borderId="6" xfId="4" applyFont="1" applyFill="1" applyBorder="1" applyAlignment="1">
      <alignment horizontal="center" vertical="center" wrapText="1"/>
    </xf>
    <xf numFmtId="44" fontId="7" fillId="3" borderId="6" xfId="5" applyFont="1" applyFill="1" applyBorder="1" applyAlignment="1">
      <alignment horizontal="left" vertical="center" wrapText="1"/>
    </xf>
    <xf numFmtId="43" fontId="9" fillId="3" borderId="6" xfId="4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 wrapText="1"/>
    </xf>
    <xf numFmtId="43" fontId="7" fillId="5" borderId="6" xfId="4" applyFont="1" applyFill="1" applyBorder="1" applyAlignment="1">
      <alignment horizontal="center" vertical="center" wrapText="1"/>
    </xf>
    <xf numFmtId="44" fontId="7" fillId="5" borderId="6" xfId="5" applyFont="1" applyFill="1" applyBorder="1" applyAlignment="1">
      <alignment horizontal="left" vertical="center" wrapText="1"/>
    </xf>
    <xf numFmtId="44" fontId="7" fillId="5" borderId="7" xfId="5" applyFont="1" applyFill="1" applyBorder="1" applyAlignment="1">
      <alignment horizontal="left" vertical="center" wrapText="1"/>
    </xf>
    <xf numFmtId="44" fontId="7" fillId="5" borderId="6" xfId="5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10" xfId="0" applyFont="1" applyBorder="1"/>
    <xf numFmtId="0" fontId="14" fillId="0" borderId="0" xfId="0" applyFont="1"/>
    <xf numFmtId="0" fontId="15" fillId="0" borderId="0" xfId="0" applyFont="1"/>
    <xf numFmtId="0" fontId="4" fillId="2" borderId="0" xfId="7" applyFont="1" applyFill="1" applyAlignment="1">
      <alignment horizontal="left" vertical="center"/>
    </xf>
    <xf numFmtId="0" fontId="4" fillId="0" borderId="0" xfId="7" applyFont="1" applyAlignment="1">
      <alignment horizontal="left" vertical="top"/>
    </xf>
    <xf numFmtId="0" fontId="4" fillId="0" borderId="1" xfId="7" applyFont="1" applyBorder="1" applyAlignment="1">
      <alignment horizontal="left" vertical="top"/>
    </xf>
    <xf numFmtId="0" fontId="4" fillId="0" borderId="2" xfId="7" applyFont="1" applyBorder="1" applyAlignment="1">
      <alignment horizontal="left" vertical="top"/>
    </xf>
    <xf numFmtId="10" fontId="3" fillId="0" borderId="4" xfId="9" applyNumberFormat="1" applyFont="1" applyFill="1" applyBorder="1" applyAlignment="1">
      <alignment horizontal="center" vertical="top"/>
    </xf>
    <xf numFmtId="0" fontId="4" fillId="0" borderId="4" xfId="7" applyFont="1" applyBorder="1" applyAlignment="1">
      <alignment horizontal="center" vertical="top"/>
    </xf>
    <xf numFmtId="10" fontId="4" fillId="0" borderId="0" xfId="9" applyNumberFormat="1" applyFont="1" applyFill="1" applyBorder="1" applyAlignment="1">
      <alignment horizontal="center" vertical="top"/>
    </xf>
    <xf numFmtId="0" fontId="4" fillId="0" borderId="0" xfId="7" applyFont="1" applyAlignment="1">
      <alignment horizontal="left" vertical="center" wrapText="1"/>
    </xf>
    <xf numFmtId="0" fontId="4" fillId="0" borderId="4" xfId="7" applyFont="1" applyBorder="1" applyAlignment="1">
      <alignment horizontal="center" vertical="center"/>
    </xf>
    <xf numFmtId="0" fontId="3" fillId="0" borderId="0" xfId="7" applyFont="1" applyAlignment="1">
      <alignment horizontal="left" vertical="top"/>
    </xf>
    <xf numFmtId="0" fontId="8" fillId="0" borderId="0" xfId="0" applyFont="1" applyAlignment="1">
      <alignment horizontal="right"/>
    </xf>
    <xf numFmtId="0" fontId="17" fillId="0" borderId="0" xfId="0" applyFont="1"/>
    <xf numFmtId="0" fontId="18" fillId="0" borderId="0" xfId="0" applyFont="1"/>
    <xf numFmtId="0" fontId="7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44" fontId="18" fillId="0" borderId="0" xfId="1" applyFont="1" applyFill="1"/>
    <xf numFmtId="0" fontId="3" fillId="4" borderId="4" xfId="7" applyFont="1" applyFill="1" applyBorder="1" applyAlignment="1">
      <alignment horizontal="center" vertical="top"/>
    </xf>
    <xf numFmtId="0" fontId="8" fillId="3" borderId="20" xfId="3" applyFont="1" applyFill="1" applyBorder="1" applyAlignment="1">
      <alignment horizontal="left" vertical="center" wrapText="1"/>
    </xf>
    <xf numFmtId="0" fontId="7" fillId="3" borderId="21" xfId="3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/>
    </xf>
    <xf numFmtId="0" fontId="6" fillId="0" borderId="0" xfId="0" applyFont="1" applyAlignment="1">
      <alignment horizontal="left"/>
    </xf>
    <xf numFmtId="44" fontId="23" fillId="5" borderId="6" xfId="5" applyFont="1" applyFill="1" applyBorder="1" applyAlignment="1">
      <alignment horizontal="left" vertical="center" shrinkToFit="1"/>
    </xf>
    <xf numFmtId="0" fontId="7" fillId="0" borderId="0" xfId="3" applyFont="1" applyAlignment="1">
      <alignment vertical="center"/>
    </xf>
    <xf numFmtId="2" fontId="19" fillId="2" borderId="18" xfId="10" applyNumberFormat="1" applyFont="1" applyFill="1" applyBorder="1" applyAlignment="1">
      <alignment horizontal="center" vertical="center"/>
    </xf>
    <xf numFmtId="2" fontId="19" fillId="2" borderId="15" xfId="10" applyNumberFormat="1" applyFont="1" applyFill="1" applyBorder="1" applyAlignment="1">
      <alignment horizontal="center" vertical="center"/>
    </xf>
    <xf numFmtId="2" fontId="19" fillId="2" borderId="4" xfId="10" applyNumberFormat="1" applyFont="1" applyFill="1" applyBorder="1" applyAlignment="1">
      <alignment horizontal="center" vertical="center"/>
    </xf>
    <xf numFmtId="0" fontId="17" fillId="2" borderId="0" xfId="0" applyFont="1" applyFill="1"/>
    <xf numFmtId="2" fontId="19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2" fontId="19" fillId="2" borderId="0" xfId="10" applyNumberFormat="1" applyFont="1" applyFill="1" applyAlignment="1">
      <alignment horizontal="center" vertical="center"/>
    </xf>
    <xf numFmtId="2" fontId="19" fillId="2" borderId="0" xfId="0" quotePrefix="1" applyNumberFormat="1" applyFont="1" applyFill="1" applyAlignment="1">
      <alignment horizontal="center" vertical="center"/>
    </xf>
    <xf numFmtId="2" fontId="19" fillId="2" borderId="1" xfId="10" applyNumberFormat="1" applyFont="1" applyFill="1" applyBorder="1" applyAlignment="1">
      <alignment horizontal="center" vertical="center"/>
    </xf>
    <xf numFmtId="2" fontId="17" fillId="2" borderId="0" xfId="0" applyNumberFormat="1" applyFont="1" applyFill="1"/>
    <xf numFmtId="2" fontId="19" fillId="2" borderId="0" xfId="12" applyNumberFormat="1" applyFont="1" applyFill="1" applyBorder="1" applyAlignment="1">
      <alignment horizontal="center" vertical="center"/>
    </xf>
    <xf numFmtId="2" fontId="19" fillId="2" borderId="4" xfId="13" applyNumberFormat="1" applyFont="1" applyFill="1" applyBorder="1" applyAlignment="1">
      <alignment horizontal="center" vertical="center"/>
    </xf>
    <xf numFmtId="166" fontId="19" fillId="2" borderId="4" xfId="10" applyNumberFormat="1" applyFont="1" applyFill="1" applyBorder="1" applyAlignment="1">
      <alignment horizontal="center" vertical="center"/>
    </xf>
    <xf numFmtId="166" fontId="19" fillId="2" borderId="18" xfId="10" applyNumberFormat="1" applyFont="1" applyFill="1" applyBorder="1" applyAlignment="1">
      <alignment horizontal="center" vertical="center"/>
    </xf>
    <xf numFmtId="2" fontId="21" fillId="2" borderId="0" xfId="10" applyNumberFormat="1" applyFont="1" applyFill="1" applyAlignment="1">
      <alignment horizontal="center" vertical="center"/>
    </xf>
    <xf numFmtId="166" fontId="19" fillId="2" borderId="4" xfId="13" applyNumberFormat="1" applyFont="1" applyFill="1" applyBorder="1" applyAlignment="1">
      <alignment horizontal="center" vertical="center"/>
    </xf>
    <xf numFmtId="2" fontId="19" fillId="2" borderId="0" xfId="10" applyNumberFormat="1" applyFont="1" applyFill="1" applyAlignment="1">
      <alignment horizontal="left" vertical="center"/>
    </xf>
    <xf numFmtId="2" fontId="19" fillId="2" borderId="13" xfId="10" applyNumberFormat="1" applyFont="1" applyFill="1" applyBorder="1" applyAlignment="1">
      <alignment horizontal="center" vertical="center" wrapText="1"/>
    </xf>
    <xf numFmtId="2" fontId="19" fillId="2" borderId="17" xfId="10" applyNumberFormat="1" applyFont="1" applyFill="1" applyBorder="1" applyAlignment="1">
      <alignment horizontal="center" vertical="center" wrapText="1"/>
    </xf>
    <xf numFmtId="2" fontId="19" fillId="2" borderId="15" xfId="10" applyNumberFormat="1" applyFont="1" applyFill="1" applyBorder="1" applyAlignment="1">
      <alignment horizontal="center" vertical="center" wrapText="1"/>
    </xf>
    <xf numFmtId="2" fontId="19" fillId="2" borderId="18" xfId="10" applyNumberFormat="1" applyFont="1" applyFill="1" applyBorder="1" applyAlignment="1">
      <alignment horizontal="center" vertical="center" wrapText="1"/>
    </xf>
    <xf numFmtId="2" fontId="19" fillId="2" borderId="0" xfId="10" applyNumberFormat="1" applyFont="1" applyFill="1" applyAlignment="1">
      <alignment horizontal="center" vertical="center" wrapText="1"/>
    </xf>
    <xf numFmtId="2" fontId="20" fillId="2" borderId="0" xfId="10" applyNumberFormat="1" applyFont="1" applyFill="1" applyAlignment="1">
      <alignment horizontal="center" vertical="center"/>
    </xf>
    <xf numFmtId="2" fontId="20" fillId="2" borderId="4" xfId="10" applyNumberFormat="1" applyFont="1" applyFill="1" applyBorder="1" applyAlignment="1">
      <alignment horizontal="center" vertical="center"/>
    </xf>
    <xf numFmtId="2" fontId="19" fillId="2" borderId="19" xfId="10" applyNumberFormat="1" applyFont="1" applyFill="1" applyBorder="1" applyAlignment="1">
      <alignment horizontal="center" vertical="center" wrapText="1"/>
    </xf>
    <xf numFmtId="2" fontId="19" fillId="2" borderId="12" xfId="10" applyNumberFormat="1" applyFont="1" applyFill="1" applyBorder="1" applyAlignment="1">
      <alignment horizontal="center" vertical="center" wrapText="1"/>
    </xf>
    <xf numFmtId="2" fontId="19" fillId="2" borderId="12" xfId="1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/>
    </xf>
    <xf numFmtId="0" fontId="13" fillId="4" borderId="4" xfId="0" applyFont="1" applyFill="1" applyBorder="1" applyAlignment="1" applyProtection="1">
      <alignment horizontal="center" vertical="center"/>
      <protection locked="0"/>
    </xf>
    <xf numFmtId="0" fontId="13" fillId="4" borderId="4" xfId="0" applyFont="1" applyFill="1" applyBorder="1" applyAlignment="1">
      <alignment horizontal="center" vertical="center"/>
    </xf>
    <xf numFmtId="4" fontId="13" fillId="4" borderId="4" xfId="0" applyNumberFormat="1" applyFont="1" applyFill="1" applyBorder="1" applyAlignment="1" applyProtection="1">
      <alignment horizontal="center" vertical="center"/>
      <protection locked="0"/>
    </xf>
    <xf numFmtId="44" fontId="13" fillId="4" borderId="4" xfId="1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vertical="center"/>
    </xf>
    <xf numFmtId="44" fontId="13" fillId="4" borderId="4" xfId="1" applyFont="1" applyFill="1" applyBorder="1" applyAlignment="1" applyProtection="1">
      <alignment horizontal="right" vertical="center"/>
      <protection locked="0"/>
    </xf>
    <xf numFmtId="10" fontId="13" fillId="4" borderId="4" xfId="2" applyNumberFormat="1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left" vertical="center"/>
      <protection locked="0"/>
    </xf>
    <xf numFmtId="44" fontId="13" fillId="3" borderId="4" xfId="1" applyFont="1" applyFill="1" applyBorder="1" applyAlignment="1" applyProtection="1">
      <alignment horizontal="right" vertical="center"/>
      <protection locked="0"/>
    </xf>
    <xf numFmtId="44" fontId="22" fillId="3" borderId="4" xfId="1" applyFont="1" applyFill="1" applyBorder="1" applyAlignment="1" applyProtection="1">
      <alignment horizontal="right" vertical="center"/>
      <protection locked="0"/>
    </xf>
    <xf numFmtId="0" fontId="13" fillId="3" borderId="4" xfId="8" applyFont="1" applyFill="1" applyBorder="1" applyAlignment="1">
      <alignment horizontal="center" vertical="center"/>
    </xf>
    <xf numFmtId="0" fontId="13" fillId="3" borderId="4" xfId="0" applyFont="1" applyFill="1" applyBorder="1" applyAlignment="1" applyProtection="1">
      <alignment vertical="center"/>
      <protection locked="0"/>
    </xf>
    <xf numFmtId="0" fontId="7" fillId="4" borderId="4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15" xfId="7" applyFont="1" applyFill="1" applyBorder="1" applyAlignment="1">
      <alignment horizontal="left" vertical="center"/>
    </xf>
    <xf numFmtId="0" fontId="4" fillId="3" borderId="10" xfId="7" applyFont="1" applyFill="1" applyBorder="1" applyAlignment="1">
      <alignment horizontal="left" vertical="center"/>
    </xf>
    <xf numFmtId="0" fontId="4" fillId="3" borderId="10" xfId="7" applyFont="1" applyFill="1" applyBorder="1" applyAlignment="1">
      <alignment horizontal="left" vertical="top"/>
    </xf>
    <xf numFmtId="0" fontId="4" fillId="3" borderId="16" xfId="7" applyFont="1" applyFill="1" applyBorder="1" applyAlignment="1">
      <alignment horizontal="left" vertical="top"/>
    </xf>
    <xf numFmtId="0" fontId="12" fillId="4" borderId="4" xfId="0" applyFont="1" applyFill="1" applyBorder="1" applyAlignment="1">
      <alignment horizontal="left"/>
    </xf>
    <xf numFmtId="0" fontId="16" fillId="4" borderId="4" xfId="0" applyFont="1" applyFill="1" applyBorder="1" applyAlignment="1">
      <alignment horizontal="right"/>
    </xf>
    <xf numFmtId="0" fontId="12" fillId="4" borderId="4" xfId="0" applyFont="1" applyFill="1" applyBorder="1"/>
    <xf numFmtId="0" fontId="8" fillId="3" borderId="4" xfId="0" applyFont="1" applyFill="1" applyBorder="1" applyAlignment="1">
      <alignment horizontal="left" vertical="center" wrapText="1"/>
    </xf>
    <xf numFmtId="165" fontId="8" fillId="3" borderId="4" xfId="0" applyNumberFormat="1" applyFont="1" applyFill="1" applyBorder="1" applyAlignment="1">
      <alignment horizontal="left" vertical="center"/>
    </xf>
    <xf numFmtId="44" fontId="8" fillId="3" borderId="4" xfId="1" applyFont="1" applyFill="1" applyBorder="1" applyAlignment="1">
      <alignment horizontal="right" vertical="center"/>
    </xf>
    <xf numFmtId="0" fontId="16" fillId="4" borderId="4" xfId="0" applyFont="1" applyFill="1" applyBorder="1" applyAlignment="1">
      <alignment horizontal="center"/>
    </xf>
    <xf numFmtId="44" fontId="7" fillId="4" borderId="4" xfId="1" applyFont="1" applyFill="1" applyBorder="1" applyAlignment="1">
      <alignment horizontal="right" vertical="center"/>
    </xf>
    <xf numFmtId="0" fontId="4" fillId="0" borderId="0" xfId="7" applyFont="1" applyAlignment="1">
      <alignment horizontal="center" vertical="top"/>
    </xf>
    <xf numFmtId="0" fontId="4" fillId="0" borderId="0" xfId="7" applyFont="1" applyAlignment="1">
      <alignment vertical="top"/>
    </xf>
    <xf numFmtId="0" fontId="14" fillId="0" borderId="0" xfId="0" applyFont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3" borderId="10" xfId="7" applyFont="1" applyFill="1" applyBorder="1" applyAlignment="1">
      <alignment horizontal="left" vertical="center"/>
    </xf>
    <xf numFmtId="0" fontId="8" fillId="0" borderId="0" xfId="7" applyFont="1" applyAlignment="1">
      <alignment vertical="top"/>
    </xf>
    <xf numFmtId="0" fontId="16" fillId="4" borderId="18" xfId="0" applyFont="1" applyFill="1" applyBorder="1" applyAlignment="1">
      <alignment horizontal="center"/>
    </xf>
    <xf numFmtId="44" fontId="7" fillId="4" borderId="18" xfId="1" applyFont="1" applyFill="1" applyBorder="1" applyAlignment="1">
      <alignment horizontal="right" vertical="center"/>
    </xf>
    <xf numFmtId="4" fontId="27" fillId="0" borderId="0" xfId="14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14" fontId="27" fillId="0" borderId="0" xfId="14" applyNumberFormat="1" applyFont="1" applyAlignment="1">
      <alignment horizontal="center" vertical="center" wrapText="1"/>
    </xf>
    <xf numFmtId="14" fontId="27" fillId="6" borderId="0" xfId="14" applyNumberFormat="1" applyFont="1" applyFill="1" applyAlignment="1">
      <alignment horizontal="center" vertical="center" wrapText="1"/>
    </xf>
    <xf numFmtId="4" fontId="25" fillId="6" borderId="0" xfId="14" applyNumberFormat="1" applyFont="1" applyFill="1" applyAlignment="1">
      <alignment horizontal="center" vertical="center" wrapText="1"/>
    </xf>
    <xf numFmtId="0" fontId="18" fillId="2" borderId="0" xfId="0" applyFont="1" applyFill="1"/>
    <xf numFmtId="4" fontId="25" fillId="7" borderId="0" xfId="14" applyNumberFormat="1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wrapText="1"/>
    </xf>
    <xf numFmtId="14" fontId="25" fillId="7" borderId="0" xfId="14" applyNumberFormat="1" applyFont="1" applyFill="1" applyAlignment="1">
      <alignment horizontal="center" vertical="center" wrapText="1"/>
    </xf>
    <xf numFmtId="4" fontId="27" fillId="2" borderId="0" xfId="14" applyNumberFormat="1" applyFont="1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14" fontId="27" fillId="2" borderId="0" xfId="14" applyNumberFormat="1" applyFont="1" applyFill="1" applyAlignment="1">
      <alignment horizontal="center" vertical="center" wrapText="1"/>
    </xf>
    <xf numFmtId="14" fontId="27" fillId="7" borderId="0" xfId="14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4" fontId="7" fillId="0" borderId="4" xfId="5" applyFont="1" applyFill="1" applyBorder="1" applyAlignment="1">
      <alignment horizontal="left" vertical="center"/>
    </xf>
    <xf numFmtId="44" fontId="18" fillId="0" borderId="0" xfId="0" applyNumberFormat="1" applyFont="1"/>
    <xf numFmtId="44" fontId="13" fillId="3" borderId="4" xfId="0" applyNumberFormat="1" applyFont="1" applyFill="1" applyBorder="1" applyAlignment="1" applyProtection="1">
      <alignment horizontal="left" vertical="center"/>
      <protection locked="0"/>
    </xf>
    <xf numFmtId="0" fontId="16" fillId="2" borderId="0" xfId="0" applyFont="1" applyFill="1" applyAlignment="1">
      <alignment horizontal="center"/>
    </xf>
    <xf numFmtId="44" fontId="7" fillId="2" borderId="0" xfId="1" applyFont="1" applyFill="1" applyBorder="1" applyAlignment="1">
      <alignment horizontal="right" vertical="center"/>
    </xf>
    <xf numFmtId="0" fontId="32" fillId="9" borderId="29" xfId="0" applyFont="1" applyFill="1" applyBorder="1" applyAlignment="1">
      <alignment horizontal="center" vertical="top" wrapText="1"/>
    </xf>
    <xf numFmtId="0" fontId="32" fillId="9" borderId="30" xfId="0" applyFont="1" applyFill="1" applyBorder="1" applyAlignment="1">
      <alignment horizontal="center" vertical="top" wrapText="1"/>
    </xf>
    <xf numFmtId="0" fontId="32" fillId="9" borderId="31" xfId="0" applyFont="1" applyFill="1" applyBorder="1" applyAlignment="1">
      <alignment horizontal="center" vertical="top" wrapText="1"/>
    </xf>
    <xf numFmtId="0" fontId="31" fillId="0" borderId="32" xfId="0" applyFont="1" applyBorder="1" applyAlignment="1">
      <alignment horizontal="center" vertical="top"/>
    </xf>
    <xf numFmtId="0" fontId="31" fillId="0" borderId="4" xfId="0" applyFont="1" applyBorder="1" applyAlignment="1">
      <alignment horizontal="left" vertical="top"/>
    </xf>
    <xf numFmtId="10" fontId="31" fillId="0" borderId="4" xfId="15" applyNumberFormat="1" applyFont="1" applyBorder="1" applyAlignment="1" applyProtection="1">
      <alignment horizontal="center" vertical="top"/>
    </xf>
    <xf numFmtId="10" fontId="31" fillId="0" borderId="33" xfId="15" applyNumberFormat="1" applyFont="1" applyBorder="1" applyAlignment="1" applyProtection="1">
      <alignment horizontal="center" vertical="top"/>
    </xf>
    <xf numFmtId="0" fontId="32" fillId="9" borderId="29" xfId="0" applyFont="1" applyFill="1" applyBorder="1" applyAlignment="1">
      <alignment horizontal="center" vertical="top"/>
    </xf>
    <xf numFmtId="0" fontId="32" fillId="9" borderId="34" xfId="0" applyFont="1" applyFill="1" applyBorder="1" applyAlignment="1">
      <alignment horizontal="left" vertical="top"/>
    </xf>
    <xf numFmtId="10" fontId="32" fillId="9" borderId="34" xfId="15" applyNumberFormat="1" applyFont="1" applyFill="1" applyBorder="1" applyAlignment="1" applyProtection="1">
      <alignment horizontal="center" vertical="top"/>
    </xf>
    <xf numFmtId="10" fontId="32" fillId="9" borderId="30" xfId="15" applyNumberFormat="1" applyFont="1" applyFill="1" applyBorder="1" applyAlignment="1" applyProtection="1">
      <alignment horizontal="center" vertical="top"/>
    </xf>
    <xf numFmtId="0" fontId="31" fillId="0" borderId="32" xfId="0" applyFont="1" applyBorder="1" applyAlignment="1">
      <alignment horizontal="center" vertical="center"/>
    </xf>
    <xf numFmtId="0" fontId="31" fillId="0" borderId="4" xfId="0" applyFont="1" applyBorder="1" applyAlignment="1">
      <alignment horizontal="left" vertical="top" wrapText="1"/>
    </xf>
    <xf numFmtId="10" fontId="31" fillId="0" borderId="4" xfId="15" applyNumberFormat="1" applyFont="1" applyBorder="1" applyAlignment="1" applyProtection="1">
      <alignment horizontal="center" vertical="center"/>
    </xf>
    <xf numFmtId="10" fontId="31" fillId="0" borderId="33" xfId="15" applyNumberFormat="1" applyFont="1" applyBorder="1" applyAlignment="1" applyProtection="1">
      <alignment horizontal="center" vertical="center"/>
    </xf>
    <xf numFmtId="10" fontId="33" fillId="8" borderId="36" xfId="15" applyNumberFormat="1" applyFont="1" applyFill="1" applyBorder="1" applyAlignment="1" applyProtection="1">
      <alignment horizontal="center" vertical="top"/>
    </xf>
    <xf numFmtId="10" fontId="33" fillId="8" borderId="37" xfId="15" applyNumberFormat="1" applyFont="1" applyFill="1" applyBorder="1" applyAlignment="1" applyProtection="1">
      <alignment horizontal="center" vertical="top"/>
    </xf>
    <xf numFmtId="0" fontId="34" fillId="0" borderId="0" xfId="0" applyFont="1" applyAlignment="1">
      <alignment horizontal="center" vertical="top"/>
    </xf>
    <xf numFmtId="0" fontId="34" fillId="0" borderId="0" xfId="0" applyFont="1" applyAlignment="1">
      <alignment horizontal="left" vertical="top"/>
    </xf>
    <xf numFmtId="0" fontId="35" fillId="0" borderId="0" xfId="0" applyFont="1" applyAlignment="1">
      <alignment horizontal="center" vertical="top"/>
    </xf>
    <xf numFmtId="0" fontId="8" fillId="0" borderId="0" xfId="7" applyFont="1" applyAlignment="1">
      <alignment horizontal="center" vertical="top"/>
    </xf>
    <xf numFmtId="0" fontId="7" fillId="5" borderId="22" xfId="3" applyFont="1" applyFill="1" applyBorder="1" applyAlignment="1">
      <alignment horizontal="center" vertical="top"/>
    </xf>
    <xf numFmtId="0" fontId="23" fillId="5" borderId="7" xfId="3" applyFont="1" applyFill="1" applyBorder="1" applyAlignment="1">
      <alignment horizontal="right" vertical="top" wrapText="1"/>
    </xf>
    <xf numFmtId="0" fontId="23" fillId="5" borderId="8" xfId="3" applyFont="1" applyFill="1" applyBorder="1" applyAlignment="1">
      <alignment horizontal="right" vertical="top" wrapText="1"/>
    </xf>
    <xf numFmtId="0" fontId="23" fillId="5" borderId="9" xfId="3" applyFont="1" applyFill="1" applyBorder="1" applyAlignment="1">
      <alignment horizontal="right" vertical="top" wrapText="1"/>
    </xf>
    <xf numFmtId="0" fontId="4" fillId="0" borderId="0" xfId="7" applyFont="1" applyAlignment="1">
      <alignment horizontal="center" vertical="top"/>
    </xf>
    <xf numFmtId="0" fontId="29" fillId="0" borderId="23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top"/>
    </xf>
    <xf numFmtId="0" fontId="31" fillId="0" borderId="25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2" fillId="8" borderId="27" xfId="0" applyFont="1" applyFill="1" applyBorder="1" applyAlignment="1">
      <alignment horizontal="center" vertical="top"/>
    </xf>
    <xf numFmtId="0" fontId="32" fillId="8" borderId="28" xfId="0" applyFont="1" applyFill="1" applyBorder="1" applyAlignment="1">
      <alignment horizontal="center" vertical="top"/>
    </xf>
    <xf numFmtId="0" fontId="35" fillId="0" borderId="0" xfId="0" applyFont="1" applyAlignment="1">
      <alignment horizontal="center" vertical="top" wrapText="1"/>
    </xf>
    <xf numFmtId="0" fontId="0" fillId="0" borderId="0" xfId="0"/>
    <xf numFmtId="0" fontId="33" fillId="8" borderId="35" xfId="0" applyFont="1" applyFill="1" applyBorder="1" applyAlignment="1">
      <alignment horizontal="center" vertical="top"/>
    </xf>
    <xf numFmtId="0" fontId="35" fillId="0" borderId="0" xfId="0" applyFont="1" applyAlignment="1">
      <alignment horizontal="center" vertical="top"/>
    </xf>
    <xf numFmtId="0" fontId="7" fillId="0" borderId="0" xfId="0" applyFont="1" applyAlignment="1">
      <alignment horizontal="left" vertical="center"/>
    </xf>
    <xf numFmtId="0" fontId="7" fillId="4" borderId="4" xfId="0" applyFont="1" applyFill="1" applyBorder="1" applyAlignment="1">
      <alignment horizontal="center"/>
    </xf>
    <xf numFmtId="0" fontId="7" fillId="4" borderId="4" xfId="0" applyFont="1" applyFill="1" applyBorder="1" applyAlignment="1" applyProtection="1">
      <alignment horizontal="left" vertical="top"/>
      <protection locked="0"/>
    </xf>
    <xf numFmtId="0" fontId="7" fillId="4" borderId="4" xfId="0" applyFont="1" applyFill="1" applyBorder="1" applyAlignment="1">
      <alignment horizontal="center" vertical="center"/>
    </xf>
    <xf numFmtId="2" fontId="7" fillId="4" borderId="4" xfId="0" applyNumberFormat="1" applyFont="1" applyFill="1" applyBorder="1" applyAlignment="1">
      <alignment horizontal="center" vertical="center" wrapText="1"/>
    </xf>
    <xf numFmtId="2" fontId="7" fillId="4" borderId="4" xfId="0" applyNumberFormat="1" applyFont="1" applyFill="1" applyBorder="1" applyAlignment="1">
      <alignment horizontal="left"/>
    </xf>
    <xf numFmtId="0" fontId="4" fillId="0" borderId="11" xfId="7" applyFont="1" applyBorder="1" applyAlignment="1">
      <alignment horizontal="center" vertical="top"/>
    </xf>
    <xf numFmtId="0" fontId="7" fillId="4" borderId="4" xfId="0" applyFont="1" applyFill="1" applyBorder="1" applyAlignment="1">
      <alignment horizontal="center" wrapText="1"/>
    </xf>
    <xf numFmtId="0" fontId="7" fillId="0" borderId="11" xfId="0" applyFont="1" applyBorder="1" applyAlignment="1">
      <alignment horizontal="left"/>
    </xf>
    <xf numFmtId="0" fontId="7" fillId="4" borderId="4" xfId="0" applyFont="1" applyFill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4" fillId="0" borderId="4" xfId="7" applyFont="1" applyBorder="1" applyAlignment="1">
      <alignment horizontal="left" vertical="top"/>
    </xf>
    <xf numFmtId="10" fontId="4" fillId="0" borderId="4" xfId="9" applyNumberFormat="1" applyFont="1" applyFill="1" applyBorder="1" applyAlignment="1">
      <alignment horizontal="center" vertical="top"/>
    </xf>
    <xf numFmtId="0" fontId="8" fillId="3" borderId="13" xfId="7" applyFont="1" applyFill="1" applyBorder="1" applyAlignment="1">
      <alignment horizontal="left" vertical="center"/>
    </xf>
    <xf numFmtId="0" fontId="8" fillId="3" borderId="11" xfId="7" applyFont="1" applyFill="1" applyBorder="1" applyAlignment="1">
      <alignment horizontal="left" vertical="center"/>
    </xf>
    <xf numFmtId="0" fontId="8" fillId="3" borderId="14" xfId="7" applyFont="1" applyFill="1" applyBorder="1" applyAlignment="1">
      <alignment horizontal="left" vertical="center"/>
    </xf>
    <xf numFmtId="0" fontId="16" fillId="4" borderId="1" xfId="7" applyFont="1" applyFill="1" applyBorder="1" applyAlignment="1">
      <alignment horizontal="center" vertical="center" wrapText="1"/>
    </xf>
    <xf numFmtId="0" fontId="16" fillId="4" borderId="2" xfId="7" applyFont="1" applyFill="1" applyBorder="1" applyAlignment="1">
      <alignment horizontal="center" vertical="center" wrapText="1"/>
    </xf>
    <xf numFmtId="0" fontId="16" fillId="4" borderId="3" xfId="7" applyFont="1" applyFill="1" applyBorder="1" applyAlignment="1">
      <alignment horizontal="center" vertical="center" wrapText="1"/>
    </xf>
    <xf numFmtId="0" fontId="8" fillId="3" borderId="12" xfId="7" applyFont="1" applyFill="1" applyBorder="1" applyAlignment="1">
      <alignment horizontal="left" vertical="center" wrapText="1"/>
    </xf>
    <xf numFmtId="0" fontId="8" fillId="3" borderId="0" xfId="7" applyFont="1" applyFill="1" applyAlignment="1">
      <alignment horizontal="left" vertical="center" wrapText="1"/>
    </xf>
    <xf numFmtId="0" fontId="8" fillId="3" borderId="5" xfId="7" applyFont="1" applyFill="1" applyBorder="1" applyAlignment="1">
      <alignment horizontal="left" vertical="center" wrapText="1"/>
    </xf>
    <xf numFmtId="0" fontId="3" fillId="4" borderId="4" xfId="7" applyFont="1" applyFill="1" applyBorder="1" applyAlignment="1">
      <alignment horizontal="center" vertical="center"/>
    </xf>
    <xf numFmtId="0" fontId="3" fillId="4" borderId="4" xfId="7" applyFont="1" applyFill="1" applyBorder="1" applyAlignment="1">
      <alignment horizontal="center" vertical="center" wrapText="1"/>
    </xf>
    <xf numFmtId="0" fontId="3" fillId="4" borderId="4" xfId="7" applyFont="1" applyFill="1" applyBorder="1" applyAlignment="1">
      <alignment horizontal="center" vertical="top" wrapText="1"/>
    </xf>
    <xf numFmtId="0" fontId="4" fillId="0" borderId="12" xfId="7" applyFont="1" applyBorder="1" applyAlignment="1">
      <alignment horizontal="left" vertical="top" wrapText="1"/>
    </xf>
    <xf numFmtId="0" fontId="4" fillId="0" borderId="0" xfId="7" applyFont="1" applyAlignment="1">
      <alignment horizontal="left" vertical="top" wrapText="1"/>
    </xf>
    <xf numFmtId="0" fontId="4" fillId="0" borderId="5" xfId="7" applyFont="1" applyBorder="1" applyAlignment="1">
      <alignment horizontal="left" vertical="top" wrapText="1"/>
    </xf>
    <xf numFmtId="10" fontId="3" fillId="4" borderId="4" xfId="9" applyNumberFormat="1" applyFont="1" applyFill="1" applyBorder="1" applyAlignment="1">
      <alignment horizontal="center" vertical="center"/>
    </xf>
    <xf numFmtId="0" fontId="4" fillId="0" borderId="4" xfId="7" applyFont="1" applyBorder="1" applyAlignment="1">
      <alignment horizontal="left" vertical="center" wrapText="1"/>
    </xf>
    <xf numFmtId="10" fontId="4" fillId="0" borderId="4" xfId="9" applyNumberFormat="1" applyFont="1" applyFill="1" applyBorder="1" applyAlignment="1">
      <alignment horizontal="center" vertical="center"/>
    </xf>
    <xf numFmtId="0" fontId="4" fillId="0" borderId="13" xfId="7" applyFont="1" applyBorder="1" applyAlignment="1">
      <alignment horizontal="left" vertical="top" wrapText="1"/>
    </xf>
    <xf numFmtId="0" fontId="4" fillId="0" borderId="11" xfId="7" applyFont="1" applyBorder="1" applyAlignment="1">
      <alignment horizontal="left" vertical="top" wrapText="1"/>
    </xf>
    <xf numFmtId="0" fontId="4" fillId="0" borderId="14" xfId="7" applyFont="1" applyBorder="1" applyAlignment="1">
      <alignment horizontal="left" vertical="top" wrapText="1"/>
    </xf>
    <xf numFmtId="0" fontId="4" fillId="0" borderId="15" xfId="7" applyFont="1" applyBorder="1" applyAlignment="1">
      <alignment horizontal="left" vertical="top" wrapText="1"/>
    </xf>
    <xf numFmtId="0" fontId="4" fillId="0" borderId="10" xfId="7" applyFont="1" applyBorder="1" applyAlignment="1">
      <alignment horizontal="left" vertical="top" wrapText="1"/>
    </xf>
    <xf numFmtId="0" fontId="4" fillId="0" borderId="16" xfId="7" applyFont="1" applyBorder="1" applyAlignment="1">
      <alignment horizontal="left" vertical="top" wrapText="1"/>
    </xf>
    <xf numFmtId="0" fontId="4" fillId="0" borderId="10" xfId="7" applyFont="1" applyBorder="1" applyAlignment="1">
      <alignment horizontal="center" vertical="top"/>
    </xf>
    <xf numFmtId="0" fontId="7" fillId="4" borderId="4" xfId="0" applyFont="1" applyFill="1" applyBorder="1" applyAlignment="1">
      <alignment horizontal="left"/>
    </xf>
    <xf numFmtId="17" fontId="16" fillId="4" borderId="1" xfId="0" applyNumberFormat="1" applyFont="1" applyFill="1" applyBorder="1" applyAlignment="1">
      <alignment horizontal="left"/>
    </xf>
    <xf numFmtId="17" fontId="16" fillId="4" borderId="2" xfId="0" applyNumberFormat="1" applyFont="1" applyFill="1" applyBorder="1" applyAlignment="1">
      <alignment horizontal="left"/>
    </xf>
    <xf numFmtId="17" fontId="16" fillId="4" borderId="3" xfId="0" applyNumberFormat="1" applyFont="1" applyFill="1" applyBorder="1" applyAlignment="1">
      <alignment horizontal="left"/>
    </xf>
    <xf numFmtId="0" fontId="16" fillId="4" borderId="1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7" fillId="4" borderId="3" xfId="0" applyFont="1" applyFill="1" applyBorder="1" applyAlignment="1">
      <alignment horizontal="left"/>
    </xf>
    <xf numFmtId="0" fontId="16" fillId="4" borderId="4" xfId="0" applyFont="1" applyFill="1" applyBorder="1" applyAlignment="1">
      <alignment horizontal="center"/>
    </xf>
    <xf numFmtId="2" fontId="19" fillId="2" borderId="13" xfId="10" applyNumberFormat="1" applyFont="1" applyFill="1" applyBorder="1" applyAlignment="1">
      <alignment horizontal="center" vertical="center" wrapText="1"/>
    </xf>
    <xf numFmtId="2" fontId="19" fillId="2" borderId="15" xfId="10" applyNumberFormat="1" applyFont="1" applyFill="1" applyBorder="1" applyAlignment="1">
      <alignment horizontal="center" vertical="center" wrapText="1"/>
    </xf>
    <xf numFmtId="2" fontId="19" fillId="4" borderId="1" xfId="10" applyNumberFormat="1" applyFont="1" applyFill="1" applyBorder="1" applyAlignment="1">
      <alignment horizontal="left" vertical="center"/>
    </xf>
    <xf numFmtId="2" fontId="19" fillId="4" borderId="2" xfId="10" applyNumberFormat="1" applyFont="1" applyFill="1" applyBorder="1" applyAlignment="1">
      <alignment horizontal="left" vertical="center"/>
    </xf>
    <xf numFmtId="2" fontId="19" fillId="4" borderId="3" xfId="10" applyNumberFormat="1" applyFont="1" applyFill="1" applyBorder="1" applyAlignment="1">
      <alignment horizontal="left" vertical="center"/>
    </xf>
    <xf numFmtId="2" fontId="19" fillId="4" borderId="4" xfId="10" applyNumberFormat="1" applyFont="1" applyFill="1" applyBorder="1" applyAlignment="1">
      <alignment horizontal="left" vertical="center"/>
    </xf>
    <xf numFmtId="2" fontId="19" fillId="2" borderId="17" xfId="10" applyNumberFormat="1" applyFont="1" applyFill="1" applyBorder="1" applyAlignment="1">
      <alignment horizontal="center" vertical="center"/>
    </xf>
    <xf numFmtId="2" fontId="19" fillId="2" borderId="18" xfId="10" applyNumberFormat="1" applyFont="1" applyFill="1" applyBorder="1" applyAlignment="1">
      <alignment horizontal="center" vertical="center"/>
    </xf>
    <xf numFmtId="2" fontId="19" fillId="2" borderId="4" xfId="10" applyNumberFormat="1" applyFont="1" applyFill="1" applyBorder="1" applyAlignment="1">
      <alignment horizontal="center" vertical="center" wrapText="1"/>
    </xf>
    <xf numFmtId="2" fontId="19" fillId="2" borderId="17" xfId="10" applyNumberFormat="1" applyFont="1" applyFill="1" applyBorder="1" applyAlignment="1">
      <alignment horizontal="center" vertical="center" wrapText="1"/>
    </xf>
    <xf numFmtId="2" fontId="19" fillId="2" borderId="18" xfId="10" applyNumberFormat="1" applyFont="1" applyFill="1" applyBorder="1" applyAlignment="1">
      <alignment horizontal="center" vertical="center" wrapText="1"/>
    </xf>
    <xf numFmtId="2" fontId="19" fillId="2" borderId="19" xfId="10" applyNumberFormat="1" applyFont="1" applyFill="1" applyBorder="1" applyAlignment="1">
      <alignment horizontal="center" vertical="center" wrapText="1"/>
    </xf>
    <xf numFmtId="2" fontId="19" fillId="2" borderId="12" xfId="10" applyNumberFormat="1" applyFont="1" applyFill="1" applyBorder="1" applyAlignment="1">
      <alignment horizontal="center" vertical="center" wrapText="1"/>
    </xf>
    <xf numFmtId="2" fontId="19" fillId="2" borderId="4" xfId="10" applyNumberFormat="1" applyFont="1" applyFill="1" applyBorder="1" applyAlignment="1">
      <alignment horizontal="center" vertical="center"/>
    </xf>
    <xf numFmtId="2" fontId="19" fillId="2" borderId="1" xfId="10" applyNumberFormat="1" applyFont="1" applyFill="1" applyBorder="1" applyAlignment="1">
      <alignment horizontal="center" vertical="center"/>
    </xf>
    <xf numFmtId="2" fontId="7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center" vertical="center"/>
    </xf>
  </cellXfs>
  <cellStyles count="16">
    <cellStyle name="Moeda" xfId="1" builtinId="4"/>
    <cellStyle name="Moeda 34" xfId="5"/>
    <cellStyle name="Normal" xfId="0" builtinId="0"/>
    <cellStyle name="Normal 11 3" xfId="3"/>
    <cellStyle name="Normal 2 22" xfId="10"/>
    <cellStyle name="Normal 2 3" xfId="7"/>
    <cellStyle name="Normal 5" xfId="8"/>
    <cellStyle name="Normal_Pesquisa no referencial 10 de maio de 2013" xfId="14"/>
    <cellStyle name="Porcentagem" xfId="2" builtinId="5"/>
    <cellStyle name="Porcentagem 2" xfId="6"/>
    <cellStyle name="Porcentagem 3" xfId="9"/>
    <cellStyle name="Separador de milhares 2 15 2" xfId="12"/>
    <cellStyle name="Texto Explicativo" xfId="15" builtinId="53"/>
    <cellStyle name="Vírgula 2 4" xfId="13"/>
    <cellStyle name="Vírgula 31" xfId="4"/>
    <cellStyle name="Vírgula 4 5 12" xfId="11"/>
  </cellStyles>
  <dxfs count="8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214310</xdr:colOff>
      <xdr:row>20</xdr:row>
      <xdr:rowOff>47625</xdr:rowOff>
    </xdr:from>
    <xdr:ext cx="2414589" cy="3564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A3B20B22-DE63-43A7-B0D2-47D14AE3A6C6}"/>
                </a:ext>
              </a:extLst>
            </xdr:cNvPr>
            <xdr:cNvSpPr txBox="1"/>
          </xdr:nvSpPr>
          <xdr:spPr>
            <a:xfrm>
              <a:off x="4824410" y="3790950"/>
              <a:ext cx="2414589" cy="3564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050">
                  <a:latin typeface="+mn-lt"/>
                </a:rPr>
                <a:t>BDI</a:t>
              </a:r>
              <a:r>
                <a:rPr lang="pt-BR" sz="1050" baseline="0">
                  <a:latin typeface="+mn-lt"/>
                </a:rPr>
                <a:t> = </a:t>
              </a:r>
              <a14:m>
                <m:oMath xmlns:m="http://schemas.openxmlformats.org/officeDocument/2006/math">
                  <m:d>
                    <m:dPr>
                      <m:begChr m:val="{"/>
                      <m:endChr m:val="}"/>
                      <m:ctrlPr>
                        <a:rPr lang="pt-BR" sz="1050" i="1">
                          <a:latin typeface="Cambria Math" panose="02040503050406030204" pitchFamily="18" charset="0"/>
                        </a:rPr>
                      </m:ctrlPr>
                    </m:dPr>
                    <m:e>
                      <m:d>
                        <m:dPr>
                          <m:begChr m:val="["/>
                          <m:endChr m:val="]"/>
                          <m:ctrlPr>
                            <a:rPr lang="pt-BR" sz="105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f>
                            <m:fPr>
                              <m:ctrlPr>
                                <a:rPr lang="pt-BR" sz="1050" b="0" i="1">
                                  <a:latin typeface="Cambria Math" panose="02040503050406030204" pitchFamily="18" charset="0"/>
                                </a:rPr>
                              </m:ctrlPr>
                            </m:fPr>
                            <m:num>
                              <m:d>
                                <m:dPr>
                                  <m:ctrlP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</m:ctrlPr>
                                </m:dPr>
                                <m:e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1+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𝐴𝐶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𝐺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𝑅</m:t>
                                  </m:r>
                                </m:e>
                              </m:d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∗</m:t>
                              </m:r>
                              <m:d>
                                <m:dPr>
                                  <m:ctrlP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</m:ctrlPr>
                                </m:dPr>
                                <m:e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1+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𝐷𝐹</m:t>
                                  </m:r>
                                </m:e>
                              </m:d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∗(1+</m:t>
                              </m:r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𝐿</m:t>
                              </m:r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)</m:t>
                              </m:r>
                            </m:num>
                            <m:den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1−</m:t>
                              </m:r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𝐼</m:t>
                              </m:r>
                            </m:den>
                          </m:f>
                        </m:e>
                      </m:d>
                      <m:r>
                        <a:rPr lang="pt-BR" sz="1050" b="0" i="1">
                          <a:latin typeface="Cambria Math" panose="02040503050406030204" pitchFamily="18" charset="0"/>
                        </a:rPr>
                        <m:t>−1</m:t>
                      </m:r>
                    </m:e>
                  </m:d>
                  <m:r>
                    <a:rPr lang="pt-BR" sz="1050" b="0" i="1">
                      <a:latin typeface="Cambria Math" panose="02040503050406030204" pitchFamily="18" charset="0"/>
                    </a:rPr>
                    <m:t>∗100</m:t>
                  </m:r>
                </m:oMath>
              </a14:m>
              <a:endParaRPr lang="pt-BR" sz="1050">
                <a:latin typeface="+mn-lt"/>
              </a:endParaRPr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A3B20B22-DE63-43A7-B0D2-47D14AE3A6C6}"/>
                </a:ext>
              </a:extLst>
            </xdr:cNvPr>
            <xdr:cNvSpPr txBox="1"/>
          </xdr:nvSpPr>
          <xdr:spPr>
            <a:xfrm>
              <a:off x="4824410" y="3790950"/>
              <a:ext cx="2414589" cy="3564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050">
                  <a:latin typeface="+mn-lt"/>
                </a:rPr>
                <a:t>BDI</a:t>
              </a:r>
              <a:r>
                <a:rPr lang="pt-BR" sz="1050" baseline="0">
                  <a:latin typeface="+mn-lt"/>
                </a:rPr>
                <a:t> = </a:t>
              </a:r>
              <a:r>
                <a:rPr lang="pt-BR" sz="1050" i="0">
                  <a:latin typeface="Cambria Math" panose="02040503050406030204" pitchFamily="18" charset="0"/>
                </a:rPr>
                <a:t>{[(</a:t>
              </a:r>
              <a:r>
                <a:rPr lang="pt-BR" sz="1050" b="0" i="0">
                  <a:latin typeface="Cambria Math" panose="02040503050406030204" pitchFamily="18" charset="0"/>
                </a:rPr>
                <a:t>(1+𝐴𝐶+𝐺+𝑅)∗(1+𝐷𝐹)∗(1+𝐿))/(1−𝐼)]−1}∗100</a:t>
              </a:r>
              <a:endParaRPr lang="pt-BR" sz="1050">
                <a:latin typeface="+mn-lt"/>
              </a:endParaRPr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gelica/Desktop/Prefeitura%20Floriano/Capela%20Mortu&#225;ria/Planilha%20or&#231;ament&#225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Cronograma"/>
      <sheetName val="Composições"/>
      <sheetName val="COMP"/>
      <sheetName val="Plan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B2:N107"/>
  <sheetViews>
    <sheetView tabSelected="1" zoomScale="90" zoomScaleNormal="90" workbookViewId="0">
      <selection activeCell="P9" sqref="P9"/>
    </sheetView>
  </sheetViews>
  <sheetFormatPr defaultColWidth="9.140625" defaultRowHeight="12.75" outlineLevelRow="2" x14ac:dyDescent="0.25"/>
  <cols>
    <col min="1" max="1" width="1.7109375" style="1" customWidth="1"/>
    <col min="2" max="2" width="8.7109375" style="1" customWidth="1"/>
    <col min="3" max="3" width="10.5703125" style="3" customWidth="1"/>
    <col min="4" max="4" width="10.85546875" style="3" customWidth="1"/>
    <col min="5" max="5" width="84.85546875" style="4" customWidth="1"/>
    <col min="6" max="6" width="11" style="5" bestFit="1" customWidth="1"/>
    <col min="7" max="7" width="12.85546875" style="5" bestFit="1" customWidth="1"/>
    <col min="8" max="8" width="14" style="6" customWidth="1"/>
    <col min="9" max="9" width="14.42578125" style="6" bestFit="1" customWidth="1"/>
    <col min="10" max="10" width="20" style="6" bestFit="1" customWidth="1"/>
    <col min="11" max="11" width="13" style="1" customWidth="1"/>
    <col min="12" max="12" width="14.140625" style="1" bestFit="1" customWidth="1"/>
    <col min="13" max="13" width="9.140625" style="1"/>
    <col min="14" max="14" width="10.42578125" style="1" bestFit="1" customWidth="1"/>
    <col min="15" max="16" width="9.140625" style="1"/>
    <col min="17" max="17" width="46.7109375" style="1" bestFit="1" customWidth="1"/>
    <col min="18" max="16384" width="9.140625" style="1"/>
  </cols>
  <sheetData>
    <row r="2" spans="2:14" x14ac:dyDescent="0.25">
      <c r="B2" s="170" t="s">
        <v>0</v>
      </c>
      <c r="C2" s="170"/>
      <c r="D2" s="170"/>
      <c r="E2" s="170"/>
      <c r="F2" s="170"/>
      <c r="G2" s="170"/>
      <c r="H2" s="170"/>
      <c r="I2" s="170"/>
      <c r="J2" s="170"/>
    </row>
    <row r="4" spans="2:14" x14ac:dyDescent="0.25">
      <c r="B4" s="2" t="s">
        <v>160</v>
      </c>
      <c r="I4" s="7" t="s">
        <v>1</v>
      </c>
      <c r="J4" s="8">
        <v>0.2422</v>
      </c>
    </row>
    <row r="5" spans="2:14" x14ac:dyDescent="0.25">
      <c r="B5" s="2" t="s">
        <v>265</v>
      </c>
      <c r="H5" s="144" t="s">
        <v>21</v>
      </c>
      <c r="I5" s="7" t="s">
        <v>2</v>
      </c>
      <c r="J5" s="9">
        <v>46204</v>
      </c>
    </row>
    <row r="6" spans="2:14" x14ac:dyDescent="0.25">
      <c r="B6" s="2" t="s">
        <v>330</v>
      </c>
      <c r="H6" s="144" t="s">
        <v>16</v>
      </c>
      <c r="I6" s="7" t="s">
        <v>2</v>
      </c>
      <c r="J6" s="9">
        <v>46113</v>
      </c>
      <c r="K6" s="63"/>
      <c r="L6" s="11"/>
      <c r="M6" s="11"/>
      <c r="N6" s="11"/>
    </row>
    <row r="7" spans="2:14" x14ac:dyDescent="0.25">
      <c r="B7" s="2"/>
      <c r="I7" s="10"/>
      <c r="J7" s="10"/>
      <c r="K7" s="63"/>
      <c r="L7" s="11"/>
      <c r="M7" s="11"/>
      <c r="N7" s="11"/>
    </row>
    <row r="8" spans="2:14" s="11" customFormat="1" ht="25.5" x14ac:dyDescent="0.25">
      <c r="B8" s="30" t="s">
        <v>6</v>
      </c>
      <c r="C8" s="30" t="s">
        <v>7</v>
      </c>
      <c r="D8" s="30" t="s">
        <v>8</v>
      </c>
      <c r="E8" s="30" t="s">
        <v>9</v>
      </c>
      <c r="F8" s="31" t="s">
        <v>10</v>
      </c>
      <c r="G8" s="31" t="s">
        <v>11</v>
      </c>
      <c r="H8" s="32" t="s">
        <v>12</v>
      </c>
      <c r="I8" s="33" t="s">
        <v>50</v>
      </c>
      <c r="J8" s="34" t="s">
        <v>13</v>
      </c>
      <c r="K8" s="63"/>
      <c r="L8" s="251" t="s">
        <v>411</v>
      </c>
      <c r="M8" s="251"/>
      <c r="N8" s="251"/>
    </row>
    <row r="9" spans="2:14" ht="15.75" x14ac:dyDescent="0.25">
      <c r="B9" s="171" t="s">
        <v>69</v>
      </c>
      <c r="C9" s="172"/>
      <c r="D9" s="172"/>
      <c r="E9" s="172"/>
      <c r="F9" s="172"/>
      <c r="G9" s="172"/>
      <c r="H9" s="172"/>
      <c r="I9" s="173"/>
      <c r="J9" s="62">
        <f>J10+J12+J22+J36+J58+J88</f>
        <v>761884.64</v>
      </c>
    </row>
    <row r="10" spans="2:14" s="12" customFormat="1" outlineLevel="1" x14ac:dyDescent="0.25">
      <c r="B10" s="13">
        <v>1</v>
      </c>
      <c r="C10" s="14"/>
      <c r="D10" s="14"/>
      <c r="E10" s="13" t="s">
        <v>14</v>
      </c>
      <c r="F10" s="15"/>
      <c r="G10" s="15"/>
      <c r="H10" s="16"/>
      <c r="I10" s="17"/>
      <c r="J10" s="18">
        <f>J11</f>
        <v>99506.43</v>
      </c>
      <c r="K10" s="63"/>
      <c r="L10" s="11"/>
      <c r="M10" s="11"/>
      <c r="N10" s="11"/>
    </row>
    <row r="11" spans="2:14" ht="25.5" customHeight="1" outlineLevel="2" x14ac:dyDescent="0.25">
      <c r="B11" s="19" t="s">
        <v>15</v>
      </c>
      <c r="C11" s="20" t="s">
        <v>204</v>
      </c>
      <c r="D11" s="21" t="s">
        <v>205</v>
      </c>
      <c r="E11" s="22" t="s">
        <v>173</v>
      </c>
      <c r="F11" s="23" t="s">
        <v>51</v>
      </c>
      <c r="G11" s="23">
        <v>1</v>
      </c>
      <c r="H11" s="24">
        <v>80105</v>
      </c>
      <c r="I11" s="25">
        <f>TRUNC(L11,2)</f>
        <v>99506.43</v>
      </c>
      <c r="J11" s="24">
        <f>TRUNC(N11,2)</f>
        <v>99506.43</v>
      </c>
      <c r="K11" s="63"/>
      <c r="L11" s="25">
        <f>(H11*$J$4)+H11</f>
        <v>99506.430999999997</v>
      </c>
      <c r="M11" s="11"/>
      <c r="N11" s="250">
        <f>I11*G11</f>
        <v>99506.43</v>
      </c>
    </row>
    <row r="12" spans="2:14" s="12" customFormat="1" outlineLevel="1" x14ac:dyDescent="0.25">
      <c r="B12" s="13">
        <v>2</v>
      </c>
      <c r="C12" s="14"/>
      <c r="D12" s="14"/>
      <c r="E12" s="59" t="s">
        <v>17</v>
      </c>
      <c r="F12" s="15"/>
      <c r="G12" s="15"/>
      <c r="H12" s="16"/>
      <c r="I12" s="25"/>
      <c r="J12" s="18">
        <f>SUM(J13:J21)</f>
        <v>42174.1</v>
      </c>
      <c r="L12" s="25"/>
      <c r="N12" s="250">
        <f t="shared" ref="N12:N75" si="0">I12*G12</f>
        <v>0</v>
      </c>
    </row>
    <row r="13" spans="2:14" ht="12.75" customHeight="1" outlineLevel="2" x14ac:dyDescent="0.25">
      <c r="B13" s="19" t="s">
        <v>18</v>
      </c>
      <c r="C13" s="20" t="s">
        <v>206</v>
      </c>
      <c r="D13" s="21" t="s">
        <v>205</v>
      </c>
      <c r="E13" s="58" t="s">
        <v>186</v>
      </c>
      <c r="F13" s="23" t="s">
        <v>27</v>
      </c>
      <c r="G13" s="23">
        <v>4.8</v>
      </c>
      <c r="H13" s="24">
        <v>405.87</v>
      </c>
      <c r="I13" s="25">
        <f t="shared" ref="I13:I76" si="1">TRUNC(L13,2)</f>
        <v>504.17</v>
      </c>
      <c r="J13" s="24">
        <f>TRUNC(N13,2)</f>
        <v>2420.0100000000002</v>
      </c>
      <c r="L13" s="25">
        <f t="shared" ref="L12:L75" si="2">(H13*$J$4)+H13</f>
        <v>504.17171400000001</v>
      </c>
      <c r="N13" s="250">
        <f t="shared" si="0"/>
        <v>2420.0160000000001</v>
      </c>
    </row>
    <row r="14" spans="2:14" ht="25.5" customHeight="1" outlineLevel="2" x14ac:dyDescent="0.25">
      <c r="B14" s="19" t="s">
        <v>19</v>
      </c>
      <c r="C14" s="20">
        <v>103695</v>
      </c>
      <c r="D14" s="21" t="s">
        <v>21</v>
      </c>
      <c r="E14" s="22" t="s">
        <v>207</v>
      </c>
      <c r="F14" s="23" t="s">
        <v>51</v>
      </c>
      <c r="G14" s="23">
        <v>3</v>
      </c>
      <c r="H14" s="24">
        <v>103</v>
      </c>
      <c r="I14" s="25">
        <f t="shared" si="1"/>
        <v>127.94</v>
      </c>
      <c r="J14" s="24">
        <f t="shared" ref="J14:J21" si="3">TRUNC(N14,2)</f>
        <v>383.82</v>
      </c>
      <c r="L14" s="25">
        <f t="shared" si="2"/>
        <v>127.9466</v>
      </c>
      <c r="N14" s="250">
        <f t="shared" si="0"/>
        <v>383.82</v>
      </c>
    </row>
    <row r="15" spans="2:14" ht="25.5" customHeight="1" outlineLevel="2" x14ac:dyDescent="0.25">
      <c r="B15" s="19" t="s">
        <v>20</v>
      </c>
      <c r="C15" s="20">
        <v>10776</v>
      </c>
      <c r="D15" s="21" t="s">
        <v>255</v>
      </c>
      <c r="E15" s="22" t="s">
        <v>208</v>
      </c>
      <c r="F15" s="23" t="s">
        <v>209</v>
      </c>
      <c r="G15" s="23">
        <v>5</v>
      </c>
      <c r="H15" s="24">
        <v>900</v>
      </c>
      <c r="I15" s="25">
        <f t="shared" si="1"/>
        <v>1117.98</v>
      </c>
      <c r="J15" s="24">
        <f t="shared" si="3"/>
        <v>5589.9</v>
      </c>
      <c r="L15" s="25">
        <f t="shared" si="2"/>
        <v>1117.98</v>
      </c>
      <c r="N15" s="250">
        <f t="shared" si="0"/>
        <v>5589.9</v>
      </c>
    </row>
    <row r="16" spans="2:14" ht="25.5" customHeight="1" outlineLevel="2" x14ac:dyDescent="0.25">
      <c r="B16" s="19" t="s">
        <v>22</v>
      </c>
      <c r="C16" s="20">
        <v>10775</v>
      </c>
      <c r="D16" s="21" t="s">
        <v>255</v>
      </c>
      <c r="E16" s="22" t="s">
        <v>210</v>
      </c>
      <c r="F16" s="23" t="s">
        <v>209</v>
      </c>
      <c r="G16" s="23">
        <v>5</v>
      </c>
      <c r="H16" s="24">
        <v>1150</v>
      </c>
      <c r="I16" s="25">
        <f t="shared" si="1"/>
        <v>1428.53</v>
      </c>
      <c r="J16" s="24">
        <f t="shared" si="3"/>
        <v>7142.65</v>
      </c>
      <c r="L16" s="25">
        <f t="shared" si="2"/>
        <v>1428.53</v>
      </c>
      <c r="N16" s="250">
        <f t="shared" si="0"/>
        <v>7142.65</v>
      </c>
    </row>
    <row r="17" spans="2:14" ht="25.5" customHeight="1" outlineLevel="2" x14ac:dyDescent="0.25">
      <c r="B17" s="19" t="s">
        <v>159</v>
      </c>
      <c r="C17" s="20">
        <v>100948</v>
      </c>
      <c r="D17" s="21" t="s">
        <v>21</v>
      </c>
      <c r="E17" s="22" t="s">
        <v>212</v>
      </c>
      <c r="F17" s="23" t="s">
        <v>211</v>
      </c>
      <c r="G17" s="23">
        <f>48*2*12</f>
        <v>1152</v>
      </c>
      <c r="H17" s="24">
        <v>0.96</v>
      </c>
      <c r="I17" s="25">
        <f t="shared" si="1"/>
        <v>1.19</v>
      </c>
      <c r="J17" s="24">
        <f t="shared" si="3"/>
        <v>1370.88</v>
      </c>
      <c r="L17" s="25">
        <f t="shared" si="2"/>
        <v>1.192512</v>
      </c>
      <c r="N17" s="250">
        <f t="shared" si="0"/>
        <v>1370.8799999999999</v>
      </c>
    </row>
    <row r="18" spans="2:14" ht="25.5" customHeight="1" outlineLevel="2" x14ac:dyDescent="0.25">
      <c r="B18" s="19" t="s">
        <v>23</v>
      </c>
      <c r="C18" s="20">
        <v>100945</v>
      </c>
      <c r="D18" s="21" t="s">
        <v>21</v>
      </c>
      <c r="E18" s="22" t="s">
        <v>213</v>
      </c>
      <c r="F18" s="23" t="s">
        <v>211</v>
      </c>
      <c r="G18" s="23">
        <f>3*2*12</f>
        <v>72</v>
      </c>
      <c r="H18" s="24">
        <v>3.6</v>
      </c>
      <c r="I18" s="25">
        <f t="shared" si="1"/>
        <v>4.47</v>
      </c>
      <c r="J18" s="24">
        <f t="shared" si="3"/>
        <v>321.83999999999997</v>
      </c>
      <c r="L18" s="25">
        <f t="shared" si="2"/>
        <v>4.4719199999999999</v>
      </c>
      <c r="N18" s="250">
        <f t="shared" si="0"/>
        <v>321.83999999999997</v>
      </c>
    </row>
    <row r="19" spans="2:14" ht="25.5" customHeight="1" outlineLevel="2" x14ac:dyDescent="0.25">
      <c r="B19" s="19" t="s">
        <v>24</v>
      </c>
      <c r="C19" s="20">
        <v>93421</v>
      </c>
      <c r="D19" s="21" t="s">
        <v>21</v>
      </c>
      <c r="E19" s="22" t="s">
        <v>214</v>
      </c>
      <c r="F19" s="23" t="s">
        <v>53</v>
      </c>
      <c r="G19" s="23">
        <v>180</v>
      </c>
      <c r="H19" s="24">
        <v>82.5</v>
      </c>
      <c r="I19" s="25">
        <f t="shared" si="1"/>
        <v>102.48</v>
      </c>
      <c r="J19" s="24">
        <f t="shared" si="3"/>
        <v>18446.400000000001</v>
      </c>
      <c r="L19" s="25">
        <f t="shared" si="2"/>
        <v>102.4815</v>
      </c>
      <c r="N19" s="250">
        <f t="shared" si="0"/>
        <v>18446.400000000001</v>
      </c>
    </row>
    <row r="20" spans="2:14" ht="25.5" customHeight="1" outlineLevel="2" x14ac:dyDescent="0.25">
      <c r="B20" s="19" t="s">
        <v>260</v>
      </c>
      <c r="C20" s="20">
        <v>99059</v>
      </c>
      <c r="D20" s="21" t="s">
        <v>21</v>
      </c>
      <c r="E20" s="22" t="s">
        <v>262</v>
      </c>
      <c r="F20" s="23" t="s">
        <v>52</v>
      </c>
      <c r="G20" s="23">
        <f>48+12</f>
        <v>60</v>
      </c>
      <c r="H20" s="24">
        <v>68.2</v>
      </c>
      <c r="I20" s="25">
        <f t="shared" si="1"/>
        <v>84.71</v>
      </c>
      <c r="J20" s="24">
        <f t="shared" si="3"/>
        <v>5082.6000000000004</v>
      </c>
      <c r="L20" s="25">
        <f t="shared" si="2"/>
        <v>84.718040000000002</v>
      </c>
      <c r="N20" s="250">
        <f t="shared" si="0"/>
        <v>5082.5999999999995</v>
      </c>
    </row>
    <row r="21" spans="2:14" ht="25.5" customHeight="1" outlineLevel="2" x14ac:dyDescent="0.25">
      <c r="B21" s="19" t="s">
        <v>261</v>
      </c>
      <c r="C21" s="20">
        <v>90781</v>
      </c>
      <c r="D21" s="21" t="s">
        <v>21</v>
      </c>
      <c r="E21" s="22" t="s">
        <v>263</v>
      </c>
      <c r="F21" s="23" t="s">
        <v>54</v>
      </c>
      <c r="G21" s="23">
        <v>24</v>
      </c>
      <c r="H21" s="24">
        <v>47.5</v>
      </c>
      <c r="I21" s="25">
        <f t="shared" si="1"/>
        <v>59</v>
      </c>
      <c r="J21" s="24">
        <f t="shared" si="3"/>
        <v>1416</v>
      </c>
      <c r="L21" s="25">
        <f t="shared" si="2"/>
        <v>59.0045</v>
      </c>
      <c r="N21" s="250">
        <f t="shared" si="0"/>
        <v>1416</v>
      </c>
    </row>
    <row r="22" spans="2:14" ht="25.5" customHeight="1" outlineLevel="2" x14ac:dyDescent="0.25">
      <c r="B22" s="13">
        <v>3</v>
      </c>
      <c r="C22" s="14"/>
      <c r="D22" s="14"/>
      <c r="E22" s="13" t="s">
        <v>25</v>
      </c>
      <c r="F22" s="15"/>
      <c r="G22" s="15"/>
      <c r="H22" s="16"/>
      <c r="I22" s="25"/>
      <c r="J22" s="18">
        <f>J23</f>
        <v>66891.739999999991</v>
      </c>
      <c r="L22" s="25"/>
      <c r="N22" s="250">
        <f t="shared" si="0"/>
        <v>0</v>
      </c>
    </row>
    <row r="23" spans="2:14" ht="25.5" customHeight="1" outlineLevel="2" x14ac:dyDescent="0.25">
      <c r="B23" s="26" t="s">
        <v>26</v>
      </c>
      <c r="C23" s="14"/>
      <c r="D23" s="14"/>
      <c r="E23" s="13" t="s">
        <v>264</v>
      </c>
      <c r="F23" s="27"/>
      <c r="G23" s="27"/>
      <c r="H23" s="28"/>
      <c r="I23" s="25"/>
      <c r="J23" s="18">
        <f>SUM(J24:J35)</f>
        <v>66891.739999999991</v>
      </c>
      <c r="L23" s="25"/>
      <c r="N23" s="250">
        <f t="shared" si="0"/>
        <v>0</v>
      </c>
    </row>
    <row r="24" spans="2:14" ht="25.5" customHeight="1" outlineLevel="2" x14ac:dyDescent="0.25">
      <c r="B24" s="19" t="s">
        <v>234</v>
      </c>
      <c r="C24" s="20">
        <v>96523</v>
      </c>
      <c r="D24" s="21" t="s">
        <v>21</v>
      </c>
      <c r="E24" s="22" t="s">
        <v>266</v>
      </c>
      <c r="F24" s="23" t="s">
        <v>267</v>
      </c>
      <c r="G24" s="23">
        <f>2*3.1415*1.4</f>
        <v>8.7962000000000007</v>
      </c>
      <c r="H24" s="24">
        <v>110</v>
      </c>
      <c r="I24" s="25">
        <f t="shared" si="1"/>
        <v>136.63999999999999</v>
      </c>
      <c r="J24" s="24">
        <f>TRUNC(N24,2)</f>
        <v>1201.9100000000001</v>
      </c>
      <c r="L24" s="25">
        <f t="shared" si="2"/>
        <v>136.642</v>
      </c>
      <c r="N24" s="250">
        <f t="shared" si="0"/>
        <v>1201.9127679999999</v>
      </c>
    </row>
    <row r="25" spans="2:14" ht="25.5" customHeight="1" outlineLevel="2" x14ac:dyDescent="0.25">
      <c r="B25" s="19" t="s">
        <v>235</v>
      </c>
      <c r="C25" s="20" t="s">
        <v>274</v>
      </c>
      <c r="D25" s="21" t="s">
        <v>205</v>
      </c>
      <c r="E25" s="22" t="s">
        <v>269</v>
      </c>
      <c r="F25" s="23" t="s">
        <v>275</v>
      </c>
      <c r="G25" s="23">
        <f>24*1.2</f>
        <v>28.799999999999997</v>
      </c>
      <c r="H25" s="24">
        <v>300</v>
      </c>
      <c r="I25" s="25">
        <f t="shared" si="1"/>
        <v>372.66</v>
      </c>
      <c r="J25" s="24">
        <f t="shared" ref="J25:J35" si="4">TRUNC(N25,2)</f>
        <v>10732.6</v>
      </c>
      <c r="L25" s="25">
        <f t="shared" si="2"/>
        <v>372.65999999999997</v>
      </c>
      <c r="N25" s="250">
        <f t="shared" si="0"/>
        <v>10732.608</v>
      </c>
    </row>
    <row r="26" spans="2:14" ht="25.5" customHeight="1" outlineLevel="2" x14ac:dyDescent="0.25">
      <c r="B26" s="19" t="s">
        <v>236</v>
      </c>
      <c r="C26" s="20" t="s">
        <v>276</v>
      </c>
      <c r="D26" s="21" t="s">
        <v>205</v>
      </c>
      <c r="E26" s="22" t="s">
        <v>272</v>
      </c>
      <c r="F26" s="23" t="s">
        <v>275</v>
      </c>
      <c r="G26" s="23">
        <f>24*0.5</f>
        <v>12</v>
      </c>
      <c r="H26" s="24">
        <v>407.83</v>
      </c>
      <c r="I26" s="25">
        <f t="shared" si="1"/>
        <v>506.6</v>
      </c>
      <c r="J26" s="24">
        <f t="shared" si="4"/>
        <v>6079.2</v>
      </c>
      <c r="L26" s="25">
        <f t="shared" si="2"/>
        <v>506.606426</v>
      </c>
      <c r="N26" s="250">
        <f t="shared" si="0"/>
        <v>6079.2000000000007</v>
      </c>
    </row>
    <row r="27" spans="2:14" ht="30.75" customHeight="1" outlineLevel="2" x14ac:dyDescent="0.25">
      <c r="B27" s="19" t="s">
        <v>237</v>
      </c>
      <c r="C27" s="20">
        <v>104482</v>
      </c>
      <c r="D27" s="21" t="s">
        <v>21</v>
      </c>
      <c r="E27" s="22" t="s">
        <v>336</v>
      </c>
      <c r="F27" s="23" t="s">
        <v>54</v>
      </c>
      <c r="G27" s="23">
        <v>24</v>
      </c>
      <c r="H27" s="24">
        <v>30</v>
      </c>
      <c r="I27" s="25">
        <f t="shared" si="1"/>
        <v>37.26</v>
      </c>
      <c r="J27" s="24">
        <f t="shared" si="4"/>
        <v>894.24</v>
      </c>
      <c r="L27" s="25">
        <f t="shared" si="2"/>
        <v>37.265999999999998</v>
      </c>
      <c r="N27" s="250">
        <f t="shared" si="0"/>
        <v>894.24</v>
      </c>
    </row>
    <row r="28" spans="2:14" ht="25.5" customHeight="1" outlineLevel="2" x14ac:dyDescent="0.25">
      <c r="B28" s="19" t="s">
        <v>238</v>
      </c>
      <c r="C28" s="20">
        <v>105916</v>
      </c>
      <c r="D28" s="21" t="s">
        <v>21</v>
      </c>
      <c r="E28" s="22" t="s">
        <v>337</v>
      </c>
      <c r="F28" s="23" t="s">
        <v>53</v>
      </c>
      <c r="G28" s="23">
        <v>90</v>
      </c>
      <c r="H28" s="24">
        <v>32</v>
      </c>
      <c r="I28" s="25">
        <f t="shared" si="1"/>
        <v>39.75</v>
      </c>
      <c r="J28" s="24">
        <f t="shared" si="4"/>
        <v>3577.5</v>
      </c>
      <c r="L28" s="25">
        <f t="shared" si="2"/>
        <v>39.750399999999999</v>
      </c>
      <c r="N28" s="250">
        <f t="shared" si="0"/>
        <v>3577.5</v>
      </c>
    </row>
    <row r="29" spans="2:14" ht="25.5" customHeight="1" outlineLevel="2" x14ac:dyDescent="0.25">
      <c r="B29" s="19" t="s">
        <v>239</v>
      </c>
      <c r="C29" s="20">
        <v>92764</v>
      </c>
      <c r="D29" s="21" t="s">
        <v>21</v>
      </c>
      <c r="E29" s="22" t="s">
        <v>228</v>
      </c>
      <c r="F29" s="23" t="s">
        <v>55</v>
      </c>
      <c r="G29" s="23">
        <f>(8*2*2+(13*2*1.5))/12*18.93</f>
        <v>112.0025</v>
      </c>
      <c r="H29" s="24">
        <v>8.1</v>
      </c>
      <c r="I29" s="25">
        <f t="shared" si="1"/>
        <v>10.06</v>
      </c>
      <c r="J29" s="24">
        <f t="shared" si="4"/>
        <v>1126.74</v>
      </c>
      <c r="L29" s="25">
        <f t="shared" si="2"/>
        <v>10.061819999999999</v>
      </c>
      <c r="N29" s="250">
        <f t="shared" si="0"/>
        <v>1126.74515</v>
      </c>
    </row>
    <row r="30" spans="2:14" ht="25.5" customHeight="1" outlineLevel="2" x14ac:dyDescent="0.25">
      <c r="B30" s="19" t="s">
        <v>240</v>
      </c>
      <c r="C30" s="20">
        <v>92761</v>
      </c>
      <c r="D30" s="21" t="s">
        <v>21</v>
      </c>
      <c r="E30" s="22" t="s">
        <v>231</v>
      </c>
      <c r="F30" s="23" t="s">
        <v>55</v>
      </c>
      <c r="G30" s="23">
        <f>((5.7*20*2)+(3.7*120*2)+(10*5.7*2*2))/12*4.74</f>
        <v>530.88</v>
      </c>
      <c r="H30" s="24">
        <v>11.5</v>
      </c>
      <c r="I30" s="25">
        <f t="shared" si="1"/>
        <v>14.28</v>
      </c>
      <c r="J30" s="24">
        <f t="shared" si="4"/>
        <v>7580.96</v>
      </c>
      <c r="L30" s="25">
        <f t="shared" si="2"/>
        <v>14.285299999999999</v>
      </c>
      <c r="N30" s="250">
        <f t="shared" si="0"/>
        <v>7580.9663999999993</v>
      </c>
    </row>
    <row r="31" spans="2:14" ht="25.5" customHeight="1" outlineLevel="2" x14ac:dyDescent="0.25">
      <c r="B31" s="19" t="s">
        <v>241</v>
      </c>
      <c r="C31" s="20">
        <v>92760</v>
      </c>
      <c r="D31" s="21" t="s">
        <v>21</v>
      </c>
      <c r="E31" s="22" t="s">
        <v>227</v>
      </c>
      <c r="F31" s="23" t="s">
        <v>55</v>
      </c>
      <c r="G31" s="23">
        <f>((8*12*2*2)/12*2.94)*1.1</f>
        <v>103.488</v>
      </c>
      <c r="H31" s="24">
        <v>12.5</v>
      </c>
      <c r="I31" s="25">
        <f t="shared" si="1"/>
        <v>15.52</v>
      </c>
      <c r="J31" s="24">
        <f t="shared" si="4"/>
        <v>1606.13</v>
      </c>
      <c r="L31" s="25">
        <f t="shared" si="2"/>
        <v>15.5275</v>
      </c>
      <c r="N31" s="250">
        <f t="shared" si="0"/>
        <v>1606.1337599999999</v>
      </c>
    </row>
    <row r="32" spans="2:14" ht="25.5" customHeight="1" outlineLevel="2" x14ac:dyDescent="0.25">
      <c r="B32" s="19" t="s">
        <v>242</v>
      </c>
      <c r="C32" s="20">
        <v>96558</v>
      </c>
      <c r="D32" s="21" t="s">
        <v>21</v>
      </c>
      <c r="E32" s="22" t="s">
        <v>220</v>
      </c>
      <c r="F32" s="23" t="s">
        <v>35</v>
      </c>
      <c r="G32" s="23">
        <f>(3.1415*2*1)+(1.5*0.5*12*2)</f>
        <v>24.283000000000001</v>
      </c>
      <c r="H32" s="24">
        <v>950</v>
      </c>
      <c r="I32" s="25">
        <f t="shared" si="1"/>
        <v>1180.0899999999999</v>
      </c>
      <c r="J32" s="24">
        <f t="shared" si="4"/>
        <v>28656.12</v>
      </c>
      <c r="L32" s="25">
        <f t="shared" si="2"/>
        <v>1180.0899999999999</v>
      </c>
      <c r="N32" s="250">
        <f t="shared" si="0"/>
        <v>28656.125469999999</v>
      </c>
    </row>
    <row r="33" spans="2:14" ht="25.5" customHeight="1" outlineLevel="2" x14ac:dyDescent="0.25">
      <c r="B33" s="19" t="s">
        <v>257</v>
      </c>
      <c r="C33" s="20">
        <v>5909007</v>
      </c>
      <c r="D33" s="21" t="s">
        <v>16</v>
      </c>
      <c r="E33" s="22" t="s">
        <v>56</v>
      </c>
      <c r="F33" s="23" t="s">
        <v>57</v>
      </c>
      <c r="G33" s="23">
        <f>G32*2.5</f>
        <v>60.707500000000003</v>
      </c>
      <c r="H33" s="24">
        <v>25.1</v>
      </c>
      <c r="I33" s="25">
        <f t="shared" si="1"/>
        <v>31.17</v>
      </c>
      <c r="J33" s="24">
        <f t="shared" si="4"/>
        <v>1892.25</v>
      </c>
      <c r="L33" s="25">
        <f t="shared" si="2"/>
        <v>31.179220000000001</v>
      </c>
      <c r="N33" s="250">
        <f t="shared" si="0"/>
        <v>1892.2527750000002</v>
      </c>
    </row>
    <row r="34" spans="2:14" ht="25.5" customHeight="1" outlineLevel="2" x14ac:dyDescent="0.25">
      <c r="B34" s="19" t="s">
        <v>277</v>
      </c>
      <c r="C34" s="20">
        <v>5914539</v>
      </c>
      <c r="D34" s="21" t="s">
        <v>16</v>
      </c>
      <c r="E34" s="22" t="s">
        <v>58</v>
      </c>
      <c r="F34" s="23" t="s">
        <v>59</v>
      </c>
      <c r="G34" s="23">
        <f>(G32*2.5)*3</f>
        <v>182.1225</v>
      </c>
      <c r="H34" s="24">
        <v>1.37</v>
      </c>
      <c r="I34" s="25">
        <f t="shared" si="1"/>
        <v>1.7</v>
      </c>
      <c r="J34" s="24">
        <f t="shared" si="4"/>
        <v>309.60000000000002</v>
      </c>
      <c r="L34" s="25">
        <f t="shared" si="2"/>
        <v>1.7018140000000002</v>
      </c>
      <c r="N34" s="250">
        <f t="shared" si="0"/>
        <v>309.60825</v>
      </c>
    </row>
    <row r="35" spans="2:14" ht="25.5" customHeight="1" outlineLevel="2" x14ac:dyDescent="0.25">
      <c r="B35" s="19" t="s">
        <v>278</v>
      </c>
      <c r="C35" s="20">
        <v>5914569</v>
      </c>
      <c r="D35" s="21" t="s">
        <v>16</v>
      </c>
      <c r="E35" s="22" t="s">
        <v>60</v>
      </c>
      <c r="F35" s="23" t="s">
        <v>59</v>
      </c>
      <c r="G35" s="23">
        <f>(G32*2.5)*48</f>
        <v>2913.96</v>
      </c>
      <c r="H35" s="24">
        <v>0.9</v>
      </c>
      <c r="I35" s="25">
        <f t="shared" si="1"/>
        <v>1.1100000000000001</v>
      </c>
      <c r="J35" s="24">
        <f t="shared" si="4"/>
        <v>3234.49</v>
      </c>
      <c r="L35" s="25">
        <f t="shared" si="2"/>
        <v>1.11798</v>
      </c>
      <c r="N35" s="250">
        <f t="shared" si="0"/>
        <v>3234.4956000000002</v>
      </c>
    </row>
    <row r="36" spans="2:14" s="12" customFormat="1" outlineLevel="1" x14ac:dyDescent="0.25">
      <c r="B36" s="13">
        <v>4</v>
      </c>
      <c r="C36" s="14"/>
      <c r="D36" s="14"/>
      <c r="E36" s="13" t="s">
        <v>28</v>
      </c>
      <c r="F36" s="15"/>
      <c r="G36" s="15"/>
      <c r="H36" s="16"/>
      <c r="I36" s="25"/>
      <c r="J36" s="18">
        <f>J37+J48</f>
        <v>160094.47999999998</v>
      </c>
      <c r="L36" s="25"/>
      <c r="N36" s="250">
        <f t="shared" si="0"/>
        <v>0</v>
      </c>
    </row>
    <row r="37" spans="2:14" s="12" customFormat="1" outlineLevel="1" x14ac:dyDescent="0.25">
      <c r="B37" s="26" t="s">
        <v>29</v>
      </c>
      <c r="C37" s="14"/>
      <c r="D37" s="14"/>
      <c r="E37" s="13" t="s">
        <v>279</v>
      </c>
      <c r="F37" s="27"/>
      <c r="G37" s="27"/>
      <c r="H37" s="28"/>
      <c r="I37" s="25"/>
      <c r="J37" s="18">
        <f>SUM(J38:J47)</f>
        <v>42892.279999999992</v>
      </c>
      <c r="L37" s="25"/>
      <c r="N37" s="250">
        <f t="shared" si="0"/>
        <v>0</v>
      </c>
    </row>
    <row r="38" spans="2:14" s="12" customFormat="1" ht="25.5" outlineLevel="1" x14ac:dyDescent="0.25">
      <c r="B38" s="19" t="s">
        <v>30</v>
      </c>
      <c r="C38" s="20">
        <v>92264</v>
      </c>
      <c r="D38" s="21" t="s">
        <v>21</v>
      </c>
      <c r="E38" s="22" t="s">
        <v>280</v>
      </c>
      <c r="F38" s="23" t="s">
        <v>27</v>
      </c>
      <c r="G38" s="23">
        <f>(5.5+5.5+0.6+0.6)*3</f>
        <v>36.599999999999994</v>
      </c>
      <c r="H38" s="24">
        <v>235</v>
      </c>
      <c r="I38" s="25">
        <f t="shared" si="1"/>
        <v>291.91000000000003</v>
      </c>
      <c r="J38" s="24">
        <f>TRUNC(N38,2)</f>
        <v>10683.9</v>
      </c>
      <c r="L38" s="25">
        <f t="shared" si="2"/>
        <v>291.91700000000003</v>
      </c>
      <c r="N38" s="250">
        <f t="shared" si="0"/>
        <v>10683.905999999999</v>
      </c>
    </row>
    <row r="39" spans="2:14" s="12" customFormat="1" ht="38.25" outlineLevel="1" x14ac:dyDescent="0.25">
      <c r="B39" s="19" t="s">
        <v>31</v>
      </c>
      <c r="C39" s="20">
        <v>92447</v>
      </c>
      <c r="D39" s="21" t="s">
        <v>21</v>
      </c>
      <c r="E39" s="22" t="s">
        <v>281</v>
      </c>
      <c r="F39" s="23" t="s">
        <v>27</v>
      </c>
      <c r="G39" s="23">
        <f>G38</f>
        <v>36.599999999999994</v>
      </c>
      <c r="H39" s="24">
        <v>215</v>
      </c>
      <c r="I39" s="25">
        <f t="shared" si="1"/>
        <v>267.07</v>
      </c>
      <c r="J39" s="24">
        <f t="shared" ref="J39:J47" si="5">TRUNC(N39,2)</f>
        <v>9774.76</v>
      </c>
      <c r="L39" s="25">
        <f t="shared" si="2"/>
        <v>267.07299999999998</v>
      </c>
      <c r="N39" s="250">
        <f t="shared" si="0"/>
        <v>9774.7619999999988</v>
      </c>
    </row>
    <row r="40" spans="2:14" s="12" customFormat="1" ht="25.5" outlineLevel="1" x14ac:dyDescent="0.25">
      <c r="B40" s="19" t="s">
        <v>32</v>
      </c>
      <c r="C40" s="20">
        <v>92764</v>
      </c>
      <c r="D40" s="21" t="s">
        <v>21</v>
      </c>
      <c r="E40" s="22" t="s">
        <v>218</v>
      </c>
      <c r="F40" s="23" t="s">
        <v>217</v>
      </c>
      <c r="G40" s="23">
        <f>((6*5.35*2)*2)/12*18.93</f>
        <v>202.55099999999996</v>
      </c>
      <c r="H40" s="24">
        <v>8.1</v>
      </c>
      <c r="I40" s="25">
        <f t="shared" si="1"/>
        <v>10.06</v>
      </c>
      <c r="J40" s="24">
        <f t="shared" si="5"/>
        <v>2037.66</v>
      </c>
      <c r="L40" s="25">
        <f t="shared" si="2"/>
        <v>10.061819999999999</v>
      </c>
      <c r="N40" s="250">
        <f t="shared" si="0"/>
        <v>2037.6630599999996</v>
      </c>
    </row>
    <row r="41" spans="2:14" s="12" customFormat="1" ht="25.5" outlineLevel="1" x14ac:dyDescent="0.25">
      <c r="B41" s="19" t="s">
        <v>33</v>
      </c>
      <c r="C41" s="20">
        <v>92760</v>
      </c>
      <c r="D41" s="21" t="s">
        <v>21</v>
      </c>
      <c r="E41" s="22" t="s">
        <v>227</v>
      </c>
      <c r="F41" s="23" t="s">
        <v>55</v>
      </c>
      <c r="G41" s="23">
        <f>((4.7/0.1*4.66)+(20*6.25))/12*2.94*2</f>
        <v>168.56979999999999</v>
      </c>
      <c r="H41" s="24">
        <v>12.5</v>
      </c>
      <c r="I41" s="25">
        <f t="shared" si="1"/>
        <v>15.52</v>
      </c>
      <c r="J41" s="24">
        <f t="shared" si="5"/>
        <v>2616.1999999999998</v>
      </c>
      <c r="L41" s="25">
        <f t="shared" si="2"/>
        <v>15.5275</v>
      </c>
      <c r="N41" s="250">
        <f t="shared" si="0"/>
        <v>2616.2032959999997</v>
      </c>
    </row>
    <row r="42" spans="2:14" s="12" customFormat="1" ht="25.5" outlineLevel="1" x14ac:dyDescent="0.25">
      <c r="B42" s="19" t="s">
        <v>34</v>
      </c>
      <c r="C42" s="20">
        <v>92761</v>
      </c>
      <c r="D42" s="21" t="s">
        <v>21</v>
      </c>
      <c r="E42" s="22" t="s">
        <v>231</v>
      </c>
      <c r="F42" s="23" t="s">
        <v>55</v>
      </c>
      <c r="G42" s="23">
        <f>(32*4*2)/12*4.74</f>
        <v>101.12</v>
      </c>
      <c r="H42" s="24">
        <v>11.5</v>
      </c>
      <c r="I42" s="25">
        <f t="shared" si="1"/>
        <v>14.28</v>
      </c>
      <c r="J42" s="24">
        <f t="shared" si="5"/>
        <v>1443.99</v>
      </c>
      <c r="L42" s="25">
        <f t="shared" si="2"/>
        <v>14.285299999999999</v>
      </c>
      <c r="N42" s="250">
        <f t="shared" si="0"/>
        <v>1443.9936</v>
      </c>
    </row>
    <row r="43" spans="2:14" s="12" customFormat="1" ht="25.5" outlineLevel="1" x14ac:dyDescent="0.25">
      <c r="B43" s="19" t="s">
        <v>282</v>
      </c>
      <c r="C43" s="20">
        <v>96558</v>
      </c>
      <c r="D43" s="21" t="s">
        <v>21</v>
      </c>
      <c r="E43" s="22" t="s">
        <v>220</v>
      </c>
      <c r="F43" s="23" t="s">
        <v>35</v>
      </c>
      <c r="G43" s="23">
        <f>(0.6*5.5*3.35)</f>
        <v>11.055</v>
      </c>
      <c r="H43" s="24">
        <v>950</v>
      </c>
      <c r="I43" s="25">
        <f t="shared" si="1"/>
        <v>1180.0899999999999</v>
      </c>
      <c r="J43" s="24">
        <f t="shared" si="5"/>
        <v>13045.89</v>
      </c>
      <c r="L43" s="25">
        <f t="shared" si="2"/>
        <v>1180.0899999999999</v>
      </c>
      <c r="N43" s="250">
        <f t="shared" si="0"/>
        <v>13045.894949999998</v>
      </c>
    </row>
    <row r="44" spans="2:14" s="12" customFormat="1" ht="25.5" outlineLevel="1" x14ac:dyDescent="0.25">
      <c r="B44" s="19" t="s">
        <v>283</v>
      </c>
      <c r="C44" s="20">
        <v>5909007</v>
      </c>
      <c r="D44" s="21" t="s">
        <v>16</v>
      </c>
      <c r="E44" s="22" t="s">
        <v>56</v>
      </c>
      <c r="F44" s="23" t="s">
        <v>57</v>
      </c>
      <c r="G44" s="23">
        <f>G43*2.5</f>
        <v>27.637499999999999</v>
      </c>
      <c r="H44" s="24">
        <v>25.1</v>
      </c>
      <c r="I44" s="25">
        <f t="shared" si="1"/>
        <v>31.17</v>
      </c>
      <c r="J44" s="24">
        <f t="shared" si="5"/>
        <v>861.46</v>
      </c>
      <c r="L44" s="25">
        <f t="shared" si="2"/>
        <v>31.179220000000001</v>
      </c>
      <c r="N44" s="250">
        <f t="shared" si="0"/>
        <v>861.46087499999999</v>
      </c>
    </row>
    <row r="45" spans="2:14" s="12" customFormat="1" outlineLevel="1" x14ac:dyDescent="0.25">
      <c r="B45" s="19" t="s">
        <v>284</v>
      </c>
      <c r="C45" s="20">
        <v>5914539</v>
      </c>
      <c r="D45" s="21" t="s">
        <v>16</v>
      </c>
      <c r="E45" s="22" t="s">
        <v>58</v>
      </c>
      <c r="F45" s="23" t="s">
        <v>59</v>
      </c>
      <c r="G45" s="23">
        <f>(G43*2.5)*3</f>
        <v>82.912499999999994</v>
      </c>
      <c r="H45" s="24">
        <v>1.37</v>
      </c>
      <c r="I45" s="25">
        <f t="shared" si="1"/>
        <v>1.7</v>
      </c>
      <c r="J45" s="24">
        <f t="shared" si="5"/>
        <v>140.94999999999999</v>
      </c>
      <c r="L45" s="25">
        <f t="shared" si="2"/>
        <v>1.7018140000000002</v>
      </c>
      <c r="N45" s="250">
        <f t="shared" si="0"/>
        <v>140.95124999999999</v>
      </c>
    </row>
    <row r="46" spans="2:14" s="12" customFormat="1" outlineLevel="1" x14ac:dyDescent="0.25">
      <c r="B46" s="19" t="s">
        <v>285</v>
      </c>
      <c r="C46" s="20">
        <v>5914569</v>
      </c>
      <c r="D46" s="21" t="s">
        <v>16</v>
      </c>
      <c r="E46" s="22" t="s">
        <v>60</v>
      </c>
      <c r="F46" s="23" t="s">
        <v>59</v>
      </c>
      <c r="G46" s="23">
        <f>(G43*2.5)*48</f>
        <v>1326.6</v>
      </c>
      <c r="H46" s="24">
        <v>0.9</v>
      </c>
      <c r="I46" s="25">
        <f t="shared" si="1"/>
        <v>1.1100000000000001</v>
      </c>
      <c r="J46" s="24">
        <f t="shared" si="5"/>
        <v>1472.52</v>
      </c>
      <c r="L46" s="25">
        <f t="shared" si="2"/>
        <v>1.11798</v>
      </c>
      <c r="N46" s="250">
        <f t="shared" si="0"/>
        <v>1472.5260000000001</v>
      </c>
    </row>
    <row r="47" spans="2:14" s="12" customFormat="1" ht="25.5" outlineLevel="1" x14ac:dyDescent="0.25">
      <c r="B47" s="19" t="s">
        <v>325</v>
      </c>
      <c r="C47" s="20">
        <v>3816197</v>
      </c>
      <c r="D47" s="21" t="s">
        <v>16</v>
      </c>
      <c r="E47" s="22" t="s">
        <v>61</v>
      </c>
      <c r="F47" s="23" t="s">
        <v>35</v>
      </c>
      <c r="G47" s="23">
        <f>6*0.3*5</f>
        <v>9</v>
      </c>
      <c r="H47" s="24">
        <v>72.900000000000006</v>
      </c>
      <c r="I47" s="25">
        <f t="shared" si="1"/>
        <v>90.55</v>
      </c>
      <c r="J47" s="24">
        <f t="shared" si="5"/>
        <v>814.95</v>
      </c>
      <c r="L47" s="25">
        <f t="shared" si="2"/>
        <v>90.556380000000004</v>
      </c>
      <c r="N47" s="250">
        <f t="shared" si="0"/>
        <v>814.94999999999993</v>
      </c>
    </row>
    <row r="48" spans="2:14" s="12" customFormat="1" ht="12.75" customHeight="1" outlineLevel="2" x14ac:dyDescent="0.25">
      <c r="B48" s="26" t="s">
        <v>36</v>
      </c>
      <c r="C48" s="14"/>
      <c r="D48" s="14"/>
      <c r="E48" s="13" t="s">
        <v>324</v>
      </c>
      <c r="F48" s="27"/>
      <c r="G48" s="27"/>
      <c r="H48" s="28"/>
      <c r="I48" s="25"/>
      <c r="J48" s="18">
        <f>SUM(J49:J57)</f>
        <v>117202.2</v>
      </c>
      <c r="L48" s="25"/>
      <c r="N48" s="250">
        <f t="shared" si="0"/>
        <v>0</v>
      </c>
    </row>
    <row r="49" spans="2:14" ht="28.5" customHeight="1" outlineLevel="2" x14ac:dyDescent="0.25">
      <c r="B49" s="19" t="s">
        <v>37</v>
      </c>
      <c r="C49" s="20">
        <v>92266</v>
      </c>
      <c r="D49" s="21" t="s">
        <v>21</v>
      </c>
      <c r="E49" s="22" t="s">
        <v>216</v>
      </c>
      <c r="F49" s="23" t="s">
        <v>27</v>
      </c>
      <c r="G49" s="23">
        <f>(3+6+3+0.3)*2*3*2</f>
        <v>147.60000000000002</v>
      </c>
      <c r="H49" s="24">
        <v>185</v>
      </c>
      <c r="I49" s="25">
        <f t="shared" si="1"/>
        <v>229.8</v>
      </c>
      <c r="J49" s="24">
        <f>TRUNC(N49,2)</f>
        <v>33918.480000000003</v>
      </c>
      <c r="L49" s="25">
        <f t="shared" si="2"/>
        <v>229.80700000000002</v>
      </c>
      <c r="N49" s="250">
        <f t="shared" si="0"/>
        <v>33918.48000000001</v>
      </c>
    </row>
    <row r="50" spans="2:14" ht="30.75" customHeight="1" outlineLevel="2" x14ac:dyDescent="0.25">
      <c r="B50" s="19" t="s">
        <v>38</v>
      </c>
      <c r="C50" s="20">
        <v>92448</v>
      </c>
      <c r="D50" s="21" t="s">
        <v>21</v>
      </c>
      <c r="E50" s="22" t="s">
        <v>215</v>
      </c>
      <c r="F50" s="23" t="s">
        <v>27</v>
      </c>
      <c r="G50" s="23">
        <f>G49</f>
        <v>147.60000000000002</v>
      </c>
      <c r="H50" s="24">
        <v>168</v>
      </c>
      <c r="I50" s="25">
        <f t="shared" si="1"/>
        <v>208.68</v>
      </c>
      <c r="J50" s="24">
        <f t="shared" ref="J50:J57" si="6">TRUNC(N50,2)</f>
        <v>30801.16</v>
      </c>
      <c r="L50" s="25">
        <f t="shared" si="2"/>
        <v>208.68959999999998</v>
      </c>
      <c r="N50" s="250">
        <f t="shared" si="0"/>
        <v>30801.168000000005</v>
      </c>
    </row>
    <row r="51" spans="2:14" ht="30.75" customHeight="1" outlineLevel="2" x14ac:dyDescent="0.25">
      <c r="B51" s="19" t="s">
        <v>39</v>
      </c>
      <c r="C51" s="20">
        <v>92762</v>
      </c>
      <c r="D51" s="21" t="s">
        <v>21</v>
      </c>
      <c r="E51" s="22" t="s">
        <v>219</v>
      </c>
      <c r="F51" s="23" t="s">
        <v>217</v>
      </c>
      <c r="G51" s="23">
        <f>(60*3.3*2*2)/12*7.4</f>
        <v>488.40000000000003</v>
      </c>
      <c r="H51" s="24">
        <v>10.199999999999999</v>
      </c>
      <c r="I51" s="25">
        <f t="shared" si="1"/>
        <v>12.67</v>
      </c>
      <c r="J51" s="24">
        <f t="shared" si="6"/>
        <v>6188.02</v>
      </c>
      <c r="L51" s="25">
        <f t="shared" si="2"/>
        <v>12.670439999999999</v>
      </c>
      <c r="N51" s="250">
        <f t="shared" si="0"/>
        <v>6188.0280000000002</v>
      </c>
    </row>
    <row r="52" spans="2:14" ht="30.75" customHeight="1" outlineLevel="2" x14ac:dyDescent="0.25">
      <c r="B52" s="19" t="s">
        <v>40</v>
      </c>
      <c r="C52" s="20">
        <v>92761</v>
      </c>
      <c r="D52" s="21" t="s">
        <v>21</v>
      </c>
      <c r="E52" s="22" t="s">
        <v>233</v>
      </c>
      <c r="F52" s="23" t="s">
        <v>217</v>
      </c>
      <c r="G52" s="23">
        <f>(15*2*2*12.5)/12*4.74</f>
        <v>296.25</v>
      </c>
      <c r="H52" s="24">
        <v>11.5</v>
      </c>
      <c r="I52" s="25">
        <f t="shared" si="1"/>
        <v>14.28</v>
      </c>
      <c r="J52" s="24">
        <f t="shared" si="6"/>
        <v>4230.45</v>
      </c>
      <c r="L52" s="25">
        <f t="shared" si="2"/>
        <v>14.285299999999999</v>
      </c>
      <c r="N52" s="250">
        <f t="shared" si="0"/>
        <v>4230.45</v>
      </c>
    </row>
    <row r="53" spans="2:14" ht="25.5" customHeight="1" outlineLevel="2" x14ac:dyDescent="0.25">
      <c r="B53" s="19" t="s">
        <v>286</v>
      </c>
      <c r="C53" s="20">
        <v>96558</v>
      </c>
      <c r="D53" s="21" t="s">
        <v>21</v>
      </c>
      <c r="E53" s="22" t="s">
        <v>220</v>
      </c>
      <c r="F53" s="23" t="s">
        <v>35</v>
      </c>
      <c r="G53" s="23">
        <f>(3+6+3)*0.4*3*2</f>
        <v>28.800000000000004</v>
      </c>
      <c r="H53" s="24">
        <v>950</v>
      </c>
      <c r="I53" s="25">
        <f t="shared" si="1"/>
        <v>1180.0899999999999</v>
      </c>
      <c r="J53" s="24">
        <f t="shared" si="6"/>
        <v>33986.589999999997</v>
      </c>
      <c r="L53" s="25">
        <f t="shared" si="2"/>
        <v>1180.0899999999999</v>
      </c>
      <c r="N53" s="250">
        <f t="shared" si="0"/>
        <v>33986.592000000004</v>
      </c>
    </row>
    <row r="54" spans="2:14" ht="25.5" customHeight="1" outlineLevel="2" x14ac:dyDescent="0.25">
      <c r="B54" s="19" t="s">
        <v>287</v>
      </c>
      <c r="C54" s="20">
        <v>5909007</v>
      </c>
      <c r="D54" s="21" t="s">
        <v>16</v>
      </c>
      <c r="E54" s="22" t="s">
        <v>56</v>
      </c>
      <c r="F54" s="23" t="s">
        <v>57</v>
      </c>
      <c r="G54" s="23">
        <f>G53*2.5</f>
        <v>72.000000000000014</v>
      </c>
      <c r="H54" s="24">
        <v>25.1</v>
      </c>
      <c r="I54" s="25">
        <f t="shared" si="1"/>
        <v>31.17</v>
      </c>
      <c r="J54" s="24">
        <f t="shared" si="6"/>
        <v>2244.2399999999998</v>
      </c>
      <c r="L54" s="25">
        <f t="shared" si="2"/>
        <v>31.179220000000001</v>
      </c>
      <c r="N54" s="250">
        <f t="shared" si="0"/>
        <v>2244.2400000000007</v>
      </c>
    </row>
    <row r="55" spans="2:14" ht="12.75" customHeight="1" outlineLevel="2" x14ac:dyDescent="0.25">
      <c r="B55" s="19" t="s">
        <v>288</v>
      </c>
      <c r="C55" s="20">
        <v>5914539</v>
      </c>
      <c r="D55" s="21" t="s">
        <v>16</v>
      </c>
      <c r="E55" s="22" t="s">
        <v>58</v>
      </c>
      <c r="F55" s="23" t="s">
        <v>59</v>
      </c>
      <c r="G55" s="23">
        <f>(G53*2.5)*3</f>
        <v>216.00000000000006</v>
      </c>
      <c r="H55" s="24">
        <v>1.37</v>
      </c>
      <c r="I55" s="25">
        <f t="shared" si="1"/>
        <v>1.7</v>
      </c>
      <c r="J55" s="24">
        <f t="shared" si="6"/>
        <v>367.2</v>
      </c>
      <c r="L55" s="25">
        <f t="shared" si="2"/>
        <v>1.7018140000000002</v>
      </c>
      <c r="N55" s="250">
        <f t="shared" si="0"/>
        <v>367.2000000000001</v>
      </c>
    </row>
    <row r="56" spans="2:14" ht="12.75" customHeight="1" outlineLevel="2" x14ac:dyDescent="0.25">
      <c r="B56" s="19" t="s">
        <v>289</v>
      </c>
      <c r="C56" s="20">
        <v>5914569</v>
      </c>
      <c r="D56" s="21" t="s">
        <v>16</v>
      </c>
      <c r="E56" s="22" t="s">
        <v>60</v>
      </c>
      <c r="F56" s="23" t="s">
        <v>59</v>
      </c>
      <c r="G56" s="23">
        <f>(G53*2.5)*48</f>
        <v>3456.0000000000009</v>
      </c>
      <c r="H56" s="24">
        <v>0.9</v>
      </c>
      <c r="I56" s="25">
        <f t="shared" si="1"/>
        <v>1.1100000000000001</v>
      </c>
      <c r="J56" s="24">
        <f t="shared" si="6"/>
        <v>3836.16</v>
      </c>
      <c r="L56" s="25">
        <f t="shared" si="2"/>
        <v>1.11798</v>
      </c>
      <c r="N56" s="250">
        <f t="shared" si="0"/>
        <v>3836.1600000000012</v>
      </c>
    </row>
    <row r="57" spans="2:14" ht="25.5" customHeight="1" outlineLevel="2" x14ac:dyDescent="0.25">
      <c r="B57" s="19" t="s">
        <v>290</v>
      </c>
      <c r="C57" s="20">
        <v>3816197</v>
      </c>
      <c r="D57" s="21" t="s">
        <v>16</v>
      </c>
      <c r="E57" s="22" t="s">
        <v>61</v>
      </c>
      <c r="F57" s="23" t="s">
        <v>35</v>
      </c>
      <c r="G57" s="23">
        <f>6*5*0.3*2</f>
        <v>18</v>
      </c>
      <c r="H57" s="24">
        <v>72.900000000000006</v>
      </c>
      <c r="I57" s="25">
        <f t="shared" si="1"/>
        <v>90.55</v>
      </c>
      <c r="J57" s="24">
        <f t="shared" si="6"/>
        <v>1629.9</v>
      </c>
      <c r="L57" s="25">
        <f t="shared" si="2"/>
        <v>90.556380000000004</v>
      </c>
      <c r="N57" s="250">
        <f t="shared" si="0"/>
        <v>1629.8999999999999</v>
      </c>
    </row>
    <row r="58" spans="2:14" outlineLevel="1" x14ac:dyDescent="0.25">
      <c r="B58" s="13">
        <v>5</v>
      </c>
      <c r="C58" s="14"/>
      <c r="D58" s="14"/>
      <c r="E58" s="13" t="s">
        <v>41</v>
      </c>
      <c r="F58" s="15"/>
      <c r="G58" s="15"/>
      <c r="H58" s="16"/>
      <c r="I58" s="25"/>
      <c r="J58" s="18">
        <f>J59+J65+J70+J79</f>
        <v>350635.93000000005</v>
      </c>
      <c r="L58" s="25"/>
      <c r="N58" s="250">
        <f t="shared" si="0"/>
        <v>0</v>
      </c>
    </row>
    <row r="59" spans="2:14" ht="12.75" customHeight="1" outlineLevel="2" x14ac:dyDescent="0.25">
      <c r="B59" s="26" t="s">
        <v>250</v>
      </c>
      <c r="C59" s="14"/>
      <c r="D59" s="14"/>
      <c r="E59" s="13" t="s">
        <v>221</v>
      </c>
      <c r="F59" s="29"/>
      <c r="G59" s="29"/>
      <c r="H59" s="16"/>
      <c r="I59" s="25"/>
      <c r="J59" s="18">
        <f>SUM(J60:J64)</f>
        <v>219554.32</v>
      </c>
      <c r="L59" s="25"/>
      <c r="N59" s="250">
        <f t="shared" si="0"/>
        <v>0</v>
      </c>
    </row>
    <row r="60" spans="2:14" ht="25.5" customHeight="1" outlineLevel="2" x14ac:dyDescent="0.25">
      <c r="B60" s="19" t="s">
        <v>291</v>
      </c>
      <c r="C60" s="20" t="s">
        <v>222</v>
      </c>
      <c r="D60" s="21" t="s">
        <v>205</v>
      </c>
      <c r="E60" s="22" t="s">
        <v>191</v>
      </c>
      <c r="F60" s="23" t="s">
        <v>49</v>
      </c>
      <c r="G60" s="23">
        <f>8*12</f>
        <v>96</v>
      </c>
      <c r="H60" s="24">
        <v>973.03</v>
      </c>
      <c r="I60" s="25">
        <f t="shared" si="1"/>
        <v>1208.69</v>
      </c>
      <c r="J60" s="24">
        <f>TRUNC(N60,2)</f>
        <v>116034.24000000001</v>
      </c>
      <c r="L60" s="25">
        <f t="shared" si="2"/>
        <v>1208.697866</v>
      </c>
      <c r="N60" s="250">
        <f t="shared" si="0"/>
        <v>116034.24000000001</v>
      </c>
    </row>
    <row r="61" spans="2:14" ht="25.5" customHeight="1" outlineLevel="2" x14ac:dyDescent="0.25">
      <c r="B61" s="19" t="s">
        <v>292</v>
      </c>
      <c r="C61" s="20">
        <v>5915400</v>
      </c>
      <c r="D61" s="21" t="s">
        <v>16</v>
      </c>
      <c r="E61" s="22" t="s">
        <v>63</v>
      </c>
      <c r="F61" s="23" t="s">
        <v>51</v>
      </c>
      <c r="G61" s="23">
        <v>8</v>
      </c>
      <c r="H61" s="24">
        <v>3440</v>
      </c>
      <c r="I61" s="25">
        <f t="shared" si="1"/>
        <v>4273.16</v>
      </c>
      <c r="J61" s="24">
        <f t="shared" ref="J61:J64" si="7">TRUNC(N61,2)</f>
        <v>34185.279999999999</v>
      </c>
      <c r="L61" s="25">
        <f t="shared" si="2"/>
        <v>4273.1679999999997</v>
      </c>
      <c r="N61" s="250">
        <f t="shared" si="0"/>
        <v>34185.279999999999</v>
      </c>
    </row>
    <row r="62" spans="2:14" ht="25.5" customHeight="1" outlineLevel="2" x14ac:dyDescent="0.25">
      <c r="B62" s="19" t="s">
        <v>293</v>
      </c>
      <c r="C62" s="20">
        <v>5915325</v>
      </c>
      <c r="D62" s="21" t="s">
        <v>16</v>
      </c>
      <c r="E62" s="22" t="s">
        <v>64</v>
      </c>
      <c r="F62" s="23" t="s">
        <v>4</v>
      </c>
      <c r="G62" s="23">
        <f>(8*3)/2</f>
        <v>12</v>
      </c>
      <c r="H62" s="24">
        <v>91.4</v>
      </c>
      <c r="I62" s="25">
        <f t="shared" si="1"/>
        <v>113.53</v>
      </c>
      <c r="J62" s="24">
        <f t="shared" si="7"/>
        <v>1362.36</v>
      </c>
      <c r="L62" s="25">
        <f t="shared" si="2"/>
        <v>113.53708</v>
      </c>
      <c r="N62" s="250">
        <f t="shared" si="0"/>
        <v>1362.3600000000001</v>
      </c>
    </row>
    <row r="63" spans="2:14" ht="25.5" customHeight="1" outlineLevel="2" x14ac:dyDescent="0.25">
      <c r="B63" s="19" t="s">
        <v>294</v>
      </c>
      <c r="C63" s="20">
        <v>5915327</v>
      </c>
      <c r="D63" s="21" t="s">
        <v>16</v>
      </c>
      <c r="E63" s="22" t="s">
        <v>65</v>
      </c>
      <c r="F63" s="23" t="s">
        <v>4</v>
      </c>
      <c r="G63" s="23">
        <f>(8*85)/2</f>
        <v>340</v>
      </c>
      <c r="H63" s="24">
        <v>60</v>
      </c>
      <c r="I63" s="25">
        <f t="shared" si="1"/>
        <v>74.53</v>
      </c>
      <c r="J63" s="24">
        <f t="shared" si="7"/>
        <v>25340.2</v>
      </c>
      <c r="L63" s="25">
        <f t="shared" si="2"/>
        <v>74.531999999999996</v>
      </c>
      <c r="N63" s="250">
        <f t="shared" si="0"/>
        <v>25340.2</v>
      </c>
    </row>
    <row r="64" spans="2:14" ht="12.75" customHeight="1" outlineLevel="2" x14ac:dyDescent="0.25">
      <c r="B64" s="19" t="s">
        <v>295</v>
      </c>
      <c r="C64" s="20">
        <v>3806420</v>
      </c>
      <c r="D64" s="21" t="s">
        <v>16</v>
      </c>
      <c r="E64" s="22" t="s">
        <v>66</v>
      </c>
      <c r="F64" s="23" t="s">
        <v>51</v>
      </c>
      <c r="G64" s="23">
        <v>8</v>
      </c>
      <c r="H64" s="24">
        <v>4290</v>
      </c>
      <c r="I64" s="25">
        <f t="shared" si="1"/>
        <v>5329.03</v>
      </c>
      <c r="J64" s="24">
        <f t="shared" si="7"/>
        <v>42632.24</v>
      </c>
      <c r="L64" s="25">
        <f t="shared" si="2"/>
        <v>5329.0380000000005</v>
      </c>
      <c r="N64" s="250">
        <f t="shared" si="0"/>
        <v>42632.24</v>
      </c>
    </row>
    <row r="65" spans="2:14" ht="12.75" customHeight="1" outlineLevel="2" x14ac:dyDescent="0.25">
      <c r="B65" s="26" t="s">
        <v>42</v>
      </c>
      <c r="C65" s="14"/>
      <c r="D65" s="14"/>
      <c r="E65" s="13" t="s">
        <v>223</v>
      </c>
      <c r="F65" s="27"/>
      <c r="G65" s="27"/>
      <c r="H65" s="16"/>
      <c r="I65" s="25"/>
      <c r="J65" s="18">
        <f>SUM(J66:J69)</f>
        <v>41871.75</v>
      </c>
      <c r="L65" s="25"/>
      <c r="N65" s="250">
        <f t="shared" si="0"/>
        <v>0</v>
      </c>
    </row>
    <row r="66" spans="2:14" ht="25.5" customHeight="1" outlineLevel="2" x14ac:dyDescent="0.25">
      <c r="B66" s="19" t="s">
        <v>296</v>
      </c>
      <c r="C66" s="20" t="s">
        <v>243</v>
      </c>
      <c r="D66" s="21" t="s">
        <v>205</v>
      </c>
      <c r="E66" s="22" t="s">
        <v>244</v>
      </c>
      <c r="F66" s="23" t="s">
        <v>27</v>
      </c>
      <c r="G66" s="23">
        <f>6*24</f>
        <v>144</v>
      </c>
      <c r="H66" s="24">
        <v>206.6</v>
      </c>
      <c r="I66" s="25">
        <f t="shared" si="1"/>
        <v>256.63</v>
      </c>
      <c r="J66" s="24">
        <f>TRUNC(N66,2)</f>
        <v>36954.720000000001</v>
      </c>
      <c r="L66" s="25">
        <f t="shared" si="2"/>
        <v>256.63851999999997</v>
      </c>
      <c r="N66" s="250">
        <f t="shared" si="0"/>
        <v>36954.720000000001</v>
      </c>
    </row>
    <row r="67" spans="2:14" ht="12.75" customHeight="1" outlineLevel="2" x14ac:dyDescent="0.25">
      <c r="B67" s="19" t="s">
        <v>297</v>
      </c>
      <c r="C67" s="20">
        <v>100948</v>
      </c>
      <c r="D67" s="21" t="s">
        <v>21</v>
      </c>
      <c r="E67" s="22" t="s">
        <v>245</v>
      </c>
      <c r="F67" s="23" t="s">
        <v>59</v>
      </c>
      <c r="G67" s="23">
        <f>85*34.2</f>
        <v>2907.0000000000005</v>
      </c>
      <c r="H67" s="24">
        <v>0.96</v>
      </c>
      <c r="I67" s="25">
        <f t="shared" si="1"/>
        <v>1.19</v>
      </c>
      <c r="J67" s="24">
        <f t="shared" ref="J67:J69" si="8">TRUNC(N67,2)</f>
        <v>3459.33</v>
      </c>
      <c r="L67" s="25">
        <f t="shared" si="2"/>
        <v>1.192512</v>
      </c>
      <c r="N67" s="250">
        <f t="shared" si="0"/>
        <v>3459.3300000000004</v>
      </c>
    </row>
    <row r="68" spans="2:14" ht="12.75" customHeight="1" outlineLevel="2" x14ac:dyDescent="0.25">
      <c r="B68" s="19" t="s">
        <v>298</v>
      </c>
      <c r="C68" s="20">
        <v>100945</v>
      </c>
      <c r="D68" s="21" t="s">
        <v>21</v>
      </c>
      <c r="E68" s="22" t="s">
        <v>213</v>
      </c>
      <c r="F68" s="23" t="s">
        <v>59</v>
      </c>
      <c r="G68" s="23">
        <f>3*14.4</f>
        <v>43.2</v>
      </c>
      <c r="H68" s="24">
        <v>3.6</v>
      </c>
      <c r="I68" s="25">
        <f t="shared" si="1"/>
        <v>4.47</v>
      </c>
      <c r="J68" s="24">
        <f t="shared" si="8"/>
        <v>193.1</v>
      </c>
      <c r="L68" s="25">
        <f t="shared" si="2"/>
        <v>4.4719199999999999</v>
      </c>
      <c r="N68" s="250">
        <f t="shared" si="0"/>
        <v>193.10400000000001</v>
      </c>
    </row>
    <row r="69" spans="2:14" ht="12.75" customHeight="1" outlineLevel="2" x14ac:dyDescent="0.25">
      <c r="B69" s="19" t="s">
        <v>299</v>
      </c>
      <c r="C69" s="20">
        <v>3806426</v>
      </c>
      <c r="D69" s="21" t="s">
        <v>16</v>
      </c>
      <c r="E69" s="22" t="s">
        <v>67</v>
      </c>
      <c r="F69" s="23" t="s">
        <v>57</v>
      </c>
      <c r="G69" s="23">
        <v>14.4</v>
      </c>
      <c r="H69" s="24">
        <v>70.7</v>
      </c>
      <c r="I69" s="25">
        <f t="shared" si="1"/>
        <v>87.82</v>
      </c>
      <c r="J69" s="24">
        <f t="shared" si="8"/>
        <v>1264.5999999999999</v>
      </c>
      <c r="L69" s="25">
        <f t="shared" si="2"/>
        <v>87.823540000000008</v>
      </c>
      <c r="N69" s="250">
        <f t="shared" si="0"/>
        <v>1264.6079999999999</v>
      </c>
    </row>
    <row r="70" spans="2:14" s="12" customFormat="1" ht="12.75" customHeight="1" outlineLevel="2" x14ac:dyDescent="0.25">
      <c r="B70" s="26" t="s">
        <v>251</v>
      </c>
      <c r="C70" s="14"/>
      <c r="D70" s="14"/>
      <c r="E70" s="13" t="s">
        <v>300</v>
      </c>
      <c r="F70" s="27"/>
      <c r="G70" s="27"/>
      <c r="H70" s="16"/>
      <c r="I70" s="25"/>
      <c r="J70" s="18">
        <f>SUM(J71:J78)</f>
        <v>55432.4</v>
      </c>
      <c r="L70" s="25"/>
      <c r="N70" s="250">
        <f t="shared" si="0"/>
        <v>0</v>
      </c>
    </row>
    <row r="71" spans="2:14" ht="25.5" customHeight="1" outlineLevel="2" x14ac:dyDescent="0.25">
      <c r="B71" s="19" t="s">
        <v>301</v>
      </c>
      <c r="C71" s="20">
        <v>92268</v>
      </c>
      <c r="D71" s="21" t="s">
        <v>21</v>
      </c>
      <c r="E71" s="22" t="s">
        <v>246</v>
      </c>
      <c r="F71" s="23" t="s">
        <v>27</v>
      </c>
      <c r="G71" s="23">
        <f>(6*2*0.22)+(24*2*0.22)</f>
        <v>13.200000000000001</v>
      </c>
      <c r="H71" s="24">
        <v>113</v>
      </c>
      <c r="I71" s="25">
        <f t="shared" si="1"/>
        <v>140.36000000000001</v>
      </c>
      <c r="J71" s="24">
        <f>TRUNC(N71,2)</f>
        <v>1852.75</v>
      </c>
      <c r="L71" s="25">
        <f t="shared" si="2"/>
        <v>140.36860000000001</v>
      </c>
      <c r="N71" s="250">
        <f t="shared" si="0"/>
        <v>1852.7520000000004</v>
      </c>
    </row>
    <row r="72" spans="2:14" ht="12.75" customHeight="1" outlineLevel="2" x14ac:dyDescent="0.25">
      <c r="B72" s="19" t="s">
        <v>302</v>
      </c>
      <c r="C72" s="20">
        <v>92482</v>
      </c>
      <c r="D72" s="21" t="s">
        <v>21</v>
      </c>
      <c r="E72" s="22" t="s">
        <v>247</v>
      </c>
      <c r="F72" s="23" t="s">
        <v>27</v>
      </c>
      <c r="G72" s="23">
        <f>G71</f>
        <v>13.200000000000001</v>
      </c>
      <c r="H72" s="24">
        <v>345</v>
      </c>
      <c r="I72" s="25">
        <f t="shared" si="1"/>
        <v>428.55</v>
      </c>
      <c r="J72" s="24">
        <f t="shared" ref="J72:J78" si="9">TRUNC(N72,2)</f>
        <v>5656.86</v>
      </c>
      <c r="L72" s="25">
        <f t="shared" si="2"/>
        <v>428.55899999999997</v>
      </c>
      <c r="N72" s="250">
        <f t="shared" si="0"/>
        <v>5656.8600000000006</v>
      </c>
    </row>
    <row r="73" spans="2:14" ht="30.75" customHeight="1" outlineLevel="2" x14ac:dyDescent="0.25">
      <c r="B73" s="19" t="s">
        <v>303</v>
      </c>
      <c r="C73" s="20">
        <v>92770</v>
      </c>
      <c r="D73" s="21" t="s">
        <v>21</v>
      </c>
      <c r="E73" s="22" t="s">
        <v>248</v>
      </c>
      <c r="F73" s="23" t="s">
        <v>55</v>
      </c>
      <c r="G73" s="23">
        <f>((120*6)/12*4.74)+((30*24)/12*4.74)</f>
        <v>568.80000000000007</v>
      </c>
      <c r="H73" s="24">
        <v>11</v>
      </c>
      <c r="I73" s="25">
        <f t="shared" si="1"/>
        <v>13.66</v>
      </c>
      <c r="J73" s="24">
        <f t="shared" si="9"/>
        <v>7769.8</v>
      </c>
      <c r="L73" s="25">
        <f t="shared" si="2"/>
        <v>13.664200000000001</v>
      </c>
      <c r="N73" s="250">
        <f t="shared" si="0"/>
        <v>7769.8080000000009</v>
      </c>
    </row>
    <row r="74" spans="2:14" ht="25.5" customHeight="1" outlineLevel="2" x14ac:dyDescent="0.25">
      <c r="B74" s="19" t="s">
        <v>304</v>
      </c>
      <c r="C74" s="20">
        <v>92768</v>
      </c>
      <c r="D74" s="21" t="s">
        <v>21</v>
      </c>
      <c r="E74" s="22" t="s">
        <v>249</v>
      </c>
      <c r="F74" s="23" t="s">
        <v>55</v>
      </c>
      <c r="G74" s="23">
        <f>((120*6)/12*1.85)+((30*24)/12*1.85)*1.1</f>
        <v>233.10000000000002</v>
      </c>
      <c r="H74" s="24">
        <v>13</v>
      </c>
      <c r="I74" s="25">
        <f t="shared" si="1"/>
        <v>16.14</v>
      </c>
      <c r="J74" s="24">
        <f t="shared" si="9"/>
        <v>3762.23</v>
      </c>
      <c r="L74" s="25">
        <f t="shared" si="2"/>
        <v>16.148600000000002</v>
      </c>
      <c r="N74" s="250">
        <f t="shared" si="0"/>
        <v>3762.2340000000004</v>
      </c>
    </row>
    <row r="75" spans="2:14" ht="25.5" customHeight="1" outlineLevel="2" x14ac:dyDescent="0.25">
      <c r="B75" s="19" t="s">
        <v>305</v>
      </c>
      <c r="C75" s="20">
        <v>96558</v>
      </c>
      <c r="D75" s="21" t="s">
        <v>21</v>
      </c>
      <c r="E75" s="22" t="s">
        <v>220</v>
      </c>
      <c r="F75" s="23" t="s">
        <v>35</v>
      </c>
      <c r="G75" s="23">
        <f>G66*0.18</f>
        <v>25.919999999999998</v>
      </c>
      <c r="H75" s="24">
        <v>950</v>
      </c>
      <c r="I75" s="25">
        <f t="shared" si="1"/>
        <v>1180.0899999999999</v>
      </c>
      <c r="J75" s="24">
        <f t="shared" si="9"/>
        <v>30587.93</v>
      </c>
      <c r="L75" s="25">
        <f t="shared" si="2"/>
        <v>1180.0899999999999</v>
      </c>
      <c r="N75" s="250">
        <f t="shared" si="0"/>
        <v>30587.932799999995</v>
      </c>
    </row>
    <row r="76" spans="2:14" ht="25.5" customHeight="1" outlineLevel="2" x14ac:dyDescent="0.25">
      <c r="B76" s="19" t="s">
        <v>306</v>
      </c>
      <c r="C76" s="20">
        <v>5909007</v>
      </c>
      <c r="D76" s="21" t="s">
        <v>16</v>
      </c>
      <c r="E76" s="22" t="s">
        <v>56</v>
      </c>
      <c r="F76" s="23" t="s">
        <v>57</v>
      </c>
      <c r="G76" s="23">
        <f>G75*2.5</f>
        <v>64.8</v>
      </c>
      <c r="H76" s="24">
        <v>25.1</v>
      </c>
      <c r="I76" s="25">
        <f t="shared" si="1"/>
        <v>31.17</v>
      </c>
      <c r="J76" s="24">
        <f t="shared" si="9"/>
        <v>2019.81</v>
      </c>
      <c r="L76" s="25">
        <f t="shared" ref="L76:L95" si="10">(H76*$J$4)+H76</f>
        <v>31.179220000000001</v>
      </c>
      <c r="N76" s="250">
        <f t="shared" ref="N76:N95" si="11">I76*G76</f>
        <v>2019.816</v>
      </c>
    </row>
    <row r="77" spans="2:14" ht="12.75" customHeight="1" outlineLevel="2" x14ac:dyDescent="0.25">
      <c r="B77" s="19" t="s">
        <v>307</v>
      </c>
      <c r="C77" s="20">
        <v>5914539</v>
      </c>
      <c r="D77" s="21" t="s">
        <v>16</v>
      </c>
      <c r="E77" s="22" t="s">
        <v>58</v>
      </c>
      <c r="F77" s="23" t="s">
        <v>59</v>
      </c>
      <c r="G77" s="23">
        <f>(G75*2.5)*3</f>
        <v>194.39999999999998</v>
      </c>
      <c r="H77" s="24">
        <v>1.37</v>
      </c>
      <c r="I77" s="25">
        <f t="shared" ref="I77:I95" si="12">TRUNC(L77,2)</f>
        <v>1.7</v>
      </c>
      <c r="J77" s="24">
        <f t="shared" si="9"/>
        <v>330.48</v>
      </c>
      <c r="L77" s="25">
        <f t="shared" si="10"/>
        <v>1.7018140000000002</v>
      </c>
      <c r="N77" s="250">
        <f t="shared" si="11"/>
        <v>330.47999999999996</v>
      </c>
    </row>
    <row r="78" spans="2:14" ht="25.5" customHeight="1" outlineLevel="2" x14ac:dyDescent="0.25">
      <c r="B78" s="19" t="s">
        <v>308</v>
      </c>
      <c r="C78" s="20">
        <v>5914569</v>
      </c>
      <c r="D78" s="21" t="s">
        <v>16</v>
      </c>
      <c r="E78" s="22" t="s">
        <v>60</v>
      </c>
      <c r="F78" s="23" t="s">
        <v>59</v>
      </c>
      <c r="G78" s="23">
        <f>(G75*2.5)*48</f>
        <v>3110.3999999999996</v>
      </c>
      <c r="H78" s="24">
        <v>0.9</v>
      </c>
      <c r="I78" s="25">
        <f t="shared" si="12"/>
        <v>1.1100000000000001</v>
      </c>
      <c r="J78" s="24">
        <f t="shared" si="9"/>
        <v>3452.54</v>
      </c>
      <c r="L78" s="25">
        <f t="shared" si="10"/>
        <v>1.11798</v>
      </c>
      <c r="N78" s="250">
        <f t="shared" si="11"/>
        <v>3452.5439999999999</v>
      </c>
    </row>
    <row r="79" spans="2:14" ht="25.5" customHeight="1" outlineLevel="2" x14ac:dyDescent="0.25">
      <c r="B79" s="26" t="s">
        <v>252</v>
      </c>
      <c r="C79" s="14"/>
      <c r="D79" s="14"/>
      <c r="E79" s="13" t="s">
        <v>224</v>
      </c>
      <c r="F79" s="27"/>
      <c r="G79" s="27"/>
      <c r="H79" s="16"/>
      <c r="I79" s="25"/>
      <c r="J79" s="18">
        <f>SUM(J80:J87)</f>
        <v>33777.46</v>
      </c>
      <c r="L79" s="25"/>
      <c r="N79" s="250">
        <f t="shared" si="11"/>
        <v>0</v>
      </c>
    </row>
    <row r="80" spans="2:14" ht="25.5" customHeight="1" outlineLevel="2" x14ac:dyDescent="0.25">
      <c r="B80" s="19" t="s">
        <v>309</v>
      </c>
      <c r="C80" s="20">
        <v>92266</v>
      </c>
      <c r="D80" s="21" t="s">
        <v>21</v>
      </c>
      <c r="E80" s="22" t="s">
        <v>216</v>
      </c>
      <c r="F80" s="23" t="s">
        <v>27</v>
      </c>
      <c r="G80" s="23">
        <f>(12*0.7*2*2)+(6*0.7*2)</f>
        <v>41.999999999999993</v>
      </c>
      <c r="H80" s="24">
        <v>185</v>
      </c>
      <c r="I80" s="25">
        <f t="shared" si="12"/>
        <v>229.8</v>
      </c>
      <c r="J80" s="24">
        <f>TRUNC(N80,2)</f>
        <v>9651.6</v>
      </c>
      <c r="L80" s="25">
        <f t="shared" si="10"/>
        <v>229.80700000000002</v>
      </c>
      <c r="N80" s="250">
        <f t="shared" si="11"/>
        <v>9651.5999999999985</v>
      </c>
    </row>
    <row r="81" spans="2:14" ht="25.5" customHeight="1" outlineLevel="2" x14ac:dyDescent="0.25">
      <c r="B81" s="19" t="s">
        <v>310</v>
      </c>
      <c r="C81" s="20">
        <v>92448</v>
      </c>
      <c r="D81" s="21" t="s">
        <v>21</v>
      </c>
      <c r="E81" s="22" t="s">
        <v>215</v>
      </c>
      <c r="F81" s="23" t="s">
        <v>27</v>
      </c>
      <c r="G81" s="23">
        <f>G80</f>
        <v>41.999999999999993</v>
      </c>
      <c r="H81" s="24">
        <v>168</v>
      </c>
      <c r="I81" s="25">
        <f t="shared" si="12"/>
        <v>208.68</v>
      </c>
      <c r="J81" s="24">
        <f t="shared" ref="J81:J87" si="13">TRUNC(N81,2)</f>
        <v>8764.56</v>
      </c>
      <c r="L81" s="25">
        <f t="shared" si="10"/>
        <v>208.68959999999998</v>
      </c>
      <c r="N81" s="250">
        <f t="shared" si="11"/>
        <v>8764.56</v>
      </c>
    </row>
    <row r="82" spans="2:14" ht="31.5" customHeight="1" outlineLevel="2" x14ac:dyDescent="0.25">
      <c r="B82" s="19" t="s">
        <v>311</v>
      </c>
      <c r="C82" s="20">
        <v>92761</v>
      </c>
      <c r="D82" s="21" t="s">
        <v>21</v>
      </c>
      <c r="E82" s="22" t="s">
        <v>233</v>
      </c>
      <c r="F82" s="23" t="s">
        <v>217</v>
      </c>
      <c r="G82" s="23">
        <f>((60*1*2*2)+(4*12.5*2*2)+(4*6.25*2)+(30*1*2))/12*4.74</f>
        <v>217.25000000000003</v>
      </c>
      <c r="H82" s="24">
        <v>11.5</v>
      </c>
      <c r="I82" s="25">
        <f t="shared" si="12"/>
        <v>14.28</v>
      </c>
      <c r="J82" s="24">
        <f t="shared" si="13"/>
        <v>3102.33</v>
      </c>
      <c r="L82" s="25">
        <f t="shared" si="10"/>
        <v>14.285299999999999</v>
      </c>
      <c r="N82" s="250">
        <f t="shared" si="11"/>
        <v>3102.3300000000004</v>
      </c>
    </row>
    <row r="83" spans="2:14" ht="31.5" customHeight="1" outlineLevel="2" x14ac:dyDescent="0.25">
      <c r="B83" s="19" t="s">
        <v>312</v>
      </c>
      <c r="C83" s="20">
        <v>92763</v>
      </c>
      <c r="D83" s="21" t="s">
        <v>21</v>
      </c>
      <c r="E83" s="22" t="s">
        <v>326</v>
      </c>
      <c r="F83" s="23" t="s">
        <v>217</v>
      </c>
      <c r="G83" s="23">
        <f>((2*6)+(6*12.5*2))/12*11.55</f>
        <v>155.92500000000001</v>
      </c>
      <c r="H83" s="24">
        <v>8.5</v>
      </c>
      <c r="I83" s="25">
        <f t="shared" si="12"/>
        <v>10.55</v>
      </c>
      <c r="J83" s="24">
        <f t="shared" si="13"/>
        <v>1645</v>
      </c>
      <c r="L83" s="25">
        <f t="shared" si="10"/>
        <v>10.5587</v>
      </c>
      <c r="N83" s="250">
        <f t="shared" si="11"/>
        <v>1645.0087500000002</v>
      </c>
    </row>
    <row r="84" spans="2:14" ht="25.5" customHeight="1" outlineLevel="2" x14ac:dyDescent="0.25">
      <c r="B84" s="19" t="s">
        <v>313</v>
      </c>
      <c r="C84" s="20">
        <v>96558</v>
      </c>
      <c r="D84" s="21" t="s">
        <v>21</v>
      </c>
      <c r="E84" s="22" t="s">
        <v>220</v>
      </c>
      <c r="F84" s="23" t="s">
        <v>35</v>
      </c>
      <c r="G84" s="23">
        <f>(12*0.7*0.3*2)+(6*0.7*0.6)</f>
        <v>7.5599999999999987</v>
      </c>
      <c r="H84" s="24">
        <v>950</v>
      </c>
      <c r="I84" s="25">
        <f t="shared" si="12"/>
        <v>1180.0899999999999</v>
      </c>
      <c r="J84" s="24">
        <f t="shared" si="13"/>
        <v>8921.48</v>
      </c>
      <c r="L84" s="25">
        <f t="shared" si="10"/>
        <v>1180.0899999999999</v>
      </c>
      <c r="N84" s="250">
        <f t="shared" si="11"/>
        <v>8921.4803999999986</v>
      </c>
    </row>
    <row r="85" spans="2:14" ht="25.5" customHeight="1" outlineLevel="2" x14ac:dyDescent="0.25">
      <c r="B85" s="19" t="s">
        <v>314</v>
      </c>
      <c r="C85" s="20">
        <v>5914539</v>
      </c>
      <c r="D85" s="21" t="s">
        <v>16</v>
      </c>
      <c r="E85" s="22" t="s">
        <v>58</v>
      </c>
      <c r="F85" s="23" t="s">
        <v>59</v>
      </c>
      <c r="G85" s="23">
        <f>(G84*2.5)*3</f>
        <v>56.699999999999996</v>
      </c>
      <c r="H85" s="24">
        <v>1.37</v>
      </c>
      <c r="I85" s="25">
        <f t="shared" si="12"/>
        <v>1.7</v>
      </c>
      <c r="J85" s="24">
        <f t="shared" si="13"/>
        <v>96.39</v>
      </c>
      <c r="L85" s="25">
        <f t="shared" si="10"/>
        <v>1.7018140000000002</v>
      </c>
      <c r="N85" s="250">
        <f t="shared" si="11"/>
        <v>96.389999999999986</v>
      </c>
    </row>
    <row r="86" spans="2:14" ht="25.5" customHeight="1" outlineLevel="2" x14ac:dyDescent="0.25">
      <c r="B86" s="19" t="s">
        <v>315</v>
      </c>
      <c r="C86" s="20">
        <v>5914569</v>
      </c>
      <c r="D86" s="21" t="s">
        <v>16</v>
      </c>
      <c r="E86" s="22" t="s">
        <v>60</v>
      </c>
      <c r="F86" s="23" t="s">
        <v>59</v>
      </c>
      <c r="G86" s="23">
        <f>(G84*2.5)*48</f>
        <v>907.19999999999993</v>
      </c>
      <c r="H86" s="24">
        <v>0.9</v>
      </c>
      <c r="I86" s="25">
        <f t="shared" si="12"/>
        <v>1.1100000000000001</v>
      </c>
      <c r="J86" s="24">
        <f t="shared" si="13"/>
        <v>1006.99</v>
      </c>
      <c r="L86" s="25">
        <f t="shared" si="10"/>
        <v>1.11798</v>
      </c>
      <c r="N86" s="250">
        <f t="shared" si="11"/>
        <v>1006.992</v>
      </c>
    </row>
    <row r="87" spans="2:14" ht="25.5" customHeight="1" outlineLevel="2" x14ac:dyDescent="0.25">
      <c r="B87" s="19" t="s">
        <v>327</v>
      </c>
      <c r="C87" s="20">
        <v>5909007</v>
      </c>
      <c r="D87" s="21" t="s">
        <v>16</v>
      </c>
      <c r="E87" s="22" t="s">
        <v>56</v>
      </c>
      <c r="F87" s="23" t="s">
        <v>57</v>
      </c>
      <c r="G87" s="23">
        <f>G84*2.5</f>
        <v>18.899999999999999</v>
      </c>
      <c r="H87" s="24">
        <v>25.1</v>
      </c>
      <c r="I87" s="25">
        <f t="shared" si="12"/>
        <v>31.17</v>
      </c>
      <c r="J87" s="24">
        <f t="shared" si="13"/>
        <v>589.11</v>
      </c>
      <c r="L87" s="25">
        <f t="shared" si="10"/>
        <v>31.179220000000001</v>
      </c>
      <c r="N87" s="250">
        <f t="shared" si="11"/>
        <v>589.11299999999994</v>
      </c>
    </row>
    <row r="88" spans="2:14" ht="25.5" customHeight="1" outlineLevel="2" x14ac:dyDescent="0.25">
      <c r="B88" s="13">
        <v>6</v>
      </c>
      <c r="C88" s="14"/>
      <c r="D88" s="14"/>
      <c r="E88" s="13" t="s">
        <v>45</v>
      </c>
      <c r="F88" s="15"/>
      <c r="G88" s="15"/>
      <c r="H88" s="16"/>
      <c r="I88" s="25"/>
      <c r="J88" s="18">
        <f>SUM(J89:J95)</f>
        <v>42581.960000000006</v>
      </c>
      <c r="L88" s="25"/>
      <c r="N88" s="250">
        <f t="shared" si="11"/>
        <v>0</v>
      </c>
    </row>
    <row r="89" spans="2:14" ht="25.5" customHeight="1" outlineLevel="2" x14ac:dyDescent="0.25">
      <c r="B89" s="22" t="s">
        <v>316</v>
      </c>
      <c r="C89" s="20" t="s">
        <v>253</v>
      </c>
      <c r="D89" s="21" t="s">
        <v>205</v>
      </c>
      <c r="E89" s="22" t="s">
        <v>254</v>
      </c>
      <c r="F89" s="15" t="s">
        <v>49</v>
      </c>
      <c r="G89" s="15">
        <f>30*2</f>
        <v>60</v>
      </c>
      <c r="H89" s="16">
        <v>81.53</v>
      </c>
      <c r="I89" s="25">
        <f t="shared" si="12"/>
        <v>101.27</v>
      </c>
      <c r="J89" s="24">
        <f>TRUNC(N89,2)</f>
        <v>6076.2</v>
      </c>
      <c r="L89" s="25">
        <f t="shared" si="10"/>
        <v>101.276566</v>
      </c>
      <c r="N89" s="250">
        <f t="shared" si="11"/>
        <v>6076.2</v>
      </c>
    </row>
    <row r="90" spans="2:14" ht="54.75" customHeight="1" outlineLevel="2" x14ac:dyDescent="0.25">
      <c r="B90" s="22" t="s">
        <v>317</v>
      </c>
      <c r="C90" s="20">
        <v>106220</v>
      </c>
      <c r="D90" s="21" t="s">
        <v>21</v>
      </c>
      <c r="E90" s="22" t="s">
        <v>338</v>
      </c>
      <c r="F90" s="23" t="s">
        <v>52</v>
      </c>
      <c r="G90" s="23">
        <f>30*2</f>
        <v>60</v>
      </c>
      <c r="H90" s="24">
        <v>413</v>
      </c>
      <c r="I90" s="25">
        <f t="shared" si="12"/>
        <v>513.02</v>
      </c>
      <c r="J90" s="24">
        <f t="shared" ref="J90:J95" si="14">TRUNC(N90,2)</f>
        <v>30781.200000000001</v>
      </c>
      <c r="L90" s="25">
        <f t="shared" si="10"/>
        <v>513.02859999999998</v>
      </c>
      <c r="N90" s="250">
        <f t="shared" si="11"/>
        <v>30781.199999999997</v>
      </c>
    </row>
    <row r="91" spans="2:14" ht="25.5" customHeight="1" outlineLevel="2" x14ac:dyDescent="0.25">
      <c r="B91" s="22" t="s">
        <v>318</v>
      </c>
      <c r="C91" s="20">
        <v>100725</v>
      </c>
      <c r="D91" s="21" t="s">
        <v>21</v>
      </c>
      <c r="E91" s="22" t="s">
        <v>44</v>
      </c>
      <c r="F91" s="23" t="s">
        <v>47</v>
      </c>
      <c r="G91" s="23">
        <f>30*2*0.7</f>
        <v>42</v>
      </c>
      <c r="H91" s="24">
        <v>28</v>
      </c>
      <c r="I91" s="25">
        <f t="shared" si="12"/>
        <v>34.78</v>
      </c>
      <c r="J91" s="24">
        <f t="shared" si="14"/>
        <v>1460.76</v>
      </c>
      <c r="L91" s="25">
        <f t="shared" si="10"/>
        <v>34.781599999999997</v>
      </c>
      <c r="N91" s="250">
        <f t="shared" si="11"/>
        <v>1460.76</v>
      </c>
    </row>
    <row r="92" spans="2:14" ht="25.5" customHeight="1" outlineLevel="2" x14ac:dyDescent="0.25">
      <c r="B92" s="22" t="s">
        <v>319</v>
      </c>
      <c r="C92" s="20">
        <v>34723</v>
      </c>
      <c r="D92" s="21" t="s">
        <v>255</v>
      </c>
      <c r="E92" s="22" t="s">
        <v>256</v>
      </c>
      <c r="F92" s="23" t="s">
        <v>179</v>
      </c>
      <c r="G92" s="23">
        <v>2.88</v>
      </c>
      <c r="H92" s="24">
        <v>500</v>
      </c>
      <c r="I92" s="25">
        <f t="shared" si="12"/>
        <v>621.1</v>
      </c>
      <c r="J92" s="24">
        <f t="shared" si="14"/>
        <v>1788.76</v>
      </c>
      <c r="L92" s="25">
        <f t="shared" si="10"/>
        <v>621.1</v>
      </c>
      <c r="N92" s="250">
        <f t="shared" si="11"/>
        <v>1788.768</v>
      </c>
    </row>
    <row r="93" spans="2:14" ht="25.5" customHeight="1" outlineLevel="2" x14ac:dyDescent="0.25">
      <c r="B93" s="22" t="s">
        <v>320</v>
      </c>
      <c r="C93" s="20">
        <v>103695</v>
      </c>
      <c r="D93" s="21" t="s">
        <v>21</v>
      </c>
      <c r="E93" s="22" t="s">
        <v>207</v>
      </c>
      <c r="F93" s="23" t="s">
        <v>51</v>
      </c>
      <c r="G93" s="23">
        <v>8</v>
      </c>
      <c r="H93" s="24">
        <v>103</v>
      </c>
      <c r="I93" s="25">
        <f t="shared" si="12"/>
        <v>127.94</v>
      </c>
      <c r="J93" s="24">
        <f t="shared" si="14"/>
        <v>1023.52</v>
      </c>
      <c r="L93" s="25">
        <f t="shared" si="10"/>
        <v>127.9466</v>
      </c>
      <c r="N93" s="250">
        <f t="shared" si="11"/>
        <v>1023.52</v>
      </c>
    </row>
    <row r="94" spans="2:14" ht="12.75" customHeight="1" outlineLevel="2" x14ac:dyDescent="0.25">
      <c r="B94" s="22" t="s">
        <v>321</v>
      </c>
      <c r="C94" s="20">
        <v>2007971</v>
      </c>
      <c r="D94" s="21" t="s">
        <v>16</v>
      </c>
      <c r="E94" s="22" t="s">
        <v>68</v>
      </c>
      <c r="F94" s="23" t="s">
        <v>49</v>
      </c>
      <c r="G94" s="23">
        <v>10</v>
      </c>
      <c r="H94" s="24">
        <v>91</v>
      </c>
      <c r="I94" s="25">
        <f t="shared" si="12"/>
        <v>113.04</v>
      </c>
      <c r="J94" s="24">
        <f t="shared" si="14"/>
        <v>1130.4000000000001</v>
      </c>
      <c r="L94" s="25">
        <f t="shared" si="10"/>
        <v>113.0402</v>
      </c>
      <c r="N94" s="250">
        <f t="shared" si="11"/>
        <v>1130.4000000000001</v>
      </c>
    </row>
    <row r="95" spans="2:14" ht="12.75" customHeight="1" outlineLevel="2" x14ac:dyDescent="0.25">
      <c r="B95" s="22" t="s">
        <v>322</v>
      </c>
      <c r="C95" s="20">
        <v>99814</v>
      </c>
      <c r="D95" s="21" t="s">
        <v>21</v>
      </c>
      <c r="E95" s="22" t="s">
        <v>46</v>
      </c>
      <c r="F95" s="23" t="s">
        <v>47</v>
      </c>
      <c r="G95" s="23">
        <f>6*24</f>
        <v>144</v>
      </c>
      <c r="H95" s="24">
        <v>1.8</v>
      </c>
      <c r="I95" s="25">
        <f t="shared" si="12"/>
        <v>2.23</v>
      </c>
      <c r="J95" s="24">
        <f t="shared" si="14"/>
        <v>321.12</v>
      </c>
      <c r="L95" s="25">
        <f t="shared" si="10"/>
        <v>2.2359599999999999</v>
      </c>
      <c r="N95" s="250">
        <f t="shared" si="11"/>
        <v>321.12</v>
      </c>
    </row>
    <row r="97" spans="2:10" x14ac:dyDescent="0.25">
      <c r="B97" s="12" t="s">
        <v>48</v>
      </c>
    </row>
    <row r="100" spans="2:10" x14ac:dyDescent="0.2">
      <c r="C100" s="174" t="s">
        <v>412</v>
      </c>
      <c r="D100" s="174"/>
      <c r="E100" s="174"/>
      <c r="F100" s="174"/>
      <c r="G100" s="174"/>
      <c r="H100" s="174"/>
      <c r="I100" s="174"/>
      <c r="J100" s="36"/>
    </row>
    <row r="101" spans="2:10" x14ac:dyDescent="0.25">
      <c r="C101" s="121"/>
      <c r="D101" s="121"/>
      <c r="E101" s="121"/>
      <c r="F101" s="121"/>
      <c r="G101" s="121"/>
      <c r="H101" s="121"/>
      <c r="I101" s="121"/>
      <c r="J101" s="127"/>
    </row>
    <row r="102" spans="2:10" x14ac:dyDescent="0.25">
      <c r="C102" s="121"/>
      <c r="D102" s="121"/>
      <c r="E102" s="121"/>
      <c r="F102" s="121"/>
      <c r="G102" s="121"/>
      <c r="H102" s="121"/>
      <c r="I102" s="121"/>
    </row>
    <row r="103" spans="2:10" ht="14.25" x14ac:dyDescent="0.2">
      <c r="C103" s="52"/>
      <c r="D103" s="52"/>
      <c r="E103" s="52"/>
      <c r="F103" s="56"/>
      <c r="G103" s="56"/>
      <c r="H103" s="56"/>
      <c r="I103" s="56"/>
    </row>
    <row r="104" spans="2:10" ht="14.25" x14ac:dyDescent="0.2">
      <c r="C104" s="52"/>
      <c r="D104" s="52"/>
      <c r="E104" s="52"/>
      <c r="F104" s="56"/>
      <c r="G104" s="37"/>
      <c r="H104" s="37"/>
      <c r="I104" s="37"/>
    </row>
    <row r="105" spans="2:10" ht="14.25" x14ac:dyDescent="0.2">
      <c r="C105" s="52"/>
      <c r="D105" s="52"/>
      <c r="E105" s="52"/>
      <c r="F105" s="56"/>
      <c r="G105" s="169" t="s">
        <v>165</v>
      </c>
      <c r="H105" s="169"/>
      <c r="I105" s="169"/>
    </row>
    <row r="106" spans="2:10" ht="14.25" x14ac:dyDescent="0.2">
      <c r="C106" s="52"/>
      <c r="D106" s="52"/>
      <c r="E106" s="52"/>
      <c r="F106" s="56"/>
      <c r="G106" s="169" t="s">
        <v>166</v>
      </c>
      <c r="H106" s="169"/>
      <c r="I106" s="169"/>
    </row>
    <row r="107" spans="2:10" ht="14.25" x14ac:dyDescent="0.2">
      <c r="C107" s="52"/>
      <c r="D107" s="52"/>
      <c r="E107" s="52"/>
      <c r="F107" s="56"/>
      <c r="G107" s="169" t="s">
        <v>167</v>
      </c>
      <c r="H107" s="169"/>
      <c r="I107" s="169"/>
    </row>
  </sheetData>
  <mergeCells count="7">
    <mergeCell ref="L8:N8"/>
    <mergeCell ref="G105:I105"/>
    <mergeCell ref="G106:I106"/>
    <mergeCell ref="G107:I107"/>
    <mergeCell ref="B2:J2"/>
    <mergeCell ref="B9:I9"/>
    <mergeCell ref="C100:I100"/>
  </mergeCells>
  <pageMargins left="0.511811024" right="0.511811024" top="0.78740157499999996" bottom="0.78740157499999996" header="0.31496062000000002" footer="0.31496062000000002"/>
  <pageSetup paperSize="9" scale="57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workbookViewId="0">
      <selection activeCell="D49" sqref="D49"/>
    </sheetView>
  </sheetViews>
  <sheetFormatPr defaultRowHeight="15" x14ac:dyDescent="0.25"/>
  <cols>
    <col min="1" max="1" width="10.28515625" customWidth="1"/>
    <col min="2" max="2" width="42.5703125" customWidth="1"/>
    <col min="3" max="3" width="13.85546875" customWidth="1"/>
    <col min="4" max="4" width="16.42578125" customWidth="1"/>
    <col min="5" max="5" width="15.28515625" customWidth="1"/>
    <col min="6" max="6" width="16.5703125" customWidth="1"/>
  </cols>
  <sheetData>
    <row r="1" spans="1:6" ht="15.75" thickBot="1" x14ac:dyDescent="0.3">
      <c r="A1" s="175" t="s">
        <v>339</v>
      </c>
      <c r="B1" s="175"/>
      <c r="C1" s="175"/>
      <c r="D1" s="175"/>
      <c r="E1" s="175"/>
      <c r="F1" s="175"/>
    </row>
    <row r="2" spans="1:6" ht="15.75" thickBot="1" x14ac:dyDescent="0.3">
      <c r="A2" s="175"/>
      <c r="B2" s="175"/>
      <c r="C2" s="175"/>
      <c r="D2" s="175"/>
      <c r="E2" s="175"/>
      <c r="F2" s="175"/>
    </row>
    <row r="3" spans="1:6" ht="15.75" thickBot="1" x14ac:dyDescent="0.3">
      <c r="A3" s="175"/>
      <c r="B3" s="175"/>
      <c r="C3" s="175"/>
      <c r="D3" s="175"/>
      <c r="E3" s="175"/>
      <c r="F3" s="175"/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ht="15.75" thickBot="1" x14ac:dyDescent="0.3">
      <c r="A5" s="175"/>
      <c r="B5" s="175"/>
      <c r="C5" s="175"/>
      <c r="D5" s="175"/>
      <c r="E5" s="175"/>
      <c r="F5" s="175"/>
    </row>
    <row r="6" spans="1:6" ht="15.75" thickBot="1" x14ac:dyDescent="0.3">
      <c r="A6" s="175"/>
      <c r="B6" s="175"/>
      <c r="C6" s="175"/>
      <c r="D6" s="175"/>
      <c r="E6" s="175"/>
      <c r="F6" s="175"/>
    </row>
    <row r="7" spans="1:6" ht="15.75" thickBot="1" x14ac:dyDescent="0.3">
      <c r="A7" s="175"/>
      <c r="B7" s="175"/>
      <c r="C7" s="175"/>
      <c r="D7" s="175"/>
      <c r="E7" s="175"/>
      <c r="F7" s="175"/>
    </row>
    <row r="8" spans="1:6" ht="21" thickBot="1" x14ac:dyDescent="0.3">
      <c r="A8" s="176" t="s">
        <v>340</v>
      </c>
      <c r="B8" s="176"/>
      <c r="C8" s="176"/>
      <c r="D8" s="176"/>
      <c r="E8" s="176"/>
      <c r="F8" s="176"/>
    </row>
    <row r="9" spans="1:6" ht="16.5" thickBot="1" x14ac:dyDescent="0.3">
      <c r="A9" s="177" t="s">
        <v>176</v>
      </c>
      <c r="B9" s="178" t="s">
        <v>341</v>
      </c>
      <c r="C9" s="179" t="s">
        <v>342</v>
      </c>
      <c r="D9" s="179"/>
      <c r="E9" s="180" t="s">
        <v>343</v>
      </c>
      <c r="F9" s="180"/>
    </row>
    <row r="10" spans="1:6" ht="32.25" thickBot="1" x14ac:dyDescent="0.3">
      <c r="A10" s="177"/>
      <c r="B10" s="178"/>
      <c r="C10" s="149" t="s">
        <v>344</v>
      </c>
      <c r="D10" s="150" t="s">
        <v>345</v>
      </c>
      <c r="E10" s="151" t="s">
        <v>344</v>
      </c>
      <c r="F10" s="150" t="s">
        <v>345</v>
      </c>
    </row>
    <row r="11" spans="1:6" ht="15.75" x14ac:dyDescent="0.25">
      <c r="A11" s="179" t="s">
        <v>346</v>
      </c>
      <c r="B11" s="179"/>
      <c r="C11" s="179"/>
      <c r="D11" s="179"/>
      <c r="E11" s="179"/>
      <c r="F11" s="179"/>
    </row>
    <row r="12" spans="1:6" x14ac:dyDescent="0.25">
      <c r="A12" s="152" t="s">
        <v>347</v>
      </c>
      <c r="B12" s="153" t="s">
        <v>348</v>
      </c>
      <c r="C12" s="154">
        <v>0.05</v>
      </c>
      <c r="D12" s="154">
        <v>0.05</v>
      </c>
      <c r="E12" s="154">
        <v>0.2</v>
      </c>
      <c r="F12" s="155">
        <v>0.2</v>
      </c>
    </row>
    <row r="13" spans="1:6" x14ac:dyDescent="0.25">
      <c r="A13" s="152" t="s">
        <v>349</v>
      </c>
      <c r="B13" s="153" t="s">
        <v>350</v>
      </c>
      <c r="C13" s="154">
        <v>1.4999999999999999E-2</v>
      </c>
      <c r="D13" s="154">
        <v>1.4999999999999999E-2</v>
      </c>
      <c r="E13" s="154">
        <v>1.4999999999999999E-2</v>
      </c>
      <c r="F13" s="155">
        <v>1.4999999999999999E-2</v>
      </c>
    </row>
    <row r="14" spans="1:6" x14ac:dyDescent="0.25">
      <c r="A14" s="152" t="s">
        <v>351</v>
      </c>
      <c r="B14" s="153" t="s">
        <v>352</v>
      </c>
      <c r="C14" s="154">
        <v>0.01</v>
      </c>
      <c r="D14" s="154">
        <v>0.01</v>
      </c>
      <c r="E14" s="154">
        <v>0.01</v>
      </c>
      <c r="F14" s="155">
        <v>0.01</v>
      </c>
    </row>
    <row r="15" spans="1:6" x14ac:dyDescent="0.25">
      <c r="A15" s="152" t="s">
        <v>353</v>
      </c>
      <c r="B15" s="153" t="s">
        <v>354</v>
      </c>
      <c r="C15" s="154">
        <v>2E-3</v>
      </c>
      <c r="D15" s="154">
        <v>2E-3</v>
      </c>
      <c r="E15" s="154">
        <v>2E-3</v>
      </c>
      <c r="F15" s="155">
        <v>2E-3</v>
      </c>
    </row>
    <row r="16" spans="1:6" x14ac:dyDescent="0.25">
      <c r="A16" s="152" t="s">
        <v>355</v>
      </c>
      <c r="B16" s="153" t="s">
        <v>356</v>
      </c>
      <c r="C16" s="154">
        <v>6.0000000000000001E-3</v>
      </c>
      <c r="D16" s="154">
        <v>6.0000000000000001E-3</v>
      </c>
      <c r="E16" s="154">
        <v>6.0000000000000001E-3</v>
      </c>
      <c r="F16" s="155">
        <v>6.0000000000000001E-3</v>
      </c>
    </row>
    <row r="17" spans="1:6" x14ac:dyDescent="0.25">
      <c r="A17" s="152" t="s">
        <v>357</v>
      </c>
      <c r="B17" s="153" t="s">
        <v>358</v>
      </c>
      <c r="C17" s="154">
        <v>2.5000000000000001E-2</v>
      </c>
      <c r="D17" s="154">
        <v>2.5000000000000001E-2</v>
      </c>
      <c r="E17" s="154">
        <v>2.5000000000000001E-2</v>
      </c>
      <c r="F17" s="155">
        <v>2.5000000000000001E-2</v>
      </c>
    </row>
    <row r="18" spans="1:6" x14ac:dyDescent="0.25">
      <c r="A18" s="152" t="s">
        <v>359</v>
      </c>
      <c r="B18" s="153" t="s">
        <v>360</v>
      </c>
      <c r="C18" s="154">
        <v>0.03</v>
      </c>
      <c r="D18" s="154">
        <v>0.03</v>
      </c>
      <c r="E18" s="154">
        <v>0.03</v>
      </c>
      <c r="F18" s="155">
        <v>0.03</v>
      </c>
    </row>
    <row r="19" spans="1:6" x14ac:dyDescent="0.25">
      <c r="A19" s="152" t="s">
        <v>361</v>
      </c>
      <c r="B19" s="153" t="s">
        <v>362</v>
      </c>
      <c r="C19" s="154">
        <v>0.08</v>
      </c>
      <c r="D19" s="154">
        <v>0.08</v>
      </c>
      <c r="E19" s="154">
        <v>0.08</v>
      </c>
      <c r="F19" s="155">
        <v>0.08</v>
      </c>
    </row>
    <row r="20" spans="1:6" x14ac:dyDescent="0.25">
      <c r="A20" s="152" t="s">
        <v>363</v>
      </c>
      <c r="B20" s="153" t="s">
        <v>364</v>
      </c>
      <c r="C20" s="154">
        <v>0</v>
      </c>
      <c r="D20" s="154">
        <v>0</v>
      </c>
      <c r="E20" s="154">
        <v>0</v>
      </c>
      <c r="F20" s="155">
        <v>0</v>
      </c>
    </row>
    <row r="21" spans="1:6" ht="16.5" thickBot="1" x14ac:dyDescent="0.3">
      <c r="A21" s="156" t="s">
        <v>365</v>
      </c>
      <c r="B21" s="157" t="s">
        <v>13</v>
      </c>
      <c r="C21" s="158">
        <v>0.218</v>
      </c>
      <c r="D21" s="158">
        <v>0.218</v>
      </c>
      <c r="E21" s="158">
        <v>0.36799999999999999</v>
      </c>
      <c r="F21" s="159">
        <v>0.36799999999999999</v>
      </c>
    </row>
    <row r="22" spans="1:6" ht="15.75" x14ac:dyDescent="0.25">
      <c r="A22" s="179" t="s">
        <v>366</v>
      </c>
      <c r="B22" s="179"/>
      <c r="C22" s="179"/>
      <c r="D22" s="179"/>
      <c r="E22" s="179"/>
      <c r="F22" s="179"/>
    </row>
    <row r="23" spans="1:6" x14ac:dyDescent="0.25">
      <c r="A23" s="152" t="s">
        <v>367</v>
      </c>
      <c r="B23" s="153" t="s">
        <v>368</v>
      </c>
      <c r="C23" s="154">
        <v>0.17929999999999999</v>
      </c>
      <c r="D23" s="154" t="s">
        <v>369</v>
      </c>
      <c r="E23" s="154">
        <v>0.17929999999999999</v>
      </c>
      <c r="F23" s="154" t="s">
        <v>369</v>
      </c>
    </row>
    <row r="24" spans="1:6" x14ac:dyDescent="0.25">
      <c r="A24" s="152" t="s">
        <v>370</v>
      </c>
      <c r="B24" s="153" t="s">
        <v>371</v>
      </c>
      <c r="C24" s="154">
        <v>4.24E-2</v>
      </c>
      <c r="D24" s="154" t="s">
        <v>369</v>
      </c>
      <c r="E24" s="154">
        <v>4.24E-2</v>
      </c>
      <c r="F24" s="154" t="s">
        <v>369</v>
      </c>
    </row>
    <row r="25" spans="1:6" x14ac:dyDescent="0.25">
      <c r="A25" s="152" t="s">
        <v>372</v>
      </c>
      <c r="B25" s="153" t="s">
        <v>373</v>
      </c>
      <c r="C25" s="154">
        <v>8.5000000000000006E-3</v>
      </c>
      <c r="D25" s="154">
        <v>6.4999999999999997E-3</v>
      </c>
      <c r="E25" s="154">
        <v>8.5000000000000006E-3</v>
      </c>
      <c r="F25" s="154">
        <v>6.4999999999999997E-3</v>
      </c>
    </row>
    <row r="26" spans="1:6" x14ac:dyDescent="0.25">
      <c r="A26" s="152" t="s">
        <v>374</v>
      </c>
      <c r="B26" s="153" t="s">
        <v>375</v>
      </c>
      <c r="C26" s="154">
        <v>0.1096</v>
      </c>
      <c r="D26" s="154">
        <v>8.3299999999999999E-2</v>
      </c>
      <c r="E26" s="154">
        <v>0.1096</v>
      </c>
      <c r="F26" s="154">
        <v>8.3299999999999999E-2</v>
      </c>
    </row>
    <row r="27" spans="1:6" x14ac:dyDescent="0.25">
      <c r="A27" s="152" t="s">
        <v>376</v>
      </c>
      <c r="B27" s="153" t="s">
        <v>377</v>
      </c>
      <c r="C27" s="154">
        <v>6.9999999999999999E-4</v>
      </c>
      <c r="D27" s="154">
        <v>5.0000000000000001E-4</v>
      </c>
      <c r="E27" s="154">
        <v>6.9999999999999999E-4</v>
      </c>
      <c r="F27" s="154">
        <v>5.0000000000000001E-4</v>
      </c>
    </row>
    <row r="28" spans="1:6" x14ac:dyDescent="0.25">
      <c r="A28" s="152" t="s">
        <v>378</v>
      </c>
      <c r="B28" s="153" t="s">
        <v>379</v>
      </c>
      <c r="C28" s="154">
        <v>7.3000000000000001E-3</v>
      </c>
      <c r="D28" s="154">
        <v>5.5999999999999999E-3</v>
      </c>
      <c r="E28" s="154">
        <v>7.3000000000000001E-3</v>
      </c>
      <c r="F28" s="154">
        <v>5.5999999999999999E-3</v>
      </c>
    </row>
    <row r="29" spans="1:6" x14ac:dyDescent="0.25">
      <c r="A29" s="152" t="s">
        <v>380</v>
      </c>
      <c r="B29" s="153" t="s">
        <v>381</v>
      </c>
      <c r="C29" s="154">
        <v>1.5299999999999999E-2</v>
      </c>
      <c r="D29" s="154" t="s">
        <v>369</v>
      </c>
      <c r="E29" s="154">
        <v>1.5299999999999999E-2</v>
      </c>
      <c r="F29" s="154" t="s">
        <v>369</v>
      </c>
    </row>
    <row r="30" spans="1:6" x14ac:dyDescent="0.25">
      <c r="A30" s="152" t="s">
        <v>382</v>
      </c>
      <c r="B30" s="153" t="s">
        <v>383</v>
      </c>
      <c r="C30" s="154">
        <v>1E-3</v>
      </c>
      <c r="D30" s="154">
        <v>6.9999999999999999E-4</v>
      </c>
      <c r="E30" s="154">
        <v>1E-3</v>
      </c>
      <c r="F30" s="154">
        <v>6.9999999999999999E-4</v>
      </c>
    </row>
    <row r="31" spans="1:6" x14ac:dyDescent="0.25">
      <c r="A31" s="152" t="s">
        <v>384</v>
      </c>
      <c r="B31" s="153" t="s">
        <v>385</v>
      </c>
      <c r="C31" s="154">
        <v>0.1061</v>
      </c>
      <c r="D31" s="154">
        <v>8.0600000000000005E-2</v>
      </c>
      <c r="E31" s="154">
        <v>0.1061</v>
      </c>
      <c r="F31" s="154">
        <v>8.0600000000000005E-2</v>
      </c>
    </row>
    <row r="32" spans="1:6" x14ac:dyDescent="0.25">
      <c r="A32" s="152" t="s">
        <v>386</v>
      </c>
      <c r="B32" s="153" t="s">
        <v>387</v>
      </c>
      <c r="C32" s="154">
        <v>2.9999999999999997E-4</v>
      </c>
      <c r="D32" s="154">
        <v>2.9999999999999997E-4</v>
      </c>
      <c r="E32" s="154">
        <v>2.9999999999999997E-4</v>
      </c>
      <c r="F32" s="154">
        <v>2.9999999999999997E-4</v>
      </c>
    </row>
    <row r="33" spans="1:6" ht="16.5" thickBot="1" x14ac:dyDescent="0.3">
      <c r="A33" s="156" t="s">
        <v>388</v>
      </c>
      <c r="B33" s="157" t="s">
        <v>13</v>
      </c>
      <c r="C33" s="158">
        <v>0.47049999999999997</v>
      </c>
      <c r="D33" s="158">
        <v>0.17749999999999999</v>
      </c>
      <c r="E33" s="158">
        <v>0.47049999999999997</v>
      </c>
      <c r="F33" s="159">
        <v>0.17749999999999999</v>
      </c>
    </row>
    <row r="34" spans="1:6" ht="15.75" x14ac:dyDescent="0.25">
      <c r="A34" s="179" t="s">
        <v>389</v>
      </c>
      <c r="B34" s="179"/>
      <c r="C34" s="179"/>
      <c r="D34" s="179"/>
      <c r="E34" s="179"/>
      <c r="F34" s="179"/>
    </row>
    <row r="35" spans="1:6" x14ac:dyDescent="0.25">
      <c r="A35" s="152" t="s">
        <v>390</v>
      </c>
      <c r="B35" s="153" t="s">
        <v>391</v>
      </c>
      <c r="C35" s="154">
        <v>4.5699999999999998E-2</v>
      </c>
      <c r="D35" s="154">
        <v>3.4700000000000002E-2</v>
      </c>
      <c r="E35" s="154">
        <v>4.5699999999999998E-2</v>
      </c>
      <c r="F35" s="154">
        <v>3.4700000000000002E-2</v>
      </c>
    </row>
    <row r="36" spans="1:6" x14ac:dyDescent="0.25">
      <c r="A36" s="152" t="s">
        <v>392</v>
      </c>
      <c r="B36" s="153" t="s">
        <v>393</v>
      </c>
      <c r="C36" s="154">
        <v>1.1000000000000001E-3</v>
      </c>
      <c r="D36" s="154">
        <v>8.0000000000000004E-4</v>
      </c>
      <c r="E36" s="154">
        <v>1.1000000000000001E-3</v>
      </c>
      <c r="F36" s="154">
        <v>8.0000000000000004E-4</v>
      </c>
    </row>
    <row r="37" spans="1:6" x14ac:dyDescent="0.25">
      <c r="A37" s="152" t="s">
        <v>394</v>
      </c>
      <c r="B37" s="153" t="s">
        <v>395</v>
      </c>
      <c r="C37" s="154">
        <v>3.4599999999999999E-2</v>
      </c>
      <c r="D37" s="154">
        <v>2.63E-2</v>
      </c>
      <c r="E37" s="154">
        <v>3.4599999999999999E-2</v>
      </c>
      <c r="F37" s="154">
        <v>2.63E-2</v>
      </c>
    </row>
    <row r="38" spans="1:6" x14ac:dyDescent="0.25">
      <c r="A38" s="152" t="s">
        <v>396</v>
      </c>
      <c r="B38" s="153" t="s">
        <v>397</v>
      </c>
      <c r="C38" s="154">
        <v>2.75E-2</v>
      </c>
      <c r="D38" s="154">
        <v>2.0899999999999998E-2</v>
      </c>
      <c r="E38" s="154">
        <v>2.75E-2</v>
      </c>
      <c r="F38" s="154">
        <v>2.0899999999999998E-2</v>
      </c>
    </row>
    <row r="39" spans="1:6" x14ac:dyDescent="0.25">
      <c r="A39" s="152" t="s">
        <v>398</v>
      </c>
      <c r="B39" s="153" t="s">
        <v>399</v>
      </c>
      <c r="C39" s="154">
        <v>3.8E-3</v>
      </c>
      <c r="D39" s="154">
        <v>2.8999999999999998E-3</v>
      </c>
      <c r="E39" s="154">
        <v>3.8E-3</v>
      </c>
      <c r="F39" s="154">
        <v>2.8999999999999998E-3</v>
      </c>
    </row>
    <row r="40" spans="1:6" ht="16.5" thickBot="1" x14ac:dyDescent="0.3">
      <c r="A40" s="156" t="s">
        <v>400</v>
      </c>
      <c r="B40" s="157" t="s">
        <v>13</v>
      </c>
      <c r="C40" s="158">
        <v>0.11269999999999999</v>
      </c>
      <c r="D40" s="158">
        <v>8.5599999999999996E-2</v>
      </c>
      <c r="E40" s="158">
        <v>0.11269999999999999</v>
      </c>
      <c r="F40" s="158">
        <v>8.5599999999999996E-2</v>
      </c>
    </row>
    <row r="41" spans="1:6" ht="15.75" x14ac:dyDescent="0.25">
      <c r="A41" s="179" t="s">
        <v>401</v>
      </c>
      <c r="B41" s="179"/>
      <c r="C41" s="179"/>
      <c r="D41" s="179"/>
      <c r="E41" s="179"/>
      <c r="F41" s="179"/>
    </row>
    <row r="42" spans="1:6" x14ac:dyDescent="0.25">
      <c r="A42" s="152" t="s">
        <v>402</v>
      </c>
      <c r="B42" s="153" t="s">
        <v>403</v>
      </c>
      <c r="C42" s="154">
        <v>9.7100000000000006E-2</v>
      </c>
      <c r="D42" s="154">
        <v>3.4500000000000003E-2</v>
      </c>
      <c r="E42" s="154">
        <v>0.1731</v>
      </c>
      <c r="F42" s="155">
        <v>6.5299999999999997E-2</v>
      </c>
    </row>
    <row r="43" spans="1:6" ht="45" x14ac:dyDescent="0.25">
      <c r="A43" s="160" t="s">
        <v>404</v>
      </c>
      <c r="B43" s="161" t="s">
        <v>405</v>
      </c>
      <c r="C43" s="162">
        <v>3.8999999999999998E-3</v>
      </c>
      <c r="D43" s="162">
        <v>3.0000000000000001E-3</v>
      </c>
      <c r="E43" s="162">
        <v>4.1000000000000003E-3</v>
      </c>
      <c r="F43" s="163">
        <v>3.0999999999999999E-3</v>
      </c>
    </row>
    <row r="44" spans="1:6" ht="16.5" thickBot="1" x14ac:dyDescent="0.3">
      <c r="A44" s="156" t="s">
        <v>406</v>
      </c>
      <c r="B44" s="157" t="s">
        <v>13</v>
      </c>
      <c r="C44" s="158">
        <v>0.10100000000000001</v>
      </c>
      <c r="D44" s="158">
        <v>3.7499999999999999E-2</v>
      </c>
      <c r="E44" s="158">
        <v>0.1772</v>
      </c>
      <c r="F44" s="159">
        <v>6.8400000000000002E-2</v>
      </c>
    </row>
    <row r="45" spans="1:6" ht="18.75" thickBot="1" x14ac:dyDescent="0.3">
      <c r="A45" s="183" t="s">
        <v>407</v>
      </c>
      <c r="B45" s="183"/>
      <c r="C45" s="164">
        <v>0.9022</v>
      </c>
      <c r="D45" s="164">
        <v>0.51859999999999995</v>
      </c>
      <c r="E45" s="164">
        <v>1.1284000000000001</v>
      </c>
      <c r="F45" s="165">
        <v>0.69950000000000001</v>
      </c>
    </row>
    <row r="46" spans="1:6" x14ac:dyDescent="0.25">
      <c r="A46" s="166"/>
      <c r="B46" s="167"/>
      <c r="C46" s="167"/>
      <c r="D46" s="167"/>
      <c r="E46" s="167"/>
      <c r="F46" s="167"/>
    </row>
    <row r="47" spans="1:6" x14ac:dyDescent="0.25">
      <c r="A47" s="166"/>
      <c r="B47" s="167"/>
      <c r="C47" s="167"/>
      <c r="D47" s="167"/>
      <c r="E47" s="167"/>
      <c r="F47" s="167"/>
    </row>
    <row r="48" spans="1:6" x14ac:dyDescent="0.25">
      <c r="A48" s="166"/>
      <c r="B48" s="167"/>
      <c r="C48" s="167"/>
      <c r="D48" s="184" t="s">
        <v>410</v>
      </c>
      <c r="E48" s="184"/>
      <c r="F48" s="184"/>
    </row>
    <row r="49" spans="1:6" x14ac:dyDescent="0.25">
      <c r="A49" s="166"/>
      <c r="B49" s="167"/>
      <c r="C49" s="167"/>
      <c r="D49" s="168"/>
      <c r="E49" s="168"/>
      <c r="F49" s="168"/>
    </row>
    <row r="50" spans="1:6" x14ac:dyDescent="0.25">
      <c r="A50" s="166"/>
      <c r="B50" s="167"/>
      <c r="C50" s="167"/>
      <c r="D50" s="168"/>
      <c r="E50" s="168"/>
      <c r="F50" s="168"/>
    </row>
    <row r="51" spans="1:6" x14ac:dyDescent="0.25">
      <c r="A51" s="166"/>
      <c r="B51" s="167"/>
      <c r="C51" s="167"/>
      <c r="D51" s="168"/>
      <c r="E51" s="168"/>
      <c r="F51" s="168"/>
    </row>
    <row r="52" spans="1:6" x14ac:dyDescent="0.25">
      <c r="A52" s="166"/>
      <c r="B52" s="167"/>
      <c r="C52" s="167"/>
      <c r="D52" s="168"/>
      <c r="E52" s="168"/>
      <c r="F52" s="168"/>
    </row>
    <row r="53" spans="1:6" x14ac:dyDescent="0.25">
      <c r="A53" s="166"/>
      <c r="B53" s="167"/>
      <c r="C53" s="167"/>
      <c r="D53" s="167"/>
      <c r="E53" s="167"/>
      <c r="F53" s="167"/>
    </row>
    <row r="54" spans="1:6" x14ac:dyDescent="0.25">
      <c r="A54" s="166"/>
      <c r="B54" s="167"/>
      <c r="C54" s="167"/>
      <c r="D54" s="167"/>
      <c r="E54" s="167"/>
      <c r="F54" s="167"/>
    </row>
    <row r="55" spans="1:6" x14ac:dyDescent="0.25">
      <c r="A55" s="181" t="s">
        <v>408</v>
      </c>
      <c r="B55" s="181"/>
      <c r="C55" s="181" t="s">
        <v>409</v>
      </c>
      <c r="D55" s="181"/>
      <c r="E55" s="181"/>
      <c r="F55" s="181"/>
    </row>
    <row r="56" spans="1:6" x14ac:dyDescent="0.25">
      <c r="A56" s="182"/>
      <c r="B56" s="182"/>
      <c r="C56" s="182"/>
      <c r="D56" s="182"/>
      <c r="E56" s="182"/>
      <c r="F56" s="182"/>
    </row>
    <row r="57" spans="1:6" x14ac:dyDescent="0.25">
      <c r="A57" s="182"/>
      <c r="B57" s="182"/>
      <c r="C57" s="182"/>
      <c r="D57" s="182"/>
      <c r="E57" s="182"/>
      <c r="F57" s="182"/>
    </row>
    <row r="58" spans="1:6" x14ac:dyDescent="0.25">
      <c r="A58" s="182"/>
      <c r="B58" s="182"/>
      <c r="C58" s="182"/>
      <c r="D58" s="182"/>
      <c r="E58" s="182"/>
      <c r="F58" s="182"/>
    </row>
    <row r="59" spans="1:6" x14ac:dyDescent="0.25">
      <c r="A59" s="182"/>
      <c r="B59" s="182"/>
      <c r="C59" s="182"/>
      <c r="D59" s="182"/>
      <c r="E59" s="182"/>
      <c r="F59" s="182"/>
    </row>
  </sheetData>
  <mergeCells count="14">
    <mergeCell ref="A55:B59"/>
    <mergeCell ref="C55:F59"/>
    <mergeCell ref="A11:F11"/>
    <mergeCell ref="A22:F22"/>
    <mergeCell ref="A34:F34"/>
    <mergeCell ref="A41:F41"/>
    <mergeCell ref="A45:B45"/>
    <mergeCell ref="D48:F48"/>
    <mergeCell ref="A1:F7"/>
    <mergeCell ref="A8:F8"/>
    <mergeCell ref="A9:A10"/>
    <mergeCell ref="B9:B10"/>
    <mergeCell ref="C9:D9"/>
    <mergeCell ref="E9:F9"/>
  </mergeCells>
  <pageMargins left="0.511811024" right="0.511811024" top="0.78740157499999996" bottom="0.78740157499999996" header="0.31496062000000002" footer="0.31496062000000002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"/>
  <sheetViews>
    <sheetView workbookViewId="0">
      <selection activeCell="B21" sqref="B21"/>
    </sheetView>
  </sheetViews>
  <sheetFormatPr defaultColWidth="9.140625" defaultRowHeight="14.25" x14ac:dyDescent="0.2"/>
  <cols>
    <col min="1" max="1" width="4.28515625" style="52" customWidth="1"/>
    <col min="2" max="2" width="9.28515625" style="52" bestFit="1" customWidth="1"/>
    <col min="3" max="3" width="45.5703125" style="52" customWidth="1"/>
    <col min="4" max="4" width="13.5703125" style="52" bestFit="1" customWidth="1"/>
    <col min="5" max="7" width="12.140625" style="56" bestFit="1" customWidth="1"/>
    <col min="8" max="9" width="12.140625" style="56" customWidth="1"/>
    <col min="10" max="10" width="9.140625" style="52"/>
    <col min="11" max="11" width="16.140625" style="52" bestFit="1" customWidth="1"/>
    <col min="12" max="16384" width="9.140625" style="52"/>
  </cols>
  <sheetData>
    <row r="1" spans="2:9" x14ac:dyDescent="0.2">
      <c r="B1" s="185"/>
      <c r="C1" s="185"/>
      <c r="D1" s="185"/>
      <c r="E1" s="185"/>
      <c r="F1" s="185"/>
      <c r="G1" s="185"/>
      <c r="H1" s="53"/>
      <c r="I1" s="53"/>
    </row>
    <row r="2" spans="2:9" x14ac:dyDescent="0.2">
      <c r="B2" s="188" t="s">
        <v>70</v>
      </c>
      <c r="C2" s="188"/>
      <c r="D2" s="188"/>
      <c r="E2" s="188"/>
      <c r="F2" s="188"/>
      <c r="G2" s="188"/>
      <c r="H2" s="188"/>
      <c r="I2" s="188"/>
    </row>
    <row r="3" spans="2:9" x14ac:dyDescent="0.2">
      <c r="B3" s="53"/>
      <c r="C3" s="53"/>
      <c r="D3" s="53"/>
      <c r="E3" s="53"/>
      <c r="F3" s="53"/>
      <c r="G3" s="53"/>
      <c r="H3" s="53"/>
      <c r="I3" s="53"/>
    </row>
    <row r="4" spans="2:9" x14ac:dyDescent="0.2">
      <c r="B4" s="188" t="s">
        <v>160</v>
      </c>
      <c r="C4" s="188"/>
      <c r="D4" s="188"/>
      <c r="E4" s="188"/>
      <c r="F4" s="188"/>
      <c r="G4" s="188"/>
      <c r="H4" s="188"/>
      <c r="I4" s="188"/>
    </row>
    <row r="5" spans="2:9" x14ac:dyDescent="0.2">
      <c r="B5" s="189" t="s">
        <v>331</v>
      </c>
      <c r="C5" s="189"/>
      <c r="D5" s="189"/>
      <c r="E5" s="189"/>
      <c r="F5" s="189"/>
      <c r="G5" s="189"/>
      <c r="H5" s="189"/>
      <c r="I5" s="189"/>
    </row>
    <row r="6" spans="2:9" x14ac:dyDescent="0.2">
      <c r="B6" s="53"/>
      <c r="C6" s="53"/>
      <c r="D6" s="53"/>
      <c r="E6" s="53"/>
      <c r="F6" s="53"/>
      <c r="G6" s="53"/>
      <c r="H6" s="53"/>
      <c r="I6" s="53"/>
    </row>
    <row r="7" spans="2:9" x14ac:dyDescent="0.2">
      <c r="B7" s="186" t="s">
        <v>70</v>
      </c>
      <c r="C7" s="186"/>
      <c r="D7" s="186"/>
      <c r="E7" s="186"/>
      <c r="F7" s="186"/>
      <c r="G7" s="186"/>
      <c r="H7" s="186"/>
      <c r="I7" s="186"/>
    </row>
    <row r="8" spans="2:9" x14ac:dyDescent="0.2">
      <c r="B8" s="187" t="s">
        <v>160</v>
      </c>
      <c r="C8" s="187"/>
      <c r="D8" s="187"/>
      <c r="E8" s="187"/>
      <c r="F8" s="187"/>
      <c r="G8" s="187"/>
      <c r="H8" s="187"/>
      <c r="I8" s="187"/>
    </row>
    <row r="9" spans="2:9" x14ac:dyDescent="0.2">
      <c r="B9" s="190" t="s">
        <v>259</v>
      </c>
      <c r="C9" s="190"/>
      <c r="D9" s="190"/>
      <c r="E9" s="190"/>
      <c r="F9" s="190"/>
      <c r="G9" s="190"/>
      <c r="H9" s="190"/>
      <c r="I9" s="190"/>
    </row>
    <row r="10" spans="2:9" s="54" customFormat="1" x14ac:dyDescent="0.2">
      <c r="B10" s="92" t="s">
        <v>71</v>
      </c>
      <c r="C10" s="93" t="s">
        <v>72</v>
      </c>
      <c r="D10" s="94" t="s">
        <v>73</v>
      </c>
      <c r="E10" s="95" t="s">
        <v>74</v>
      </c>
      <c r="F10" s="95" t="s">
        <v>75</v>
      </c>
      <c r="G10" s="95" t="s">
        <v>76</v>
      </c>
      <c r="H10" s="95" t="s">
        <v>77</v>
      </c>
      <c r="I10" s="95" t="s">
        <v>323</v>
      </c>
    </row>
    <row r="11" spans="2:9" s="54" customFormat="1" x14ac:dyDescent="0.2">
      <c r="B11" s="100">
        <v>1</v>
      </c>
      <c r="C11" s="101" t="s">
        <v>14</v>
      </c>
      <c r="D11" s="102">
        <f>ORÇAMENTO!J10</f>
        <v>99506.43</v>
      </c>
      <c r="E11" s="103">
        <f>D11*0.2</f>
        <v>19901.286</v>
      </c>
      <c r="F11" s="103">
        <f>D11*0.2</f>
        <v>19901.286</v>
      </c>
      <c r="G11" s="103">
        <f>D11*0.2</f>
        <v>19901.286</v>
      </c>
      <c r="H11" s="103">
        <f>D11*0.2</f>
        <v>19901.286</v>
      </c>
      <c r="I11" s="103">
        <f>D11*0.2</f>
        <v>19901.286</v>
      </c>
    </row>
    <row r="12" spans="2:9" s="55" customFormat="1" x14ac:dyDescent="0.25">
      <c r="B12" s="104">
        <v>2</v>
      </c>
      <c r="C12" s="101" t="s">
        <v>17</v>
      </c>
      <c r="D12" s="102">
        <f>ORÇAMENTO!J12</f>
        <v>42174.1</v>
      </c>
      <c r="E12" s="103">
        <f>D12*0.6</f>
        <v>25304.46</v>
      </c>
      <c r="F12" s="103">
        <f>D12*0.1</f>
        <v>4217.41</v>
      </c>
      <c r="G12" s="103">
        <f>D12*0.1</f>
        <v>4217.41</v>
      </c>
      <c r="H12" s="103">
        <f>D12*0.1</f>
        <v>4217.41</v>
      </c>
      <c r="I12" s="103">
        <f>D12*0.1</f>
        <v>4217.41</v>
      </c>
    </row>
    <row r="13" spans="2:9" s="55" customFormat="1" x14ac:dyDescent="0.25">
      <c r="B13" s="104">
        <v>3</v>
      </c>
      <c r="C13" s="101" t="str">
        <f>ORÇAMENTO!E22</f>
        <v>INFRAESTRUTURA</v>
      </c>
      <c r="D13" s="146">
        <f>ORÇAMENTO!J22</f>
        <v>66891.739999999991</v>
      </c>
      <c r="E13" s="103">
        <f>D13*1</f>
        <v>66891.739999999991</v>
      </c>
      <c r="F13" s="103"/>
      <c r="G13" s="103"/>
      <c r="H13" s="103"/>
      <c r="I13" s="103"/>
    </row>
    <row r="14" spans="2:9" s="55" customFormat="1" x14ac:dyDescent="0.25">
      <c r="B14" s="100">
        <v>4</v>
      </c>
      <c r="C14" s="105" t="s">
        <v>28</v>
      </c>
      <c r="D14" s="102">
        <f>ORÇAMENTO!J36</f>
        <v>160094.47999999998</v>
      </c>
      <c r="E14" s="103"/>
      <c r="F14" s="103">
        <f>D14*0.7</f>
        <v>112066.13599999998</v>
      </c>
      <c r="G14" s="103">
        <f>D14*0.3</f>
        <v>48028.34399999999</v>
      </c>
      <c r="H14" s="103"/>
      <c r="I14" s="103">
        <v>0</v>
      </c>
    </row>
    <row r="15" spans="2:9" x14ac:dyDescent="0.2">
      <c r="B15" s="104">
        <v>5</v>
      </c>
      <c r="C15" s="105" t="s">
        <v>41</v>
      </c>
      <c r="D15" s="102">
        <f>ORÇAMENTO!J58</f>
        <v>350635.93000000005</v>
      </c>
      <c r="E15" s="103"/>
      <c r="F15" s="103"/>
      <c r="G15" s="103">
        <f>D15*0.4</f>
        <v>140254.37200000003</v>
      </c>
      <c r="H15" s="103">
        <f>D15*0.3</f>
        <v>105190.77900000001</v>
      </c>
      <c r="I15" s="103">
        <f>D15*0.3</f>
        <v>105190.77900000001</v>
      </c>
    </row>
    <row r="16" spans="2:9" x14ac:dyDescent="0.2">
      <c r="B16" s="104">
        <v>6</v>
      </c>
      <c r="C16" s="105" t="s">
        <v>45</v>
      </c>
      <c r="D16" s="102">
        <f>ORÇAMENTO!J88</f>
        <v>42581.960000000006</v>
      </c>
      <c r="E16" s="103"/>
      <c r="F16" s="103"/>
      <c r="G16" s="103"/>
      <c r="H16" s="103"/>
      <c r="I16" s="103">
        <f>D16</f>
        <v>42581.960000000006</v>
      </c>
    </row>
    <row r="17" spans="2:11" x14ac:dyDescent="0.2">
      <c r="B17" s="96"/>
      <c r="C17" s="97" t="s">
        <v>69</v>
      </c>
      <c r="D17" s="98">
        <f>SUM(D11:D16)</f>
        <v>761884.64</v>
      </c>
      <c r="E17" s="98">
        <f t="shared" ref="E17:I17" si="0">SUM(E11:E16)</f>
        <v>112097.48599999999</v>
      </c>
      <c r="F17" s="98">
        <f t="shared" si="0"/>
        <v>136184.83199999999</v>
      </c>
      <c r="G17" s="98">
        <f t="shared" si="0"/>
        <v>212401.41200000001</v>
      </c>
      <c r="H17" s="98">
        <f t="shared" ref="H17" si="1">SUM(H11:H16)</f>
        <v>129309.47500000001</v>
      </c>
      <c r="I17" s="98">
        <f t="shared" si="0"/>
        <v>171891.435</v>
      </c>
      <c r="K17" s="145"/>
    </row>
    <row r="18" spans="2:11" x14ac:dyDescent="0.2">
      <c r="B18" s="96"/>
      <c r="C18" s="97" t="s">
        <v>78</v>
      </c>
      <c r="D18" s="99">
        <f>SUM(E18:I18)</f>
        <v>1</v>
      </c>
      <c r="E18" s="99">
        <f>E17/D17</f>
        <v>0.14713183612679209</v>
      </c>
      <c r="F18" s="99">
        <f>F17/D17</f>
        <v>0.17874731271652883</v>
      </c>
      <c r="G18" s="99">
        <f>G17/D17</f>
        <v>0.278784215941143</v>
      </c>
      <c r="H18" s="99">
        <f>H17/D17</f>
        <v>0.16972316832637552</v>
      </c>
      <c r="I18" s="99">
        <f>I17/D17</f>
        <v>0.22561346688916054</v>
      </c>
    </row>
    <row r="20" spans="2:11" x14ac:dyDescent="0.2">
      <c r="B20" s="174" t="s">
        <v>412</v>
      </c>
      <c r="C20" s="174"/>
      <c r="D20" s="174"/>
      <c r="E20" s="174"/>
      <c r="F20" s="174"/>
      <c r="G20" s="174"/>
      <c r="H20" s="174"/>
      <c r="I20" s="174"/>
      <c r="J20" s="122"/>
    </row>
    <row r="21" spans="2:11" x14ac:dyDescent="0.2">
      <c r="B21" s="121"/>
      <c r="C21" s="121"/>
      <c r="D21" s="121"/>
      <c r="E21" s="121"/>
      <c r="F21" s="121"/>
      <c r="G21" s="121"/>
      <c r="H21" s="121"/>
      <c r="I21" s="121"/>
      <c r="J21" s="122"/>
    </row>
    <row r="22" spans="2:11" x14ac:dyDescent="0.2">
      <c r="B22" s="121"/>
      <c r="C22" s="121"/>
      <c r="D22" s="121"/>
      <c r="E22" s="121"/>
      <c r="F22" s="121"/>
      <c r="G22" s="121"/>
      <c r="H22" s="121"/>
      <c r="I22" s="121"/>
      <c r="J22" s="122"/>
    </row>
    <row r="24" spans="2:11" x14ac:dyDescent="0.2">
      <c r="F24" s="37"/>
      <c r="G24" s="37"/>
      <c r="H24" s="37"/>
      <c r="I24" s="37"/>
    </row>
    <row r="25" spans="2:11" x14ac:dyDescent="0.2">
      <c r="F25" s="169" t="s">
        <v>165</v>
      </c>
      <c r="G25" s="169"/>
      <c r="H25" s="169"/>
      <c r="I25" s="169"/>
    </row>
    <row r="26" spans="2:11" x14ac:dyDescent="0.2">
      <c r="F26" s="169" t="s">
        <v>166</v>
      </c>
      <c r="G26" s="169"/>
      <c r="H26" s="169"/>
      <c r="I26" s="169"/>
    </row>
    <row r="27" spans="2:11" x14ac:dyDescent="0.2">
      <c r="F27" s="169" t="s">
        <v>167</v>
      </c>
      <c r="G27" s="169"/>
      <c r="H27" s="169"/>
      <c r="I27" s="169"/>
    </row>
  </sheetData>
  <mergeCells count="11">
    <mergeCell ref="F26:I26"/>
    <mergeCell ref="F27:I27"/>
    <mergeCell ref="B20:I20"/>
    <mergeCell ref="B1:G1"/>
    <mergeCell ref="B7:I7"/>
    <mergeCell ref="B8:I8"/>
    <mergeCell ref="F25:I25"/>
    <mergeCell ref="B2:I2"/>
    <mergeCell ref="B5:I5"/>
    <mergeCell ref="B4:I4"/>
    <mergeCell ref="B9:I9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24"/>
  <sheetViews>
    <sheetView workbookViewId="0">
      <selection activeCell="D14" sqref="D14"/>
    </sheetView>
  </sheetViews>
  <sheetFormatPr defaultColWidth="9.140625" defaultRowHeight="12.75" x14ac:dyDescent="0.2"/>
  <cols>
    <col min="1" max="1" width="2.5703125" style="38" customWidth="1"/>
    <col min="2" max="2" width="89.5703125" style="38" customWidth="1"/>
    <col min="3" max="3" width="15.5703125" style="38" customWidth="1"/>
    <col min="4" max="4" width="9.140625" style="38"/>
    <col min="5" max="5" width="2.28515625" style="38" customWidth="1"/>
    <col min="6" max="16384" width="9.140625" style="38"/>
  </cols>
  <sheetData>
    <row r="1" spans="2:4" x14ac:dyDescent="0.2">
      <c r="B1" s="193"/>
      <c r="C1" s="193"/>
      <c r="D1" s="60"/>
    </row>
    <row r="2" spans="2:4" x14ac:dyDescent="0.2">
      <c r="B2" s="186" t="s">
        <v>160</v>
      </c>
      <c r="C2" s="186"/>
      <c r="D2" s="186"/>
    </row>
    <row r="3" spans="2:4" x14ac:dyDescent="0.2">
      <c r="B3" s="192" t="s">
        <v>161</v>
      </c>
      <c r="C3" s="192"/>
      <c r="D3" s="192"/>
    </row>
    <row r="4" spans="2:4" x14ac:dyDescent="0.2">
      <c r="B4" s="35"/>
      <c r="C4" s="35"/>
      <c r="D4" s="61"/>
    </row>
    <row r="5" spans="2:4" x14ac:dyDescent="0.2">
      <c r="B5" s="194" t="s">
        <v>80</v>
      </c>
      <c r="C5" s="194"/>
      <c r="D5" s="194"/>
    </row>
    <row r="6" spans="2:4" x14ac:dyDescent="0.2">
      <c r="B6" s="195"/>
      <c r="C6" s="195"/>
      <c r="D6" s="35"/>
    </row>
    <row r="7" spans="2:4" x14ac:dyDescent="0.2">
      <c r="B7" s="106" t="s">
        <v>81</v>
      </c>
      <c r="C7" s="106" t="s">
        <v>82</v>
      </c>
      <c r="D7" s="91" t="s">
        <v>4</v>
      </c>
    </row>
    <row r="8" spans="2:4" x14ac:dyDescent="0.2">
      <c r="B8" s="107" t="s">
        <v>162</v>
      </c>
      <c r="C8" s="124" t="s">
        <v>83</v>
      </c>
      <c r="D8" s="108">
        <v>48</v>
      </c>
    </row>
    <row r="9" spans="2:4" x14ac:dyDescent="0.2">
      <c r="B9" s="107" t="s">
        <v>258</v>
      </c>
      <c r="C9" s="124" t="s">
        <v>84</v>
      </c>
      <c r="D9" s="108">
        <v>3</v>
      </c>
    </row>
    <row r="10" spans="2:4" x14ac:dyDescent="0.2">
      <c r="B10" s="39"/>
      <c r="C10" s="125"/>
      <c r="D10" s="39"/>
    </row>
    <row r="11" spans="2:4" x14ac:dyDescent="0.2">
      <c r="B11" s="106" t="s">
        <v>164</v>
      </c>
      <c r="C11" s="91" t="s">
        <v>82</v>
      </c>
      <c r="D11" s="91" t="s">
        <v>4</v>
      </c>
    </row>
    <row r="12" spans="2:4" x14ac:dyDescent="0.2">
      <c r="B12" s="107" t="s">
        <v>163</v>
      </c>
      <c r="C12" s="124" t="s">
        <v>83</v>
      </c>
      <c r="D12" s="108">
        <v>85</v>
      </c>
    </row>
    <row r="13" spans="2:4" x14ac:dyDescent="0.2">
      <c r="B13" s="107" t="s">
        <v>258</v>
      </c>
      <c r="C13" s="124" t="s">
        <v>84</v>
      </c>
      <c r="D13" s="108">
        <v>3</v>
      </c>
    </row>
    <row r="14" spans="2:4" x14ac:dyDescent="0.2">
      <c r="B14" s="36"/>
      <c r="C14" s="36"/>
      <c r="D14" s="36"/>
    </row>
    <row r="15" spans="2:4" x14ac:dyDescent="0.2">
      <c r="B15" s="36"/>
      <c r="C15" s="36"/>
      <c r="D15" s="36"/>
    </row>
    <row r="16" spans="2:4" ht="15" customHeight="1" x14ac:dyDescent="0.2">
      <c r="B16" s="196" t="s">
        <v>332</v>
      </c>
      <c r="C16" s="196"/>
      <c r="D16" s="196"/>
    </row>
    <row r="17" spans="2:4" ht="15" customHeight="1" x14ac:dyDescent="0.2">
      <c r="B17" s="50"/>
      <c r="C17" s="50"/>
      <c r="D17" s="50"/>
    </row>
    <row r="18" spans="2:4" ht="15" customHeight="1" x14ac:dyDescent="0.2">
      <c r="B18" s="50"/>
      <c r="C18" s="50"/>
      <c r="D18" s="50"/>
    </row>
    <row r="19" spans="2:4" x14ac:dyDescent="0.2">
      <c r="B19" s="36"/>
      <c r="C19" s="36"/>
      <c r="D19" s="36"/>
    </row>
    <row r="20" spans="2:4" x14ac:dyDescent="0.2">
      <c r="B20" s="36"/>
      <c r="C20" s="36"/>
      <c r="D20" s="36"/>
    </row>
    <row r="21" spans="2:4" x14ac:dyDescent="0.2">
      <c r="C21" s="37"/>
      <c r="D21" s="37"/>
    </row>
    <row r="22" spans="2:4" ht="15" customHeight="1" x14ac:dyDescent="0.2">
      <c r="B22" s="123"/>
      <c r="C22" s="191" t="s">
        <v>165</v>
      </c>
      <c r="D22" s="191"/>
    </row>
    <row r="23" spans="2:4" ht="15" customHeight="1" x14ac:dyDescent="0.2">
      <c r="C23" s="174" t="s">
        <v>166</v>
      </c>
      <c r="D23" s="174"/>
    </row>
    <row r="24" spans="2:4" x14ac:dyDescent="0.2">
      <c r="C24" s="174" t="s">
        <v>167</v>
      </c>
      <c r="D24" s="174"/>
    </row>
  </sheetData>
  <mergeCells count="9">
    <mergeCell ref="C22:D22"/>
    <mergeCell ref="C23:D23"/>
    <mergeCell ref="C24:D24"/>
    <mergeCell ref="B3:D3"/>
    <mergeCell ref="B1:C1"/>
    <mergeCell ref="B2:D2"/>
    <mergeCell ref="B5:D5"/>
    <mergeCell ref="B6:C6"/>
    <mergeCell ref="B16:D16"/>
  </mergeCells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43"/>
  <sheetViews>
    <sheetView workbookViewId="0">
      <selection activeCell="B32" sqref="B32"/>
    </sheetView>
  </sheetViews>
  <sheetFormatPr defaultRowHeight="15" x14ac:dyDescent="0.25"/>
  <cols>
    <col min="2" max="2" width="23" style="41" customWidth="1"/>
    <col min="3" max="3" width="11.42578125" style="41" customWidth="1"/>
    <col min="4" max="5" width="12.7109375" style="41" customWidth="1"/>
    <col min="6" max="6" width="7.42578125" style="41" customWidth="1"/>
    <col min="7" max="9" width="14.7109375" style="41" customWidth="1"/>
    <col min="10" max="10" width="9.140625" style="41"/>
  </cols>
  <sheetData>
    <row r="2" spans="2:10" x14ac:dyDescent="0.25">
      <c r="B2" s="202" t="s">
        <v>85</v>
      </c>
      <c r="C2" s="203"/>
      <c r="D2" s="203"/>
      <c r="E2" s="203"/>
      <c r="F2" s="203"/>
      <c r="G2" s="203"/>
      <c r="H2" s="203"/>
      <c r="I2" s="204"/>
      <c r="J2" s="40"/>
    </row>
    <row r="3" spans="2:10" x14ac:dyDescent="0.25">
      <c r="B3" s="199" t="s">
        <v>168</v>
      </c>
      <c r="C3" s="200"/>
      <c r="D3" s="200"/>
      <c r="E3" s="200"/>
      <c r="F3" s="200"/>
      <c r="G3" s="200"/>
      <c r="H3" s="200"/>
      <c r="I3" s="201"/>
    </row>
    <row r="4" spans="2:10" ht="15" customHeight="1" x14ac:dyDescent="0.25">
      <c r="B4" s="205" t="s">
        <v>333</v>
      </c>
      <c r="C4" s="206"/>
      <c r="D4" s="206"/>
      <c r="E4" s="206"/>
      <c r="F4" s="206"/>
      <c r="G4" s="206"/>
      <c r="H4" s="206"/>
      <c r="I4" s="207"/>
    </row>
    <row r="5" spans="2:10" x14ac:dyDescent="0.25">
      <c r="B5" s="109" t="s">
        <v>169</v>
      </c>
      <c r="C5" s="110"/>
      <c r="D5" s="126"/>
      <c r="E5" s="110"/>
      <c r="F5" s="110"/>
      <c r="G5" s="110"/>
      <c r="H5" s="111"/>
      <c r="I5" s="112"/>
    </row>
    <row r="7" spans="2:10" x14ac:dyDescent="0.25">
      <c r="B7" s="42" t="s">
        <v>86</v>
      </c>
      <c r="C7" s="43"/>
      <c r="D7" s="43"/>
      <c r="E7" s="43"/>
      <c r="F7" s="43"/>
      <c r="G7" s="43"/>
      <c r="H7" s="43"/>
      <c r="I7" s="44">
        <v>1</v>
      </c>
    </row>
    <row r="8" spans="2:10" x14ac:dyDescent="0.25">
      <c r="B8" s="42" t="s">
        <v>87</v>
      </c>
      <c r="C8" s="43"/>
      <c r="D8" s="43"/>
      <c r="E8" s="43"/>
      <c r="F8" s="43"/>
      <c r="G8" s="43"/>
      <c r="H8" s="43"/>
      <c r="I8" s="44">
        <v>0.05</v>
      </c>
    </row>
    <row r="10" spans="2:10" ht="31.5" customHeight="1" x14ac:dyDescent="0.25">
      <c r="B10" s="208" t="s">
        <v>88</v>
      </c>
      <c r="C10" s="208"/>
      <c r="D10" s="209" t="s">
        <v>89</v>
      </c>
      <c r="E10" s="209"/>
      <c r="G10" s="210" t="s">
        <v>90</v>
      </c>
      <c r="H10" s="210"/>
      <c r="I10" s="210"/>
    </row>
    <row r="11" spans="2:10" x14ac:dyDescent="0.25">
      <c r="B11" s="208"/>
      <c r="C11" s="208"/>
      <c r="D11" s="209"/>
      <c r="E11" s="209"/>
      <c r="G11" s="57" t="s">
        <v>91</v>
      </c>
      <c r="H11" s="57" t="s">
        <v>92</v>
      </c>
      <c r="I11" s="57" t="s">
        <v>93</v>
      </c>
    </row>
    <row r="12" spans="2:10" x14ac:dyDescent="0.25">
      <c r="B12" s="197" t="s">
        <v>94</v>
      </c>
      <c r="C12" s="197"/>
      <c r="D12" s="198">
        <v>3.9E-2</v>
      </c>
      <c r="E12" s="198"/>
      <c r="G12" s="45">
        <v>3.8</v>
      </c>
      <c r="H12" s="45">
        <v>4.01</v>
      </c>
      <c r="I12" s="45">
        <v>4.67</v>
      </c>
    </row>
    <row r="13" spans="2:10" x14ac:dyDescent="0.25">
      <c r="B13" s="197" t="s">
        <v>95</v>
      </c>
      <c r="C13" s="197"/>
      <c r="D13" s="198">
        <v>4.4999999999999997E-3</v>
      </c>
      <c r="E13" s="198"/>
      <c r="G13" s="45">
        <v>0.32</v>
      </c>
      <c r="H13" s="45">
        <v>0.4</v>
      </c>
      <c r="I13" s="45">
        <v>0.74</v>
      </c>
    </row>
    <row r="14" spans="2:10" x14ac:dyDescent="0.25">
      <c r="B14" s="197" t="s">
        <v>96</v>
      </c>
      <c r="C14" s="197"/>
      <c r="D14" s="198">
        <v>6.0000000000000001E-3</v>
      </c>
      <c r="E14" s="198"/>
      <c r="G14" s="45">
        <v>0.5</v>
      </c>
      <c r="H14" s="45">
        <v>0.56000000000000005</v>
      </c>
      <c r="I14" s="45">
        <v>0.97</v>
      </c>
    </row>
    <row r="15" spans="2:10" x14ac:dyDescent="0.25">
      <c r="B15" s="197" t="s">
        <v>97</v>
      </c>
      <c r="C15" s="197"/>
      <c r="D15" s="198">
        <v>1.0500000000000001E-2</v>
      </c>
      <c r="E15" s="198"/>
      <c r="G15" s="45">
        <v>1.02</v>
      </c>
      <c r="H15" s="45">
        <v>1.1100000000000001</v>
      </c>
      <c r="I15" s="45">
        <v>1.21</v>
      </c>
    </row>
    <row r="16" spans="2:10" x14ac:dyDescent="0.25">
      <c r="B16" s="197" t="s">
        <v>98</v>
      </c>
      <c r="C16" s="197"/>
      <c r="D16" s="198">
        <v>7.0000000000000007E-2</v>
      </c>
      <c r="E16" s="198"/>
      <c r="G16" s="45">
        <v>6.64</v>
      </c>
      <c r="H16" s="45">
        <v>7.3</v>
      </c>
      <c r="I16" s="45">
        <v>8.69</v>
      </c>
    </row>
    <row r="17" spans="2:9" x14ac:dyDescent="0.25">
      <c r="B17" s="197" t="s">
        <v>99</v>
      </c>
      <c r="C17" s="197"/>
      <c r="D17" s="198">
        <v>6.4999999999999997E-3</v>
      </c>
      <c r="E17" s="198"/>
      <c r="G17" s="45">
        <v>0.65</v>
      </c>
      <c r="H17" s="45">
        <v>0.65</v>
      </c>
      <c r="I17" s="45">
        <v>0.65</v>
      </c>
    </row>
    <row r="18" spans="2:9" x14ac:dyDescent="0.25">
      <c r="B18" s="197" t="s">
        <v>100</v>
      </c>
      <c r="C18" s="197"/>
      <c r="D18" s="198">
        <v>0.03</v>
      </c>
      <c r="E18" s="198"/>
      <c r="G18" s="45">
        <v>3</v>
      </c>
      <c r="H18" s="45">
        <v>3</v>
      </c>
      <c r="I18" s="45">
        <v>3</v>
      </c>
    </row>
    <row r="19" spans="2:9" x14ac:dyDescent="0.25">
      <c r="B19" s="197" t="s">
        <v>101</v>
      </c>
      <c r="C19" s="197"/>
      <c r="D19" s="198">
        <f>I8*I7</f>
        <v>0.05</v>
      </c>
      <c r="E19" s="198"/>
      <c r="G19" s="45">
        <v>2</v>
      </c>
      <c r="H19" s="45">
        <v>2</v>
      </c>
      <c r="I19" s="45">
        <v>5</v>
      </c>
    </row>
    <row r="20" spans="2:9" x14ac:dyDescent="0.25">
      <c r="B20" s="197" t="s">
        <v>102</v>
      </c>
      <c r="C20" s="197"/>
      <c r="D20" s="198">
        <v>0</v>
      </c>
      <c r="E20" s="198"/>
    </row>
    <row r="21" spans="2:9" x14ac:dyDescent="0.25">
      <c r="B21" s="208" t="s">
        <v>103</v>
      </c>
      <c r="C21" s="208"/>
      <c r="D21" s="214">
        <f>ROUND((((1+D12+D13+D14)*(1+D15)*(1+D16))/(1-D17-D18-D19-D20))-1,4)</f>
        <v>0.2422</v>
      </c>
      <c r="E21" s="214"/>
    </row>
    <row r="22" spans="2:9" x14ac:dyDescent="0.25">
      <c r="D22" s="46"/>
    </row>
    <row r="23" spans="2:9" ht="26.25" customHeight="1" x14ac:dyDescent="0.25">
      <c r="B23" s="209" t="s">
        <v>104</v>
      </c>
      <c r="C23" s="209"/>
      <c r="D23" s="209"/>
      <c r="E23" s="209"/>
      <c r="F23" s="47"/>
      <c r="G23" s="209" t="s">
        <v>90</v>
      </c>
      <c r="H23" s="209"/>
      <c r="I23" s="209"/>
    </row>
    <row r="24" spans="2:9" ht="29.25" customHeight="1" x14ac:dyDescent="0.25">
      <c r="B24" s="215" t="s">
        <v>105</v>
      </c>
      <c r="C24" s="215"/>
      <c r="D24" s="216">
        <f>ROUND((((1+D12+D13+D14)*(1+D15)*(1+D16))/(1-D17-D18-D19))-1,4)</f>
        <v>0.2422</v>
      </c>
      <c r="E24" s="216"/>
      <c r="G24" s="48">
        <v>19.600000000000001</v>
      </c>
      <c r="H24" s="48">
        <v>20.97</v>
      </c>
      <c r="I24" s="48">
        <v>24.23</v>
      </c>
    </row>
    <row r="26" spans="2:9" x14ac:dyDescent="0.25">
      <c r="B26" s="49" t="s">
        <v>106</v>
      </c>
    </row>
    <row r="27" spans="2:9" ht="43.5" customHeight="1" x14ac:dyDescent="0.25">
      <c r="B27" s="217" t="s">
        <v>170</v>
      </c>
      <c r="C27" s="218"/>
      <c r="D27" s="218"/>
      <c r="E27" s="218"/>
      <c r="F27" s="218"/>
      <c r="G27" s="218"/>
      <c r="H27" s="218"/>
      <c r="I27" s="219"/>
    </row>
    <row r="28" spans="2:9" ht="28.5" customHeight="1" x14ac:dyDescent="0.25">
      <c r="B28" s="211" t="s">
        <v>107</v>
      </c>
      <c r="C28" s="212"/>
      <c r="D28" s="212"/>
      <c r="E28" s="212"/>
      <c r="F28" s="212"/>
      <c r="G28" s="212"/>
      <c r="H28" s="212"/>
      <c r="I28" s="213"/>
    </row>
    <row r="29" spans="2:9" ht="42" customHeight="1" x14ac:dyDescent="0.25">
      <c r="B29" s="220" t="s">
        <v>171</v>
      </c>
      <c r="C29" s="221"/>
      <c r="D29" s="221"/>
      <c r="E29" s="221"/>
      <c r="F29" s="221"/>
      <c r="G29" s="221"/>
      <c r="H29" s="221"/>
      <c r="I29" s="222"/>
    </row>
    <row r="31" spans="2:9" x14ac:dyDescent="0.25">
      <c r="B31" s="174" t="s">
        <v>332</v>
      </c>
      <c r="C31" s="174"/>
      <c r="D31" s="174"/>
      <c r="E31" s="174"/>
      <c r="F31" s="174"/>
      <c r="G31" s="174"/>
      <c r="H31" s="174"/>
      <c r="I31" s="174"/>
    </row>
    <row r="32" spans="2:9" x14ac:dyDescent="0.25">
      <c r="B32" s="121"/>
      <c r="C32" s="121"/>
      <c r="D32" s="121"/>
      <c r="E32" s="121"/>
      <c r="F32" s="121"/>
      <c r="G32" s="121"/>
      <c r="H32" s="121"/>
      <c r="I32" s="121"/>
    </row>
    <row r="33" spans="2:9" x14ac:dyDescent="0.25">
      <c r="B33" s="121"/>
      <c r="C33" s="121"/>
      <c r="D33" s="121"/>
      <c r="E33" s="121"/>
      <c r="F33" s="121"/>
      <c r="G33" s="121"/>
      <c r="H33" s="121"/>
      <c r="I33" s="121"/>
    </row>
    <row r="34" spans="2:9" x14ac:dyDescent="0.25">
      <c r="B34" s="121"/>
      <c r="C34" s="121"/>
      <c r="D34" s="121"/>
      <c r="E34" s="121"/>
      <c r="F34" s="121"/>
      <c r="G34" s="121"/>
      <c r="H34" s="121"/>
      <c r="I34" s="121"/>
    </row>
    <row r="35" spans="2:9" x14ac:dyDescent="0.25">
      <c r="B35" s="121"/>
      <c r="C35" s="121"/>
      <c r="D35" s="121"/>
      <c r="E35" s="121"/>
      <c r="F35" s="121"/>
      <c r="G35" s="121"/>
      <c r="H35" s="121"/>
      <c r="I35" s="121"/>
    </row>
    <row r="36" spans="2:9" x14ac:dyDescent="0.25">
      <c r="B36" s="121"/>
      <c r="C36" s="121"/>
      <c r="D36" s="121"/>
      <c r="E36" s="121"/>
      <c r="F36" s="121"/>
      <c r="G36" s="121"/>
      <c r="H36" s="121"/>
      <c r="I36" s="121"/>
    </row>
    <row r="37" spans="2:9" x14ac:dyDescent="0.25">
      <c r="B37" s="121"/>
      <c r="C37" s="121"/>
      <c r="D37" s="121"/>
      <c r="E37" s="121"/>
      <c r="F37" s="121"/>
      <c r="G37" s="121"/>
      <c r="H37" s="121"/>
      <c r="I37" s="121"/>
    </row>
    <row r="40" spans="2:9" x14ac:dyDescent="0.25">
      <c r="F40" s="223"/>
      <c r="G40" s="223"/>
      <c r="H40" s="223"/>
    </row>
    <row r="41" spans="2:9" x14ac:dyDescent="0.25">
      <c r="F41" s="174" t="s">
        <v>165</v>
      </c>
      <c r="G41" s="174"/>
      <c r="H41" s="174"/>
    </row>
    <row r="42" spans="2:9" x14ac:dyDescent="0.25">
      <c r="F42" s="174" t="s">
        <v>166</v>
      </c>
      <c r="G42" s="174"/>
      <c r="H42" s="174"/>
    </row>
    <row r="43" spans="2:9" x14ac:dyDescent="0.25">
      <c r="F43" s="174" t="s">
        <v>167</v>
      </c>
      <c r="G43" s="174"/>
      <c r="H43" s="174"/>
    </row>
  </sheetData>
  <mergeCells count="38">
    <mergeCell ref="B29:I29"/>
    <mergeCell ref="F40:H40"/>
    <mergeCell ref="F41:H41"/>
    <mergeCell ref="F42:H42"/>
    <mergeCell ref="F43:H43"/>
    <mergeCell ref="B31:I31"/>
    <mergeCell ref="B28:I28"/>
    <mergeCell ref="B19:C19"/>
    <mergeCell ref="D19:E19"/>
    <mergeCell ref="B20:C20"/>
    <mergeCell ref="D20:E20"/>
    <mergeCell ref="B21:C21"/>
    <mergeCell ref="D21:E21"/>
    <mergeCell ref="B23:E23"/>
    <mergeCell ref="G23:I23"/>
    <mergeCell ref="B24:C24"/>
    <mergeCell ref="D24:E24"/>
    <mergeCell ref="B27:I27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2:C12"/>
    <mergeCell ref="D12:E12"/>
    <mergeCell ref="B3:I3"/>
    <mergeCell ref="B2:I2"/>
    <mergeCell ref="B4:I4"/>
    <mergeCell ref="B10:C11"/>
    <mergeCell ref="D10:E11"/>
    <mergeCell ref="G10:I10"/>
  </mergeCells>
  <pageMargins left="0.25" right="0.25" top="0.75" bottom="0.75" header="0.3" footer="0.3"/>
  <pageSetup paperSize="9" scale="76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K106"/>
  <sheetViews>
    <sheetView workbookViewId="0">
      <selection activeCell="H12" sqref="H12"/>
    </sheetView>
  </sheetViews>
  <sheetFormatPr defaultColWidth="9.140625" defaultRowHeight="15" x14ac:dyDescent="0.25"/>
  <cols>
    <col min="1" max="1" width="9.140625" style="51"/>
    <col min="2" max="2" width="18.28515625" style="52" bestFit="1" customWidth="1"/>
    <col min="3" max="3" width="13.28515625" style="52" customWidth="1"/>
    <col min="4" max="4" width="70.5703125" style="52" bestFit="1" customWidth="1"/>
    <col min="5" max="5" width="14.42578125" style="52" bestFit="1" customWidth="1"/>
    <col min="6" max="6" width="13.28515625" style="52" bestFit="1" customWidth="1"/>
    <col min="7" max="7" width="16.7109375" style="52" bestFit="1" customWidth="1"/>
    <col min="8" max="8" width="14.28515625" style="52" bestFit="1" customWidth="1"/>
    <col min="9" max="16384" width="9.140625" style="51"/>
  </cols>
  <sheetData>
    <row r="3" spans="2:8" x14ac:dyDescent="0.25">
      <c r="B3" s="234" t="s">
        <v>108</v>
      </c>
      <c r="C3" s="234"/>
      <c r="D3" s="234"/>
      <c r="E3" s="234"/>
      <c r="F3" s="234"/>
      <c r="G3" s="234"/>
      <c r="H3" s="234"/>
    </row>
    <row r="5" spans="2:8" x14ac:dyDescent="0.25">
      <c r="B5" s="234" t="s">
        <v>160</v>
      </c>
      <c r="C5" s="234"/>
      <c r="D5" s="234"/>
      <c r="E5" s="234"/>
      <c r="F5" s="234"/>
      <c r="G5" s="234"/>
      <c r="H5" s="234"/>
    </row>
    <row r="6" spans="2:8" x14ac:dyDescent="0.25">
      <c r="B6" s="234" t="s">
        <v>334</v>
      </c>
      <c r="C6" s="234"/>
      <c r="D6" s="234"/>
      <c r="E6" s="234"/>
      <c r="F6" s="234"/>
      <c r="G6" s="234"/>
      <c r="H6" s="234"/>
    </row>
    <row r="8" spans="2:8" x14ac:dyDescent="0.25">
      <c r="B8" s="224" t="s">
        <v>109</v>
      </c>
      <c r="C8" s="224"/>
      <c r="D8" s="113" t="s">
        <v>172</v>
      </c>
      <c r="E8" s="114" t="s">
        <v>110</v>
      </c>
      <c r="F8" s="225">
        <v>46204</v>
      </c>
      <c r="G8" s="226"/>
      <c r="H8" s="227"/>
    </row>
    <row r="9" spans="2:8" x14ac:dyDescent="0.25">
      <c r="B9" s="224" t="s">
        <v>111</v>
      </c>
      <c r="C9" s="224"/>
      <c r="D9" s="115" t="s">
        <v>173</v>
      </c>
      <c r="E9" s="228"/>
      <c r="F9" s="229"/>
      <c r="G9" s="229"/>
      <c r="H9" s="230"/>
    </row>
    <row r="10" spans="2:8" x14ac:dyDescent="0.25">
      <c r="B10" s="224" t="s">
        <v>112</v>
      </c>
      <c r="C10" s="224"/>
      <c r="D10" s="231" t="s">
        <v>174</v>
      </c>
      <c r="E10" s="232"/>
      <c r="F10" s="232"/>
      <c r="G10" s="232"/>
      <c r="H10" s="233"/>
    </row>
    <row r="11" spans="2:8" x14ac:dyDescent="0.25">
      <c r="B11" s="106" t="s">
        <v>175</v>
      </c>
      <c r="C11" s="91" t="s">
        <v>176</v>
      </c>
      <c r="D11" s="106" t="s">
        <v>113</v>
      </c>
      <c r="E11" s="106" t="s">
        <v>114</v>
      </c>
      <c r="F11" s="106" t="s">
        <v>115</v>
      </c>
      <c r="G11" s="106" t="s">
        <v>116</v>
      </c>
      <c r="H11" s="106" t="s">
        <v>117</v>
      </c>
    </row>
    <row r="12" spans="2:8" ht="25.5" x14ac:dyDescent="0.25">
      <c r="B12" s="107" t="s">
        <v>183</v>
      </c>
      <c r="C12" s="124">
        <v>90778</v>
      </c>
      <c r="D12" s="116" t="s">
        <v>184</v>
      </c>
      <c r="E12" s="124" t="s">
        <v>54</v>
      </c>
      <c r="F12" s="117">
        <v>65</v>
      </c>
      <c r="G12" s="118">
        <v>145</v>
      </c>
      <c r="H12" s="118">
        <f>G12*F12</f>
        <v>9425</v>
      </c>
    </row>
    <row r="13" spans="2:8" x14ac:dyDescent="0.25">
      <c r="B13" s="107" t="s">
        <v>183</v>
      </c>
      <c r="C13" s="124">
        <v>93572</v>
      </c>
      <c r="D13" s="116" t="s">
        <v>328</v>
      </c>
      <c r="E13" s="124" t="s">
        <v>329</v>
      </c>
      <c r="F13" s="117">
        <v>5</v>
      </c>
      <c r="G13" s="118">
        <v>13400</v>
      </c>
      <c r="H13" s="118">
        <f t="shared" ref="H13:H15" si="0">G13*F13</f>
        <v>67000</v>
      </c>
    </row>
    <row r="14" spans="2:8" x14ac:dyDescent="0.25">
      <c r="B14" s="107" t="s">
        <v>183</v>
      </c>
      <c r="C14" s="124">
        <v>90766</v>
      </c>
      <c r="D14" s="116" t="s">
        <v>225</v>
      </c>
      <c r="E14" s="124" t="s">
        <v>54</v>
      </c>
      <c r="F14" s="117">
        <v>80</v>
      </c>
      <c r="G14" s="118">
        <v>31</v>
      </c>
      <c r="H14" s="118">
        <f t="shared" si="0"/>
        <v>2480</v>
      </c>
    </row>
    <row r="15" spans="2:8" x14ac:dyDescent="0.25">
      <c r="B15" s="107" t="s">
        <v>183</v>
      </c>
      <c r="C15" s="124">
        <v>90775</v>
      </c>
      <c r="D15" s="116" t="s">
        <v>226</v>
      </c>
      <c r="E15" s="124" t="s">
        <v>54</v>
      </c>
      <c r="F15" s="117">
        <v>30</v>
      </c>
      <c r="G15" s="118">
        <v>40</v>
      </c>
      <c r="H15" s="118">
        <f t="shared" si="0"/>
        <v>1200</v>
      </c>
    </row>
    <row r="16" spans="2:8" x14ac:dyDescent="0.25">
      <c r="G16" s="119" t="s">
        <v>118</v>
      </c>
      <c r="H16" s="120">
        <f>SUM(H12:H15)</f>
        <v>80105</v>
      </c>
    </row>
    <row r="17" spans="2:11" x14ac:dyDescent="0.25">
      <c r="B17" s="36"/>
      <c r="C17" s="36"/>
      <c r="D17" s="36"/>
      <c r="E17" s="36"/>
      <c r="F17" s="36"/>
      <c r="G17" s="36"/>
      <c r="H17" s="50"/>
    </row>
    <row r="18" spans="2:11" x14ac:dyDescent="0.25">
      <c r="B18" s="36"/>
      <c r="C18" s="36"/>
      <c r="D18" s="36"/>
      <c r="E18" s="36"/>
      <c r="F18" s="36"/>
      <c r="G18" s="36"/>
      <c r="H18" s="50"/>
    </row>
    <row r="19" spans="2:11" x14ac:dyDescent="0.25">
      <c r="B19" s="224" t="s">
        <v>109</v>
      </c>
      <c r="C19" s="224"/>
      <c r="D19" s="113" t="s">
        <v>185</v>
      </c>
      <c r="E19" s="114" t="s">
        <v>110</v>
      </c>
      <c r="F19" s="225">
        <v>46204</v>
      </c>
      <c r="G19" s="226"/>
      <c r="H19" s="227"/>
    </row>
    <row r="20" spans="2:11" x14ac:dyDescent="0.25">
      <c r="B20" s="224" t="s">
        <v>111</v>
      </c>
      <c r="C20" s="224"/>
      <c r="D20" s="115" t="s">
        <v>186</v>
      </c>
      <c r="E20" s="228"/>
      <c r="F20" s="229"/>
      <c r="G20" s="229"/>
      <c r="H20" s="230"/>
    </row>
    <row r="21" spans="2:11" x14ac:dyDescent="0.25">
      <c r="B21" s="224" t="s">
        <v>112</v>
      </c>
      <c r="C21" s="224"/>
      <c r="D21" s="231" t="s">
        <v>27</v>
      </c>
      <c r="E21" s="232"/>
      <c r="F21" s="232"/>
      <c r="G21" s="232"/>
      <c r="H21" s="233"/>
    </row>
    <row r="22" spans="2:11" x14ac:dyDescent="0.25">
      <c r="B22" s="106" t="s">
        <v>175</v>
      </c>
      <c r="C22" s="91" t="s">
        <v>176</v>
      </c>
      <c r="D22" s="106" t="s">
        <v>113</v>
      </c>
      <c r="E22" s="106" t="s">
        <v>114</v>
      </c>
      <c r="F22" s="106" t="s">
        <v>115</v>
      </c>
      <c r="G22" s="106" t="s">
        <v>116</v>
      </c>
      <c r="H22" s="106" t="s">
        <v>117</v>
      </c>
    </row>
    <row r="23" spans="2:11" x14ac:dyDescent="0.25">
      <c r="B23" s="107" t="s">
        <v>187</v>
      </c>
      <c r="C23" s="124">
        <v>4417</v>
      </c>
      <c r="D23" s="116" t="s">
        <v>177</v>
      </c>
      <c r="E23" s="124" t="s">
        <v>52</v>
      </c>
      <c r="F23" s="117">
        <v>1</v>
      </c>
      <c r="G23" s="118">
        <v>7.4</v>
      </c>
      <c r="H23" s="118">
        <f>G23*F23</f>
        <v>7.4</v>
      </c>
    </row>
    <row r="24" spans="2:11" x14ac:dyDescent="0.25">
      <c r="B24" s="107" t="s">
        <v>187</v>
      </c>
      <c r="C24" s="124">
        <v>4433</v>
      </c>
      <c r="D24" s="116" t="s">
        <v>178</v>
      </c>
      <c r="E24" s="124" t="s">
        <v>52</v>
      </c>
      <c r="F24" s="117">
        <v>4</v>
      </c>
      <c r="G24" s="118">
        <v>26.7</v>
      </c>
      <c r="H24" s="118">
        <f t="shared" ref="H24:H28" si="1">G24*F24</f>
        <v>106.8</v>
      </c>
    </row>
    <row r="25" spans="2:11" x14ac:dyDescent="0.25">
      <c r="B25" s="107" t="s">
        <v>187</v>
      </c>
      <c r="C25" s="124">
        <v>4813</v>
      </c>
      <c r="D25" s="116" t="s">
        <v>188</v>
      </c>
      <c r="E25" s="124" t="s">
        <v>179</v>
      </c>
      <c r="F25" s="117">
        <v>1</v>
      </c>
      <c r="G25" s="118">
        <v>250</v>
      </c>
      <c r="H25" s="118">
        <f t="shared" si="1"/>
        <v>250</v>
      </c>
    </row>
    <row r="26" spans="2:11" x14ac:dyDescent="0.25">
      <c r="B26" s="107" t="s">
        <v>187</v>
      </c>
      <c r="C26" s="124">
        <v>5075</v>
      </c>
      <c r="D26" s="116" t="s">
        <v>189</v>
      </c>
      <c r="E26" s="124" t="s">
        <v>180</v>
      </c>
      <c r="F26" s="117">
        <v>0.1</v>
      </c>
      <c r="G26" s="118">
        <v>14.7</v>
      </c>
      <c r="H26" s="118">
        <f t="shared" si="1"/>
        <v>1.47</v>
      </c>
    </row>
    <row r="27" spans="2:11" x14ac:dyDescent="0.25">
      <c r="B27" s="107" t="s">
        <v>183</v>
      </c>
      <c r="C27" s="124">
        <v>88262</v>
      </c>
      <c r="D27" s="116" t="s">
        <v>181</v>
      </c>
      <c r="E27" s="124" t="s">
        <v>54</v>
      </c>
      <c r="F27" s="117">
        <v>0.5</v>
      </c>
      <c r="G27" s="118">
        <v>30.4</v>
      </c>
      <c r="H27" s="118">
        <f t="shared" si="1"/>
        <v>15.2</v>
      </c>
    </row>
    <row r="28" spans="2:11" x14ac:dyDescent="0.25">
      <c r="B28" s="107" t="s">
        <v>183</v>
      </c>
      <c r="C28" s="124">
        <v>88316</v>
      </c>
      <c r="D28" s="116" t="s">
        <v>182</v>
      </c>
      <c r="E28" s="124" t="s">
        <v>54</v>
      </c>
      <c r="F28" s="117">
        <v>1</v>
      </c>
      <c r="G28" s="118">
        <v>25</v>
      </c>
      <c r="H28" s="118">
        <f t="shared" si="1"/>
        <v>25</v>
      </c>
    </row>
    <row r="29" spans="2:11" x14ac:dyDescent="0.25">
      <c r="G29" s="128" t="s">
        <v>118</v>
      </c>
      <c r="H29" s="129">
        <f>SUM(H23:H28)</f>
        <v>405.87</v>
      </c>
    </row>
    <row r="30" spans="2:11" x14ac:dyDescent="0.25">
      <c r="B30" s="36"/>
      <c r="C30" s="36"/>
      <c r="D30" s="36"/>
      <c r="E30" s="127"/>
      <c r="F30" s="127"/>
      <c r="G30" s="127"/>
      <c r="H30" s="50"/>
    </row>
    <row r="31" spans="2:11" x14ac:dyDescent="0.25">
      <c r="B31" s="36"/>
      <c r="C31" s="36"/>
      <c r="D31" s="36"/>
      <c r="E31" s="127"/>
      <c r="F31" s="127"/>
      <c r="G31" s="127"/>
      <c r="H31" s="50"/>
    </row>
    <row r="32" spans="2:11" x14ac:dyDescent="0.25">
      <c r="B32" s="224" t="s">
        <v>109</v>
      </c>
      <c r="C32" s="224"/>
      <c r="D32" s="113" t="s">
        <v>190</v>
      </c>
      <c r="E32" s="114" t="s">
        <v>110</v>
      </c>
      <c r="F32" s="225">
        <v>46204</v>
      </c>
      <c r="G32" s="226"/>
      <c r="H32" s="227"/>
      <c r="I32" s="131"/>
      <c r="J32" s="132"/>
      <c r="K32" s="130"/>
    </row>
    <row r="33" spans="2:11" x14ac:dyDescent="0.25">
      <c r="B33" s="224" t="s">
        <v>111</v>
      </c>
      <c r="C33" s="224"/>
      <c r="D33" s="115" t="s">
        <v>191</v>
      </c>
      <c r="E33" s="228"/>
      <c r="F33" s="229"/>
      <c r="G33" s="229"/>
      <c r="H33" s="230"/>
      <c r="I33" s="131"/>
      <c r="J33" s="133"/>
      <c r="K33" s="130"/>
    </row>
    <row r="34" spans="2:11" x14ac:dyDescent="0.25">
      <c r="B34" s="224" t="s">
        <v>112</v>
      </c>
      <c r="C34" s="224"/>
      <c r="D34" s="231" t="s">
        <v>49</v>
      </c>
      <c r="E34" s="232"/>
      <c r="F34" s="232"/>
      <c r="G34" s="232"/>
      <c r="H34" s="233"/>
      <c r="I34" s="131"/>
      <c r="J34" s="133"/>
      <c r="K34" s="130"/>
    </row>
    <row r="35" spans="2:11" x14ac:dyDescent="0.25">
      <c r="B35" s="106" t="s">
        <v>175</v>
      </c>
      <c r="C35" s="91" t="s">
        <v>176</v>
      </c>
      <c r="D35" s="106" t="s">
        <v>113</v>
      </c>
      <c r="E35" s="106" t="s">
        <v>114</v>
      </c>
      <c r="F35" s="106" t="s">
        <v>115</v>
      </c>
      <c r="G35" s="106" t="s">
        <v>116</v>
      </c>
      <c r="H35" s="106" t="s">
        <v>117</v>
      </c>
      <c r="I35" s="131"/>
      <c r="J35" s="133"/>
      <c r="K35" s="130"/>
    </row>
    <row r="36" spans="2:11" ht="25.5" x14ac:dyDescent="0.25">
      <c r="B36" s="107" t="s">
        <v>183</v>
      </c>
      <c r="C36" s="124">
        <v>92265</v>
      </c>
      <c r="D36" s="116" t="s">
        <v>192</v>
      </c>
      <c r="E36" s="124" t="s">
        <v>179</v>
      </c>
      <c r="F36" s="117">
        <f>(0.25+0.7+0.7)*1.05</f>
        <v>1.7324999999999999</v>
      </c>
      <c r="G36" s="118">
        <v>136</v>
      </c>
      <c r="H36" s="118">
        <f>G36*F36</f>
        <v>235.62</v>
      </c>
      <c r="I36" s="131"/>
      <c r="J36" s="133"/>
      <c r="K36" s="130"/>
    </row>
    <row r="37" spans="2:11" ht="25.5" x14ac:dyDescent="0.25">
      <c r="B37" s="107" t="s">
        <v>183</v>
      </c>
      <c r="C37" s="124">
        <v>92760</v>
      </c>
      <c r="D37" s="116" t="s">
        <v>227</v>
      </c>
      <c r="E37" s="124" t="s">
        <v>180</v>
      </c>
      <c r="F37" s="117">
        <v>8.4600000000000009</v>
      </c>
      <c r="G37" s="118">
        <v>12.5</v>
      </c>
      <c r="H37" s="118">
        <f t="shared" ref="H37:H43" si="2">G37*F37</f>
        <v>105.75000000000001</v>
      </c>
      <c r="I37" s="131"/>
      <c r="J37" s="133"/>
      <c r="K37" s="130"/>
    </row>
    <row r="38" spans="2:11" ht="25.5" x14ac:dyDescent="0.25">
      <c r="B38" s="107" t="s">
        <v>183</v>
      </c>
      <c r="C38" s="124">
        <v>92764</v>
      </c>
      <c r="D38" s="116" t="s">
        <v>228</v>
      </c>
      <c r="E38" s="124" t="s">
        <v>180</v>
      </c>
      <c r="F38" s="117">
        <v>13.88</v>
      </c>
      <c r="G38" s="118">
        <v>8.1</v>
      </c>
      <c r="H38" s="118">
        <f t="shared" si="2"/>
        <v>112.428</v>
      </c>
      <c r="I38" s="134"/>
      <c r="J38" s="134"/>
      <c r="K38" s="134"/>
    </row>
    <row r="39" spans="2:11" ht="25.5" x14ac:dyDescent="0.25">
      <c r="B39" s="107" t="s">
        <v>183</v>
      </c>
      <c r="C39" s="124">
        <v>92763</v>
      </c>
      <c r="D39" s="116" t="s">
        <v>229</v>
      </c>
      <c r="E39" s="124" t="s">
        <v>180</v>
      </c>
      <c r="F39" s="117">
        <v>4.2300000000000004</v>
      </c>
      <c r="G39" s="118">
        <v>8.5</v>
      </c>
      <c r="H39" s="118">
        <f t="shared" si="2"/>
        <v>35.955000000000005</v>
      </c>
    </row>
    <row r="40" spans="2:11" ht="25.5" x14ac:dyDescent="0.25">
      <c r="B40" s="107" t="s">
        <v>183</v>
      </c>
      <c r="C40" s="124">
        <v>92766</v>
      </c>
      <c r="D40" s="116" t="s">
        <v>230</v>
      </c>
      <c r="E40" s="124" t="s">
        <v>180</v>
      </c>
      <c r="F40" s="117">
        <v>33.9</v>
      </c>
      <c r="G40" s="118">
        <v>9.1</v>
      </c>
      <c r="H40" s="118">
        <f t="shared" ref="H40:H41" si="3">G40*F40</f>
        <v>308.48999999999995</v>
      </c>
    </row>
    <row r="41" spans="2:11" ht="25.5" x14ac:dyDescent="0.25">
      <c r="B41" s="107" t="s">
        <v>183</v>
      </c>
      <c r="C41" s="124">
        <v>91602</v>
      </c>
      <c r="D41" s="116" t="s">
        <v>231</v>
      </c>
      <c r="E41" s="124" t="s">
        <v>180</v>
      </c>
      <c r="F41" s="117">
        <v>1.74</v>
      </c>
      <c r="G41" s="118">
        <v>10.45</v>
      </c>
      <c r="H41" s="118">
        <f t="shared" si="3"/>
        <v>18.183</v>
      </c>
    </row>
    <row r="42" spans="2:11" ht="25.5" x14ac:dyDescent="0.25">
      <c r="B42" s="107" t="s">
        <v>183</v>
      </c>
      <c r="C42" s="124">
        <v>94967</v>
      </c>
      <c r="D42" s="116" t="s">
        <v>193</v>
      </c>
      <c r="E42" s="124" t="s">
        <v>195</v>
      </c>
      <c r="F42" s="117">
        <v>0.15</v>
      </c>
      <c r="G42" s="118">
        <v>700</v>
      </c>
      <c r="H42" s="118">
        <f t="shared" si="2"/>
        <v>105</v>
      </c>
    </row>
    <row r="43" spans="2:11" ht="25.5" x14ac:dyDescent="0.25">
      <c r="B43" s="107" t="s">
        <v>183</v>
      </c>
      <c r="C43" s="124">
        <v>103670</v>
      </c>
      <c r="D43" s="116" t="s">
        <v>194</v>
      </c>
      <c r="E43" s="124" t="s">
        <v>195</v>
      </c>
      <c r="F43" s="117">
        <v>0.15</v>
      </c>
      <c r="G43" s="118">
        <v>344</v>
      </c>
      <c r="H43" s="118">
        <f t="shared" si="2"/>
        <v>51.6</v>
      </c>
    </row>
    <row r="44" spans="2:11" x14ac:dyDescent="0.25">
      <c r="G44" s="128" t="s">
        <v>118</v>
      </c>
      <c r="H44" s="129">
        <f>SUM(H36:H43)</f>
        <v>973.02599999999995</v>
      </c>
    </row>
    <row r="45" spans="2:11" x14ac:dyDescent="0.25">
      <c r="B45" s="36"/>
      <c r="C45" s="36"/>
      <c r="D45" s="36"/>
      <c r="E45" s="36"/>
      <c r="F45" s="36"/>
      <c r="G45" s="36"/>
      <c r="H45" s="50"/>
    </row>
    <row r="46" spans="2:11" x14ac:dyDescent="0.25">
      <c r="B46" s="36"/>
      <c r="C46" s="36"/>
      <c r="D46" s="36"/>
      <c r="E46" s="127"/>
      <c r="F46" s="127"/>
      <c r="G46" s="127"/>
      <c r="H46" s="50"/>
    </row>
    <row r="47" spans="2:11" x14ac:dyDescent="0.25">
      <c r="B47" s="224" t="s">
        <v>109</v>
      </c>
      <c r="C47" s="224"/>
      <c r="D47" s="113" t="s">
        <v>196</v>
      </c>
      <c r="E47" s="114" t="s">
        <v>110</v>
      </c>
      <c r="F47" s="225">
        <v>46204</v>
      </c>
      <c r="G47" s="226"/>
      <c r="H47" s="227"/>
    </row>
    <row r="48" spans="2:11" x14ac:dyDescent="0.25">
      <c r="B48" s="224" t="s">
        <v>111</v>
      </c>
      <c r="C48" s="224"/>
      <c r="D48" s="115" t="s">
        <v>197</v>
      </c>
      <c r="E48" s="228"/>
      <c r="F48" s="229"/>
      <c r="G48" s="229"/>
      <c r="H48" s="230"/>
    </row>
    <row r="49" spans="1:11" x14ac:dyDescent="0.25">
      <c r="B49" s="224" t="s">
        <v>112</v>
      </c>
      <c r="C49" s="224"/>
      <c r="D49" s="231" t="s">
        <v>27</v>
      </c>
      <c r="E49" s="232"/>
      <c r="F49" s="232"/>
      <c r="G49" s="232"/>
      <c r="H49" s="233"/>
    </row>
    <row r="50" spans="1:11" x14ac:dyDescent="0.25">
      <c r="A50" s="67"/>
      <c r="B50" s="106" t="s">
        <v>175</v>
      </c>
      <c r="C50" s="91" t="s">
        <v>176</v>
      </c>
      <c r="D50" s="106" t="s">
        <v>113</v>
      </c>
      <c r="E50" s="106" t="s">
        <v>114</v>
      </c>
      <c r="F50" s="106" t="s">
        <v>115</v>
      </c>
      <c r="G50" s="106" t="s">
        <v>116</v>
      </c>
      <c r="H50" s="106" t="s">
        <v>117</v>
      </c>
      <c r="I50" s="67"/>
      <c r="J50" s="67"/>
      <c r="K50" s="67"/>
    </row>
    <row r="51" spans="1:11" ht="25.5" x14ac:dyDescent="0.25">
      <c r="A51" s="67"/>
      <c r="B51" s="107" t="s">
        <v>183</v>
      </c>
      <c r="C51" s="124">
        <v>92267</v>
      </c>
      <c r="D51" s="116" t="s">
        <v>198</v>
      </c>
      <c r="E51" s="124" t="s">
        <v>179</v>
      </c>
      <c r="F51" s="117">
        <v>1.1000000000000001</v>
      </c>
      <c r="G51" s="118">
        <v>67</v>
      </c>
      <c r="H51" s="118">
        <f>G51*F51</f>
        <v>73.7</v>
      </c>
      <c r="I51" s="143"/>
      <c r="J51" s="143"/>
      <c r="K51" s="143"/>
    </row>
    <row r="52" spans="1:11" ht="25.5" x14ac:dyDescent="0.25">
      <c r="A52" s="67"/>
      <c r="B52" s="107" t="s">
        <v>187</v>
      </c>
      <c r="C52" s="124">
        <v>42407</v>
      </c>
      <c r="D52" s="116" t="s">
        <v>199</v>
      </c>
      <c r="E52" s="124" t="s">
        <v>52</v>
      </c>
      <c r="F52" s="117">
        <v>6.25</v>
      </c>
      <c r="G52" s="118">
        <v>6.39</v>
      </c>
      <c r="H52" s="118">
        <f t="shared" ref="H52:H55" si="4">G52*F52</f>
        <v>39.9375</v>
      </c>
      <c r="I52" s="137"/>
      <c r="J52" s="138"/>
      <c r="K52" s="136"/>
    </row>
    <row r="53" spans="1:11" ht="25.5" x14ac:dyDescent="0.25">
      <c r="A53" s="67"/>
      <c r="B53" s="107" t="s">
        <v>183</v>
      </c>
      <c r="C53" s="124">
        <v>92770</v>
      </c>
      <c r="D53" s="116" t="s">
        <v>200</v>
      </c>
      <c r="E53" s="124" t="s">
        <v>180</v>
      </c>
      <c r="F53" s="117">
        <v>5</v>
      </c>
      <c r="G53" s="118">
        <v>11</v>
      </c>
      <c r="H53" s="118">
        <f t="shared" si="4"/>
        <v>55</v>
      </c>
      <c r="I53" s="140"/>
      <c r="J53" s="141"/>
      <c r="K53" s="139"/>
    </row>
    <row r="54" spans="1:11" ht="25.5" x14ac:dyDescent="0.25">
      <c r="A54" s="67"/>
      <c r="B54" s="107" t="s">
        <v>183</v>
      </c>
      <c r="C54" s="124">
        <v>94966</v>
      </c>
      <c r="D54" s="116" t="s">
        <v>201</v>
      </c>
      <c r="E54" s="124" t="s">
        <v>195</v>
      </c>
      <c r="F54" s="117">
        <v>0.04</v>
      </c>
      <c r="G54" s="118">
        <v>605</v>
      </c>
      <c r="H54" s="118">
        <f t="shared" si="4"/>
        <v>24.2</v>
      </c>
      <c r="I54" s="140"/>
      <c r="J54" s="142"/>
      <c r="K54" s="139"/>
    </row>
    <row r="55" spans="1:11" ht="25.5" x14ac:dyDescent="0.25">
      <c r="A55" s="67"/>
      <c r="B55" s="107" t="s">
        <v>183</v>
      </c>
      <c r="C55" s="124">
        <v>103670</v>
      </c>
      <c r="D55" s="116" t="s">
        <v>194</v>
      </c>
      <c r="E55" s="124" t="s">
        <v>195</v>
      </c>
      <c r="F55" s="117">
        <v>0.04</v>
      </c>
      <c r="G55" s="118">
        <v>344</v>
      </c>
      <c r="H55" s="118">
        <f t="shared" si="4"/>
        <v>13.76</v>
      </c>
      <c r="I55" s="140"/>
      <c r="J55" s="142"/>
      <c r="K55" s="139"/>
    </row>
    <row r="56" spans="1:11" x14ac:dyDescent="0.25">
      <c r="A56" s="67"/>
      <c r="G56" s="128" t="s">
        <v>118</v>
      </c>
      <c r="H56" s="129">
        <f>SUM(H51:H55)</f>
        <v>206.59749999999997</v>
      </c>
      <c r="I56" s="137"/>
      <c r="J56" s="138"/>
      <c r="K56" s="136"/>
    </row>
    <row r="57" spans="1:11" x14ac:dyDescent="0.25">
      <c r="A57" s="67"/>
      <c r="B57" s="143"/>
      <c r="C57" s="143"/>
      <c r="D57" s="143"/>
      <c r="E57" s="143"/>
      <c r="F57" s="143"/>
      <c r="G57" s="143"/>
      <c r="H57" s="143"/>
      <c r="I57" s="140"/>
      <c r="J57" s="141"/>
      <c r="K57" s="139"/>
    </row>
    <row r="58" spans="1:11" x14ac:dyDescent="0.25">
      <c r="A58" s="67"/>
      <c r="B58" s="224" t="s">
        <v>109</v>
      </c>
      <c r="C58" s="224"/>
      <c r="D58" s="113" t="s">
        <v>203</v>
      </c>
      <c r="E58" s="114" t="s">
        <v>110</v>
      </c>
      <c r="F58" s="225">
        <v>46204</v>
      </c>
      <c r="G58" s="226"/>
      <c r="H58" s="227"/>
      <c r="I58" s="140"/>
      <c r="J58" s="142"/>
      <c r="K58" s="139"/>
    </row>
    <row r="59" spans="1:11" x14ac:dyDescent="0.25">
      <c r="A59" s="67"/>
      <c r="B59" s="224" t="s">
        <v>111</v>
      </c>
      <c r="C59" s="224"/>
      <c r="D59" s="113" t="s">
        <v>202</v>
      </c>
      <c r="E59" s="228"/>
      <c r="F59" s="229"/>
      <c r="G59" s="229"/>
      <c r="H59" s="230"/>
      <c r="I59" s="140"/>
      <c r="J59" s="142"/>
      <c r="K59" s="139"/>
    </row>
    <row r="60" spans="1:11" x14ac:dyDescent="0.25">
      <c r="A60" s="67"/>
      <c r="B60" s="224" t="s">
        <v>112</v>
      </c>
      <c r="C60" s="224"/>
      <c r="D60" s="231" t="s">
        <v>49</v>
      </c>
      <c r="E60" s="232"/>
      <c r="F60" s="232"/>
      <c r="G60" s="232"/>
      <c r="H60" s="233"/>
      <c r="I60" s="140"/>
      <c r="J60" s="142"/>
      <c r="K60" s="139"/>
    </row>
    <row r="61" spans="1:11" x14ac:dyDescent="0.25">
      <c r="A61" s="67"/>
      <c r="B61" s="106" t="s">
        <v>175</v>
      </c>
      <c r="C61" s="91" t="s">
        <v>176</v>
      </c>
      <c r="D61" s="106" t="s">
        <v>113</v>
      </c>
      <c r="E61" s="106" t="s">
        <v>114</v>
      </c>
      <c r="F61" s="106" t="s">
        <v>115</v>
      </c>
      <c r="G61" s="106" t="s">
        <v>116</v>
      </c>
      <c r="H61" s="106" t="s">
        <v>117</v>
      </c>
      <c r="I61" s="140"/>
      <c r="J61" s="142"/>
      <c r="K61" s="139"/>
    </row>
    <row r="62" spans="1:11" ht="25.5" x14ac:dyDescent="0.25">
      <c r="A62" s="67"/>
      <c r="B62" s="107" t="s">
        <v>183</v>
      </c>
      <c r="C62" s="124">
        <v>92267</v>
      </c>
      <c r="D62" s="116" t="s">
        <v>198</v>
      </c>
      <c r="E62" s="124" t="s">
        <v>179</v>
      </c>
      <c r="F62" s="117">
        <v>0.44</v>
      </c>
      <c r="G62" s="118">
        <v>67</v>
      </c>
      <c r="H62" s="118">
        <f>G62*F62</f>
        <v>29.48</v>
      </c>
      <c r="I62" s="140"/>
      <c r="J62" s="142"/>
      <c r="K62" s="139"/>
    </row>
    <row r="63" spans="1:11" ht="25.5" x14ac:dyDescent="0.25">
      <c r="A63" s="67"/>
      <c r="B63" s="107" t="s">
        <v>187</v>
      </c>
      <c r="C63" s="124">
        <v>42407</v>
      </c>
      <c r="D63" s="116" t="s">
        <v>199</v>
      </c>
      <c r="E63" s="124" t="s">
        <v>52</v>
      </c>
      <c r="F63" s="117">
        <v>1</v>
      </c>
      <c r="G63" s="118">
        <v>6.39</v>
      </c>
      <c r="H63" s="118">
        <f t="shared" ref="H63:H66" si="5">G63*F63</f>
        <v>6.39</v>
      </c>
      <c r="I63" s="136"/>
      <c r="J63" s="136"/>
      <c r="K63" s="136"/>
    </row>
    <row r="64" spans="1:11" ht="25.5" x14ac:dyDescent="0.25">
      <c r="A64" s="67"/>
      <c r="B64" s="107" t="s">
        <v>183</v>
      </c>
      <c r="C64" s="124">
        <v>92762</v>
      </c>
      <c r="D64" s="116" t="s">
        <v>232</v>
      </c>
      <c r="E64" s="124" t="s">
        <v>180</v>
      </c>
      <c r="F64" s="117">
        <v>1.22</v>
      </c>
      <c r="G64" s="118">
        <v>10.199999999999999</v>
      </c>
      <c r="H64" s="118">
        <f t="shared" si="5"/>
        <v>12.443999999999999</v>
      </c>
      <c r="I64" s="67"/>
      <c r="J64" s="67"/>
      <c r="K64" s="67"/>
    </row>
    <row r="65" spans="1:11" ht="25.5" x14ac:dyDescent="0.25">
      <c r="A65" s="67"/>
      <c r="B65" s="107" t="s">
        <v>183</v>
      </c>
      <c r="C65" s="124">
        <v>94966</v>
      </c>
      <c r="D65" s="116" t="s">
        <v>201</v>
      </c>
      <c r="E65" s="124" t="s">
        <v>195</v>
      </c>
      <c r="F65" s="117">
        <v>3.5000000000000003E-2</v>
      </c>
      <c r="G65" s="118">
        <v>605</v>
      </c>
      <c r="H65" s="118">
        <f t="shared" si="5"/>
        <v>21.175000000000001</v>
      </c>
      <c r="I65" s="67"/>
      <c r="J65" s="67"/>
      <c r="K65" s="67"/>
    </row>
    <row r="66" spans="1:11" ht="25.5" x14ac:dyDescent="0.25">
      <c r="A66" s="67"/>
      <c r="B66" s="107" t="s">
        <v>183</v>
      </c>
      <c r="C66" s="124">
        <v>103670</v>
      </c>
      <c r="D66" s="116" t="s">
        <v>194</v>
      </c>
      <c r="E66" s="124" t="s">
        <v>195</v>
      </c>
      <c r="F66" s="117">
        <v>3.5000000000000003E-2</v>
      </c>
      <c r="G66" s="118">
        <v>344</v>
      </c>
      <c r="H66" s="118">
        <f t="shared" si="5"/>
        <v>12.040000000000001</v>
      </c>
      <c r="I66" s="67"/>
      <c r="J66" s="67"/>
      <c r="K66" s="67"/>
    </row>
    <row r="67" spans="1:11" x14ac:dyDescent="0.25">
      <c r="A67" s="67"/>
      <c r="G67" s="128" t="s">
        <v>118</v>
      </c>
      <c r="H67" s="129">
        <f>SUM(H62:H66)</f>
        <v>81.528999999999996</v>
      </c>
      <c r="I67" s="67"/>
      <c r="J67" s="67"/>
      <c r="K67" s="67"/>
    </row>
    <row r="68" spans="1:11" x14ac:dyDescent="0.25">
      <c r="A68" s="67"/>
      <c r="B68" s="135"/>
      <c r="C68" s="135"/>
      <c r="D68" s="135"/>
      <c r="E68" s="135"/>
      <c r="F68" s="135"/>
      <c r="G68" s="135"/>
      <c r="H68" s="135"/>
      <c r="I68" s="67"/>
      <c r="J68" s="67"/>
      <c r="K68" s="67"/>
    </row>
    <row r="69" spans="1:11" x14ac:dyDescent="0.25">
      <c r="B69" s="135"/>
      <c r="C69" s="135"/>
      <c r="D69" s="135"/>
      <c r="E69" s="135"/>
      <c r="F69" s="135"/>
      <c r="G69" s="135"/>
      <c r="H69" s="135"/>
    </row>
    <row r="70" spans="1:11" x14ac:dyDescent="0.25">
      <c r="B70" s="224" t="s">
        <v>109</v>
      </c>
      <c r="C70" s="224"/>
      <c r="D70" s="113" t="s">
        <v>268</v>
      </c>
      <c r="E70" s="114" t="s">
        <v>110</v>
      </c>
      <c r="F70" s="225">
        <v>46204</v>
      </c>
      <c r="G70" s="226"/>
      <c r="H70" s="227"/>
    </row>
    <row r="71" spans="1:11" x14ac:dyDescent="0.25">
      <c r="B71" s="224" t="s">
        <v>111</v>
      </c>
      <c r="C71" s="224"/>
      <c r="D71" s="113" t="s">
        <v>269</v>
      </c>
      <c r="E71" s="228"/>
      <c r="F71" s="229"/>
      <c r="G71" s="229"/>
      <c r="H71" s="230"/>
    </row>
    <row r="72" spans="1:11" x14ac:dyDescent="0.25">
      <c r="B72" s="224" t="s">
        <v>112</v>
      </c>
      <c r="C72" s="224"/>
      <c r="D72" s="231" t="s">
        <v>27</v>
      </c>
      <c r="E72" s="232"/>
      <c r="F72" s="232"/>
      <c r="G72" s="232"/>
      <c r="H72" s="233"/>
    </row>
    <row r="73" spans="1:11" x14ac:dyDescent="0.25">
      <c r="B73" s="106" t="s">
        <v>175</v>
      </c>
      <c r="C73" s="91" t="s">
        <v>176</v>
      </c>
      <c r="D73" s="106" t="s">
        <v>113</v>
      </c>
      <c r="E73" s="106" t="s">
        <v>114</v>
      </c>
      <c r="F73" s="106" t="s">
        <v>115</v>
      </c>
      <c r="G73" s="106" t="s">
        <v>116</v>
      </c>
      <c r="H73" s="106" t="s">
        <v>117</v>
      </c>
    </row>
    <row r="74" spans="1:11" ht="25.5" x14ac:dyDescent="0.25">
      <c r="B74" s="107" t="s">
        <v>183</v>
      </c>
      <c r="C74" s="124">
        <v>96528</v>
      </c>
      <c r="D74" s="116" t="s">
        <v>270</v>
      </c>
      <c r="E74" s="124" t="s">
        <v>179</v>
      </c>
      <c r="F74" s="117">
        <v>2</v>
      </c>
      <c r="G74" s="118">
        <v>150</v>
      </c>
      <c r="H74" s="118">
        <f>G74*F74</f>
        <v>300</v>
      </c>
    </row>
    <row r="75" spans="1:11" x14ac:dyDescent="0.25">
      <c r="G75" s="128" t="s">
        <v>118</v>
      </c>
      <c r="H75" s="129">
        <f>SUM(H74:H74)</f>
        <v>300</v>
      </c>
    </row>
    <row r="76" spans="1:11" x14ac:dyDescent="0.25">
      <c r="G76" s="147"/>
      <c r="H76" s="148"/>
    </row>
    <row r="77" spans="1:11" x14ac:dyDescent="0.25">
      <c r="G77" s="147"/>
      <c r="H77" s="148"/>
    </row>
    <row r="78" spans="1:11" x14ac:dyDescent="0.25">
      <c r="G78" s="147"/>
      <c r="H78" s="148"/>
    </row>
    <row r="80" spans="1:11" x14ac:dyDescent="0.25">
      <c r="B80" s="224" t="s">
        <v>109</v>
      </c>
      <c r="C80" s="224"/>
      <c r="D80" s="113" t="s">
        <v>271</v>
      </c>
      <c r="E80" s="114" t="s">
        <v>110</v>
      </c>
      <c r="F80" s="225">
        <v>46204</v>
      </c>
      <c r="G80" s="226"/>
      <c r="H80" s="227"/>
    </row>
    <row r="81" spans="2:8" x14ac:dyDescent="0.25">
      <c r="B81" s="224" t="s">
        <v>111</v>
      </c>
      <c r="C81" s="224"/>
      <c r="D81" s="113" t="s">
        <v>272</v>
      </c>
      <c r="E81" s="228"/>
      <c r="F81" s="229"/>
      <c r="G81" s="229"/>
      <c r="H81" s="230"/>
    </row>
    <row r="82" spans="2:8" x14ac:dyDescent="0.25">
      <c r="B82" s="224" t="s">
        <v>112</v>
      </c>
      <c r="C82" s="224"/>
      <c r="D82" s="231" t="s">
        <v>27</v>
      </c>
      <c r="E82" s="232"/>
      <c r="F82" s="232"/>
      <c r="G82" s="232"/>
      <c r="H82" s="233"/>
    </row>
    <row r="83" spans="2:8" x14ac:dyDescent="0.25">
      <c r="B83" s="106" t="s">
        <v>175</v>
      </c>
      <c r="C83" s="91" t="s">
        <v>176</v>
      </c>
      <c r="D83" s="106" t="s">
        <v>113</v>
      </c>
      <c r="E83" s="106" t="s">
        <v>114</v>
      </c>
      <c r="F83" s="106" t="s">
        <v>115</v>
      </c>
      <c r="G83" s="106" t="s">
        <v>116</v>
      </c>
      <c r="H83" s="106" t="s">
        <v>117</v>
      </c>
    </row>
    <row r="84" spans="2:8" ht="25.5" x14ac:dyDescent="0.25">
      <c r="B84" s="107" t="s">
        <v>183</v>
      </c>
      <c r="C84" s="124">
        <v>92267</v>
      </c>
      <c r="D84" s="116" t="s">
        <v>198</v>
      </c>
      <c r="E84" s="124" t="s">
        <v>179</v>
      </c>
      <c r="F84" s="117">
        <v>2</v>
      </c>
      <c r="G84" s="118">
        <v>67</v>
      </c>
      <c r="H84" s="118">
        <f>G84*F84</f>
        <v>134</v>
      </c>
    </row>
    <row r="85" spans="2:8" ht="38.25" x14ac:dyDescent="0.25">
      <c r="B85" s="107" t="s">
        <v>187</v>
      </c>
      <c r="C85" s="124">
        <v>7156</v>
      </c>
      <c r="D85" s="116" t="s">
        <v>273</v>
      </c>
      <c r="E85" s="124" t="s">
        <v>179</v>
      </c>
      <c r="F85" s="117">
        <v>2</v>
      </c>
      <c r="G85" s="118">
        <v>28</v>
      </c>
      <c r="H85" s="118">
        <f t="shared" ref="H85:H88" si="6">G85*F85</f>
        <v>56</v>
      </c>
    </row>
    <row r="86" spans="2:8" ht="25.5" x14ac:dyDescent="0.25">
      <c r="B86" s="107" t="s">
        <v>183</v>
      </c>
      <c r="C86" s="124">
        <v>92762</v>
      </c>
      <c r="D86" s="116" t="s">
        <v>232</v>
      </c>
      <c r="E86" s="124" t="s">
        <v>180</v>
      </c>
      <c r="F86" s="117">
        <v>7.4</v>
      </c>
      <c r="G86" s="118">
        <v>10.199999999999999</v>
      </c>
      <c r="H86" s="118">
        <f t="shared" si="6"/>
        <v>75.48</v>
      </c>
    </row>
    <row r="87" spans="2:8" ht="25.5" x14ac:dyDescent="0.25">
      <c r="B87" s="107" t="s">
        <v>183</v>
      </c>
      <c r="C87" s="124">
        <v>94966</v>
      </c>
      <c r="D87" s="116" t="s">
        <v>201</v>
      </c>
      <c r="E87" s="124" t="s">
        <v>195</v>
      </c>
      <c r="F87" s="117">
        <v>0.15</v>
      </c>
      <c r="G87" s="118">
        <v>605</v>
      </c>
      <c r="H87" s="118">
        <f t="shared" si="6"/>
        <v>90.75</v>
      </c>
    </row>
    <row r="88" spans="2:8" ht="25.5" x14ac:dyDescent="0.25">
      <c r="B88" s="107" t="s">
        <v>183</v>
      </c>
      <c r="C88" s="124">
        <v>103670</v>
      </c>
      <c r="D88" s="116" t="s">
        <v>194</v>
      </c>
      <c r="E88" s="124" t="s">
        <v>195</v>
      </c>
      <c r="F88" s="117">
        <v>0.15</v>
      </c>
      <c r="G88" s="118">
        <v>344</v>
      </c>
      <c r="H88" s="118">
        <f t="shared" si="6"/>
        <v>51.6</v>
      </c>
    </row>
    <row r="89" spans="2:8" x14ac:dyDescent="0.25">
      <c r="G89" s="128" t="s">
        <v>118</v>
      </c>
      <c r="H89" s="129">
        <f>SUM(H84:H88)</f>
        <v>407.83000000000004</v>
      </c>
    </row>
    <row r="98" spans="6:8" x14ac:dyDescent="0.25">
      <c r="F98" s="196" t="s">
        <v>335</v>
      </c>
      <c r="G98" s="196"/>
      <c r="H98" s="196"/>
    </row>
    <row r="99" spans="6:8" x14ac:dyDescent="0.25">
      <c r="F99" s="50"/>
      <c r="G99" s="50"/>
      <c r="H99" s="50"/>
    </row>
    <row r="100" spans="6:8" x14ac:dyDescent="0.25">
      <c r="F100" s="50"/>
      <c r="G100" s="50"/>
      <c r="H100" s="50"/>
    </row>
    <row r="101" spans="6:8" x14ac:dyDescent="0.25">
      <c r="F101" s="36"/>
      <c r="G101" s="36"/>
      <c r="H101" s="36"/>
    </row>
    <row r="102" spans="6:8" x14ac:dyDescent="0.25">
      <c r="F102" s="36"/>
      <c r="G102" s="36"/>
      <c r="H102" s="36"/>
    </row>
    <row r="103" spans="6:8" x14ac:dyDescent="0.25">
      <c r="F103" s="38"/>
      <c r="G103" s="37"/>
      <c r="H103" s="37"/>
    </row>
    <row r="104" spans="6:8" x14ac:dyDescent="0.25">
      <c r="F104" s="123"/>
      <c r="G104" s="191" t="s">
        <v>165</v>
      </c>
      <c r="H104" s="191"/>
    </row>
    <row r="105" spans="6:8" x14ac:dyDescent="0.25">
      <c r="F105" s="38"/>
      <c r="G105" s="174" t="s">
        <v>166</v>
      </c>
      <c r="H105" s="174"/>
    </row>
    <row r="106" spans="6:8" x14ac:dyDescent="0.25">
      <c r="F106" s="38"/>
      <c r="G106" s="174" t="s">
        <v>167</v>
      </c>
      <c r="H106" s="174"/>
    </row>
  </sheetData>
  <mergeCells count="49">
    <mergeCell ref="F98:H98"/>
    <mergeCell ref="G104:H104"/>
    <mergeCell ref="G105:H105"/>
    <mergeCell ref="G106:H106"/>
    <mergeCell ref="B47:C47"/>
    <mergeCell ref="F47:H47"/>
    <mergeCell ref="B48:C48"/>
    <mergeCell ref="E48:H48"/>
    <mergeCell ref="B60:C60"/>
    <mergeCell ref="D60:H60"/>
    <mergeCell ref="B49:C49"/>
    <mergeCell ref="D49:H49"/>
    <mergeCell ref="B58:C58"/>
    <mergeCell ref="F58:H58"/>
    <mergeCell ref="B59:C59"/>
    <mergeCell ref="E59:H59"/>
    <mergeCell ref="B19:C19"/>
    <mergeCell ref="F19:H19"/>
    <mergeCell ref="B20:C20"/>
    <mergeCell ref="E20:H20"/>
    <mergeCell ref="B34:C34"/>
    <mergeCell ref="D34:H34"/>
    <mergeCell ref="B21:C21"/>
    <mergeCell ref="D21:H21"/>
    <mergeCell ref="B32:C32"/>
    <mergeCell ref="B33:C33"/>
    <mergeCell ref="F32:H32"/>
    <mergeCell ref="E33:H33"/>
    <mergeCell ref="B3:H3"/>
    <mergeCell ref="B8:C8"/>
    <mergeCell ref="B9:C9"/>
    <mergeCell ref="B10:C10"/>
    <mergeCell ref="D10:H10"/>
    <mergeCell ref="F8:H8"/>
    <mergeCell ref="E9:H9"/>
    <mergeCell ref="B5:H5"/>
    <mergeCell ref="B6:H6"/>
    <mergeCell ref="B70:C70"/>
    <mergeCell ref="F70:H70"/>
    <mergeCell ref="B71:C71"/>
    <mergeCell ref="E71:H71"/>
    <mergeCell ref="B72:C72"/>
    <mergeCell ref="D72:H72"/>
    <mergeCell ref="B80:C80"/>
    <mergeCell ref="F80:H80"/>
    <mergeCell ref="B81:C81"/>
    <mergeCell ref="E81:H81"/>
    <mergeCell ref="B82:C82"/>
    <mergeCell ref="D82:H82"/>
  </mergeCells>
  <pageMargins left="0.25" right="0.25" top="0.75" bottom="0.75" header="0.3" footer="0.3"/>
  <pageSetup paperSize="9" scale="7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E77EB7FC-ECD0-486D-9DD3-6AD8DD6AC6E0}">
            <xm:f>AND('\\192.168.1.50\Documentos\Users\Angelica\Desktop\Prefeitura Floriano\Capela Mortuária\[Planilha orçamentária.xlsx]Composições'!#REF!&lt;&gt;"COMPOSICAO",'\\192.168.1.50\Documentos\Users\Angelica\Desktop\Prefeitura Floriano\Capela Mortuária\[Planilha orçamentária.xlsx]Composições'!#REF!&lt;&gt;"INSUMO",'\\192.168.1.50\Documentos\Users\Angelica\Desktop\Prefeitura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4" stopIfTrue="1" id="{AD02D89C-B4A7-4565-9291-E3860A6FF4FB}">
            <xm:f>AND(OR('\\192.168.1.50\Documentos\Users\Angelica\Desktop\Prefeitura Floriano\Capela Mortuária\[Planilha orçamentária.xlsx]Composições'!#REF!="COMPOSICAO",'\\192.168.1.50\Documentos\Users\Angelica\Desktop\Prefeitura Floriano\Capela Mortuária\[Planilha orçamentária.xlsx]Composições'!#REF!="INSUMO",'\\192.168.1.50\Documentos\Users\Angelica\Desktop\Prefeitura Floriano\Capela Mortuária\[Planilha orçamentária.xlsx]Composições'!#REF!&lt;&gt;""),'\\192.168.1.50\Documentos\Users\Angelica\Desktop\Prefeitura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I38:K38</xm:sqref>
        </x14:conditionalFormatting>
        <x14:conditionalFormatting xmlns:xm="http://schemas.microsoft.com/office/excel/2006/main">
          <x14:cfRule type="expression" priority="9" stopIfTrue="1" id="{F72751C9-F1D5-4A38-8C1E-A5C45136DAF5}">
            <xm:f>AND('\\192.168.1.50\Documentos\Users\Angelica\Desktop\Prefeitura Floriano\Capela Mortuária\[Planilha orçamentária.xlsx]Composições'!#REF!&lt;&gt;"COMPOSICAO",'\\192.168.1.50\Documentos\Users\Angelica\Desktop\Prefeitura Floriano\Capela Mortuária\[Planilha orçamentária.xlsx]Composições'!#REF!&lt;&gt;"INSUMO",'\\192.168.1.50\Documentos\Users\Angelica\Desktop\Prefeitura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10" stopIfTrue="1" id="{0215E2EA-B11F-40A9-8E04-4BD277C455E7}">
            <xm:f>AND(OR('\\192.168.1.50\Documentos\Users\Angelica\Desktop\Prefeitura Floriano\Capela Mortuária\[Planilha orçamentária.xlsx]Composições'!#REF!="COMPOSICAO",'\\192.168.1.50\Documentos\Users\Angelica\Desktop\Prefeitura Floriano\Capela Mortuária\[Planilha orçamentária.xlsx]Composições'!#REF!="INSUMO",'\\192.168.1.50\Documentos\Users\Angelica\Desktop\Prefeitura Floriano\Capela Mortuária\[Planilha orçamentária.xlsx]Composições'!#REF!&lt;&gt;""),'\\192.168.1.50\Documentos\Users\Angelica\Desktop\Prefeitura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I63:K63</xm:sqref>
        </x14:conditionalFormatting>
        <x14:conditionalFormatting xmlns:xm="http://schemas.microsoft.com/office/excel/2006/main">
          <x14:cfRule type="expression" priority="1" stopIfTrue="1" id="{C5BB15B4-DCC2-4F45-8ED0-0C329FFA0A98}">
            <xm:f>AND('\\192.168.1.50\Documentos\Users\Angelica\Desktop\Prefeitura Floriano\Capela Mortuária\[Planilha orçamentária.xlsx]Composições'!#REF!&lt;&gt;"COMPOSICAO",'\\192.168.1.50\Documentos\Users\Angelica\Desktop\Prefeitura Floriano\Capela Mortuária\[Planilha orçamentária.xlsx]Composições'!#REF!&lt;&gt;"INSUMO",'\\192.168.1.50\Documentos\Users\Angelica\Desktop\Prefeitura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2" stopIfTrue="1" id="{DF473E9A-1C52-4BEE-8E11-232572612D04}">
            <xm:f>AND(OR('\\192.168.1.50\Documentos\Users\Angelica\Desktop\Prefeitura Floriano\Capela Mortuária\[Planilha orçamentária.xlsx]Composições'!#REF!="COMPOSICAO",'\\192.168.1.50\Documentos\Users\Angelica\Desktop\Prefeitura Floriano\Capela Mortuária\[Planilha orçamentária.xlsx]Composições'!#REF!="INSUMO",'\\192.168.1.50\Documentos\Users\Angelica\Desktop\Prefeitura Floriano\Capela Mortuária\[Planilha orçamentária.xlsx]Composições'!#REF!&lt;&gt;""),'\\192.168.1.50\Documentos\Users\Angelica\Desktop\Prefeitura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J32:K37</xm:sqref>
        </x14:conditionalFormatting>
        <x14:conditionalFormatting xmlns:xm="http://schemas.microsoft.com/office/excel/2006/main">
          <x14:cfRule type="expression" priority="7" stopIfTrue="1" id="{79FD6C49-28E1-4539-A990-C723193C3664}">
            <xm:f>AND('\\192.168.1.50\Documentos\Users\Angelica\Desktop\Prefeitura Floriano\Capela Mortuária\[Planilha orçamentária.xlsx]Composições'!#REF!&lt;&gt;"COMPOSICAO",'\\192.168.1.50\Documentos\Users\Angelica\Desktop\Prefeitura Floriano\Capela Mortuária\[Planilha orçamentária.xlsx]Composições'!#REF!&lt;&gt;"INSUMO",'\\192.168.1.50\Documentos\Users\Angelica\Desktop\Prefeitura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8" stopIfTrue="1" id="{1A5224A3-6325-4BF6-97BF-7D51858B9A1A}">
            <xm:f>AND(OR('\\192.168.1.50\Documentos\Users\Angelica\Desktop\Prefeitura Floriano\Capela Mortuária\[Planilha orçamentária.xlsx]Composições'!#REF!="COMPOSICAO",'\\192.168.1.50\Documentos\Users\Angelica\Desktop\Prefeitura Floriano\Capela Mortuária\[Planilha orçamentária.xlsx]Composições'!#REF!="INSUMO",'\\192.168.1.50\Documentos\Users\Angelica\Desktop\Prefeitura Floriano\Capela Mortuária\[Planilha orçamentária.xlsx]Composições'!#REF!&lt;&gt;""),'\\192.168.1.50\Documentos\Users\Angelica\Desktop\Prefeitura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J52:K62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50"/>
  <sheetViews>
    <sheetView view="pageBreakPreview" zoomScale="60" zoomScaleNormal="100" workbookViewId="0">
      <selection activeCell="E40" sqref="E40"/>
    </sheetView>
  </sheetViews>
  <sheetFormatPr defaultColWidth="9.140625" defaultRowHeight="15.75" x14ac:dyDescent="0.25"/>
  <cols>
    <col min="1" max="1" width="2.7109375" style="67" customWidth="1"/>
    <col min="2" max="2" width="30.85546875" style="68" bestFit="1" customWidth="1"/>
    <col min="3" max="3" width="19.5703125" style="68" bestFit="1" customWidth="1"/>
    <col min="4" max="4" width="21.28515625" style="68" bestFit="1" customWidth="1"/>
    <col min="5" max="5" width="19.7109375" style="68" bestFit="1" customWidth="1"/>
    <col min="6" max="6" width="21.28515625" style="68" bestFit="1" customWidth="1"/>
    <col min="7" max="7" width="19.7109375" style="68" bestFit="1" customWidth="1"/>
    <col min="8" max="8" width="15.85546875" style="68" bestFit="1" customWidth="1"/>
    <col min="9" max="9" width="21.28515625" style="68" bestFit="1" customWidth="1"/>
    <col min="10" max="10" width="19.85546875" style="68" bestFit="1" customWidth="1"/>
    <col min="11" max="12" width="17.140625" style="68" bestFit="1" customWidth="1"/>
    <col min="13" max="13" width="13.7109375" style="69" bestFit="1" customWidth="1"/>
    <col min="14" max="16384" width="9.140625" style="67"/>
  </cols>
  <sheetData>
    <row r="2" spans="2:13" x14ac:dyDescent="0.25">
      <c r="B2" s="240" t="s">
        <v>79</v>
      </c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2:13" x14ac:dyDescent="0.25">
      <c r="B3" s="80"/>
      <c r="C3" s="80"/>
      <c r="D3" s="80"/>
    </row>
    <row r="4" spans="2:13" x14ac:dyDescent="0.25">
      <c r="B4" s="237" t="s">
        <v>25</v>
      </c>
      <c r="C4" s="238"/>
      <c r="D4" s="239"/>
    </row>
    <row r="5" spans="2:13" x14ac:dyDescent="0.25">
      <c r="B5" s="70"/>
      <c r="F5" s="70"/>
      <c r="G5" s="70"/>
      <c r="J5" s="70"/>
      <c r="K5" s="71"/>
      <c r="L5" s="70"/>
    </row>
    <row r="6" spans="2:13" ht="17.25" x14ac:dyDescent="0.25">
      <c r="B6" s="70"/>
      <c r="C6" s="70"/>
      <c r="D6" s="70"/>
      <c r="E6" s="70"/>
      <c r="F6" s="70"/>
      <c r="G6" s="70"/>
      <c r="H6" s="86"/>
      <c r="I6" s="70"/>
      <c r="J6" s="86"/>
      <c r="K6" s="86"/>
      <c r="L6" s="86"/>
      <c r="M6" s="86"/>
    </row>
    <row r="7" spans="2:13" ht="17.25" x14ac:dyDescent="0.25">
      <c r="B7" s="240" t="s">
        <v>28</v>
      </c>
      <c r="C7" s="240"/>
      <c r="D7" s="240"/>
      <c r="E7" s="70"/>
      <c r="F7" s="70"/>
      <c r="G7" s="70"/>
      <c r="H7" s="86"/>
      <c r="I7" s="70"/>
      <c r="J7" s="86"/>
      <c r="K7" s="86"/>
      <c r="L7" s="86"/>
      <c r="M7" s="86"/>
    </row>
    <row r="8" spans="2:13" x14ac:dyDescent="0.25">
      <c r="B8" s="69"/>
      <c r="C8" s="69"/>
      <c r="D8" s="69"/>
      <c r="E8" s="69"/>
      <c r="F8" s="69"/>
      <c r="G8" s="69"/>
      <c r="H8" s="69"/>
      <c r="I8" s="69"/>
      <c r="J8" s="69"/>
      <c r="K8" s="69"/>
      <c r="L8" s="74"/>
      <c r="M8" s="74"/>
    </row>
    <row r="9" spans="2:13" x14ac:dyDescent="0.25">
      <c r="B9" s="237" t="s">
        <v>130</v>
      </c>
      <c r="C9" s="238"/>
      <c r="D9" s="239"/>
      <c r="G9" s="69"/>
      <c r="H9" s="69"/>
      <c r="I9" s="69"/>
    </row>
    <row r="10" spans="2:13" x14ac:dyDescent="0.25">
      <c r="K10" s="69"/>
    </row>
    <row r="11" spans="2:13" x14ac:dyDescent="0.25">
      <c r="B11" s="243" t="s">
        <v>9</v>
      </c>
      <c r="C11" s="82" t="s">
        <v>131</v>
      </c>
      <c r="D11" s="244" t="s">
        <v>132</v>
      </c>
      <c r="E11" s="82" t="s">
        <v>133</v>
      </c>
      <c r="F11" s="235" t="s">
        <v>122</v>
      </c>
      <c r="G11" s="82" t="s">
        <v>123</v>
      </c>
      <c r="H11" s="81" t="s">
        <v>5</v>
      </c>
      <c r="I11" s="81" t="s">
        <v>124</v>
      </c>
      <c r="J11" s="82" t="s">
        <v>129</v>
      </c>
      <c r="K11" s="69"/>
      <c r="L11" s="69"/>
    </row>
    <row r="12" spans="2:13" x14ac:dyDescent="0.25">
      <c r="B12" s="243"/>
      <c r="C12" s="84" t="s">
        <v>134</v>
      </c>
      <c r="D12" s="245"/>
      <c r="E12" s="84" t="s">
        <v>135</v>
      </c>
      <c r="F12" s="236"/>
      <c r="G12" s="84" t="s">
        <v>27</v>
      </c>
      <c r="H12" s="65" t="s">
        <v>35</v>
      </c>
      <c r="I12" s="83" t="s">
        <v>55</v>
      </c>
      <c r="J12" s="84" t="s">
        <v>35</v>
      </c>
      <c r="K12" s="69"/>
      <c r="L12" s="69"/>
    </row>
    <row r="13" spans="2:13" x14ac:dyDescent="0.25">
      <c r="B13" s="66" t="s">
        <v>136</v>
      </c>
      <c r="C13" s="75">
        <v>14.58</v>
      </c>
      <c r="D13" s="66">
        <f>4.81+0.5</f>
        <v>5.31</v>
      </c>
      <c r="E13" s="66">
        <v>0.25</v>
      </c>
      <c r="F13" s="66">
        <v>4</v>
      </c>
      <c r="G13" s="66">
        <f>((D13*E13)+2*C13)*F13</f>
        <v>121.95</v>
      </c>
      <c r="H13" s="66">
        <f>C13*E13*F13</f>
        <v>14.58</v>
      </c>
      <c r="I13" s="66">
        <v>868</v>
      </c>
      <c r="J13" s="66" t="e">
        <f>(4-1.2)*#REF!*1.2*F13</f>
        <v>#REF!</v>
      </c>
      <c r="K13" s="69"/>
      <c r="L13" s="69"/>
    </row>
    <row r="14" spans="2:13" ht="17.25" x14ac:dyDescent="0.25">
      <c r="F14" s="87" t="s">
        <v>13</v>
      </c>
      <c r="G14" s="66">
        <f>ROUND(SUM(G13:G13),2)</f>
        <v>121.95</v>
      </c>
      <c r="H14" s="66">
        <f>ROUND(SUM(H13:H13),2)</f>
        <v>14.58</v>
      </c>
      <c r="I14" s="66">
        <f>ROUND(SUM(I13:I13),2)</f>
        <v>868</v>
      </c>
      <c r="J14" s="66" t="e">
        <f>ROUND(SUM(J13:J13),2)</f>
        <v>#REF!</v>
      </c>
      <c r="K14" s="69"/>
    </row>
    <row r="15" spans="2:13" ht="17.25" x14ac:dyDescent="0.25">
      <c r="E15" s="86"/>
      <c r="F15" s="70"/>
      <c r="G15" s="70"/>
      <c r="H15" s="70"/>
      <c r="I15" s="70"/>
      <c r="J15" s="70"/>
      <c r="K15" s="69"/>
      <c r="L15" s="69"/>
    </row>
    <row r="16" spans="2:13" x14ac:dyDescent="0.25">
      <c r="B16" s="237" t="s">
        <v>137</v>
      </c>
      <c r="C16" s="238"/>
      <c r="D16" s="239"/>
      <c r="E16" s="70"/>
      <c r="F16" s="70"/>
      <c r="H16" s="70"/>
      <c r="I16" s="69"/>
      <c r="J16" s="69"/>
      <c r="K16" s="69"/>
      <c r="L16" s="69"/>
    </row>
    <row r="17" spans="2:13" x14ac:dyDescent="0.25">
      <c r="B17" s="70"/>
      <c r="C17" s="70"/>
      <c r="D17" s="70"/>
      <c r="E17" s="70"/>
      <c r="F17" s="70"/>
      <c r="G17" s="70"/>
      <c r="H17" s="70"/>
      <c r="I17" s="69"/>
      <c r="J17" s="69"/>
      <c r="K17" s="69"/>
      <c r="L17" s="69"/>
    </row>
    <row r="18" spans="2:13" x14ac:dyDescent="0.25">
      <c r="B18" s="241" t="s">
        <v>9</v>
      </c>
      <c r="C18" s="81" t="s">
        <v>119</v>
      </c>
      <c r="D18" s="81" t="s">
        <v>120</v>
      </c>
      <c r="E18" s="82" t="s">
        <v>121</v>
      </c>
      <c r="F18" s="82" t="s">
        <v>122</v>
      </c>
      <c r="G18" s="82" t="s">
        <v>138</v>
      </c>
      <c r="H18" s="82" t="s">
        <v>139</v>
      </c>
      <c r="I18" s="82" t="s">
        <v>140</v>
      </c>
      <c r="J18" s="82" t="s">
        <v>141</v>
      </c>
      <c r="K18" s="69"/>
      <c r="L18" s="69"/>
    </row>
    <row r="19" spans="2:13" x14ac:dyDescent="0.25">
      <c r="B19" s="242"/>
      <c r="C19" s="83" t="s">
        <v>125</v>
      </c>
      <c r="D19" s="83" t="s">
        <v>126</v>
      </c>
      <c r="E19" s="84" t="s">
        <v>127</v>
      </c>
      <c r="F19" s="84" t="s">
        <v>128</v>
      </c>
      <c r="G19" s="84" t="s">
        <v>62</v>
      </c>
      <c r="H19" s="84" t="s">
        <v>62</v>
      </c>
      <c r="I19" s="84" t="s">
        <v>142</v>
      </c>
      <c r="J19" s="84" t="s">
        <v>55</v>
      </c>
      <c r="K19" s="69"/>
      <c r="L19" s="69"/>
    </row>
    <row r="20" spans="2:13" x14ac:dyDescent="0.25">
      <c r="B20" s="66" t="s">
        <v>143</v>
      </c>
      <c r="C20" s="66">
        <v>0.35</v>
      </c>
      <c r="D20" s="66">
        <v>0.2</v>
      </c>
      <c r="E20" s="66">
        <v>0.05</v>
      </c>
      <c r="F20" s="66">
        <f>E31*2</f>
        <v>8</v>
      </c>
      <c r="G20" s="66">
        <f>C20*D20*E20*1000</f>
        <v>3.4999999999999996</v>
      </c>
      <c r="H20" s="66">
        <f>G20*F20</f>
        <v>27.999999999999996</v>
      </c>
      <c r="I20" s="76">
        <v>3.2</v>
      </c>
      <c r="J20" s="66">
        <f>H20*I20</f>
        <v>89.6</v>
      </c>
      <c r="K20" s="69"/>
      <c r="L20" s="69"/>
    </row>
    <row r="21" spans="2:13" x14ac:dyDescent="0.25">
      <c r="B21" s="70"/>
      <c r="C21" s="70"/>
      <c r="D21" s="70"/>
      <c r="E21" s="70"/>
      <c r="F21" s="64" t="s">
        <v>13</v>
      </c>
      <c r="G21" s="64">
        <f>ROUND(SUM(G20:G20),2)</f>
        <v>3.5</v>
      </c>
      <c r="H21" s="64">
        <f t="shared" ref="H21" si="0">ROUND(SUM(H20:H20),2)</f>
        <v>28</v>
      </c>
      <c r="J21" s="66">
        <f t="shared" ref="J21" si="1">ROUND(SUM(J20:J20),2)</f>
        <v>89.6</v>
      </c>
    </row>
    <row r="22" spans="2:13" x14ac:dyDescent="0.25">
      <c r="B22" s="70"/>
      <c r="C22" s="70"/>
      <c r="D22" s="70"/>
      <c r="E22" s="70"/>
      <c r="F22" s="70"/>
      <c r="G22" s="70"/>
      <c r="H22" s="70"/>
      <c r="I22" s="70"/>
      <c r="J22" s="70"/>
    </row>
    <row r="23" spans="2:13" ht="17.25" x14ac:dyDescent="0.25">
      <c r="B23" s="237" t="s">
        <v>41</v>
      </c>
      <c r="C23" s="238"/>
      <c r="D23" s="239"/>
      <c r="E23" s="70"/>
      <c r="F23" s="70"/>
      <c r="G23" s="70"/>
      <c r="H23" s="86"/>
      <c r="I23" s="73"/>
      <c r="J23" s="70"/>
      <c r="K23" s="73"/>
      <c r="L23" s="85"/>
      <c r="M23" s="74"/>
    </row>
    <row r="24" spans="2:13" x14ac:dyDescent="0.25">
      <c r="B24" s="69"/>
      <c r="C24" s="69"/>
      <c r="D24" s="69"/>
      <c r="E24" s="69"/>
      <c r="F24" s="69"/>
      <c r="G24" s="69"/>
      <c r="H24" s="69"/>
      <c r="I24" s="73"/>
      <c r="J24" s="69"/>
      <c r="K24" s="69"/>
      <c r="L24" s="85"/>
      <c r="M24" s="74"/>
    </row>
    <row r="25" spans="2:13" x14ac:dyDescent="0.25">
      <c r="B25" s="237" t="s">
        <v>144</v>
      </c>
      <c r="C25" s="238"/>
      <c r="D25" s="239"/>
      <c r="E25" s="70"/>
      <c r="G25" s="73"/>
      <c r="H25" s="73"/>
      <c r="I25" s="73"/>
      <c r="K25" s="70"/>
      <c r="L25" s="70"/>
      <c r="M25" s="70"/>
    </row>
    <row r="26" spans="2:13" x14ac:dyDescent="0.25">
      <c r="B26" s="70"/>
      <c r="C26" s="70"/>
      <c r="D26" s="70"/>
      <c r="E26" s="70"/>
      <c r="K26" s="70"/>
      <c r="L26" s="70"/>
      <c r="M26" s="70"/>
    </row>
    <row r="27" spans="2:13" x14ac:dyDescent="0.25">
      <c r="B27" s="70"/>
      <c r="C27" s="248" t="s">
        <v>145</v>
      </c>
      <c r="D27" s="248"/>
      <c r="E27" s="66">
        <v>2.4</v>
      </c>
      <c r="F27" s="66" t="s">
        <v>146</v>
      </c>
      <c r="G27" s="70"/>
      <c r="H27" s="70"/>
      <c r="I27" s="70"/>
      <c r="J27" s="70"/>
      <c r="K27" s="69"/>
      <c r="L27" s="69"/>
    </row>
    <row r="28" spans="2:13" x14ac:dyDescent="0.25">
      <c r="B28" s="70"/>
      <c r="C28" s="70"/>
      <c r="D28" s="70"/>
      <c r="E28" s="69"/>
      <c r="F28" s="74"/>
      <c r="G28" s="74"/>
      <c r="H28" s="74"/>
      <c r="I28" s="74"/>
      <c r="J28" s="74"/>
      <c r="K28" s="74"/>
      <c r="L28" s="69"/>
      <c r="M28" s="74"/>
    </row>
    <row r="29" spans="2:13" x14ac:dyDescent="0.25">
      <c r="B29" s="241" t="s">
        <v>9</v>
      </c>
      <c r="C29" s="82" t="s">
        <v>147</v>
      </c>
      <c r="D29" s="82" t="s">
        <v>119</v>
      </c>
      <c r="E29" s="82" t="s">
        <v>122</v>
      </c>
      <c r="F29" s="81" t="s">
        <v>132</v>
      </c>
      <c r="G29" s="82" t="s">
        <v>123</v>
      </c>
      <c r="H29" s="81" t="s">
        <v>5</v>
      </c>
      <c r="I29" s="82" t="s">
        <v>124</v>
      </c>
      <c r="J29" s="81" t="s">
        <v>148</v>
      </c>
      <c r="K29" s="82" t="s">
        <v>149</v>
      </c>
      <c r="L29" s="69"/>
      <c r="M29" s="74"/>
    </row>
    <row r="30" spans="2:13" x14ac:dyDescent="0.25">
      <c r="B30" s="242"/>
      <c r="C30" s="84"/>
      <c r="D30" s="84" t="s">
        <v>125</v>
      </c>
      <c r="E30" s="84" t="s">
        <v>128</v>
      </c>
      <c r="F30" s="83" t="s">
        <v>150</v>
      </c>
      <c r="G30" s="84" t="s">
        <v>27</v>
      </c>
      <c r="H30" s="83" t="s">
        <v>35</v>
      </c>
      <c r="I30" s="84" t="s">
        <v>55</v>
      </c>
      <c r="J30" s="83" t="s">
        <v>55</v>
      </c>
      <c r="K30" s="84" t="s">
        <v>57</v>
      </c>
      <c r="L30" s="69"/>
      <c r="M30" s="74"/>
    </row>
    <row r="31" spans="2:13" x14ac:dyDescent="0.25">
      <c r="B31" s="64" t="s">
        <v>3</v>
      </c>
      <c r="C31" s="77">
        <v>0.24640000000000001</v>
      </c>
      <c r="D31" s="64">
        <v>20</v>
      </c>
      <c r="E31" s="64">
        <v>4</v>
      </c>
      <c r="F31" s="64">
        <f>3.899-0.3</f>
        <v>3.5990000000000002</v>
      </c>
      <c r="G31" s="64">
        <f>(F31*D31+2*C31)*E31</f>
        <v>289.89120000000003</v>
      </c>
      <c r="H31" s="65">
        <f>C31*D31*E31</f>
        <v>19.712</v>
      </c>
      <c r="I31" s="64">
        <v>1599</v>
      </c>
      <c r="J31" s="65">
        <v>1388</v>
      </c>
      <c r="K31" s="64">
        <f>(H31*E27+(I31+J31)/1000)/E31</f>
        <v>12.57395</v>
      </c>
      <c r="L31" s="69"/>
      <c r="M31" s="74"/>
    </row>
    <row r="32" spans="2:13" ht="17.25" x14ac:dyDescent="0.25">
      <c r="B32" s="78" t="s">
        <v>151</v>
      </c>
      <c r="C32" s="78">
        <f>16*E31</f>
        <v>64</v>
      </c>
      <c r="D32" s="70"/>
      <c r="E32" s="70"/>
      <c r="F32" s="87" t="s">
        <v>13</v>
      </c>
      <c r="G32" s="66">
        <f>ROUND(SUM(G31:G31),2)</f>
        <v>289.89</v>
      </c>
      <c r="H32" s="66">
        <f>ROUND(SUM(H31:H31),2)</f>
        <v>19.71</v>
      </c>
      <c r="I32" s="66">
        <f>ROUND(SUM(I31:I31),2)</f>
        <v>1599</v>
      </c>
      <c r="J32" s="66">
        <f>ROUND(SUM(J31:J31),2)</f>
        <v>1388</v>
      </c>
      <c r="K32" s="66">
        <f>ROUND(SUM(K31:K31),2)</f>
        <v>12.57</v>
      </c>
      <c r="L32" s="69"/>
      <c r="M32" s="74"/>
    </row>
    <row r="33" spans="2:13" ht="17.25" x14ac:dyDescent="0.25">
      <c r="D33" s="70"/>
      <c r="E33" s="70"/>
      <c r="F33" s="86"/>
      <c r="G33" s="70"/>
      <c r="H33" s="70"/>
      <c r="I33" s="70"/>
      <c r="J33" s="70"/>
      <c r="K33" s="70"/>
      <c r="L33" s="69"/>
      <c r="M33" s="74"/>
    </row>
    <row r="34" spans="2:13" x14ac:dyDescent="0.25">
      <c r="B34" s="237" t="s">
        <v>152</v>
      </c>
      <c r="C34" s="238"/>
      <c r="D34" s="239"/>
      <c r="E34" s="70"/>
      <c r="F34" s="70"/>
      <c r="G34" s="73"/>
      <c r="H34" s="73"/>
      <c r="I34" s="73"/>
      <c r="J34" s="70"/>
      <c r="K34" s="69"/>
      <c r="L34" s="70"/>
    </row>
    <row r="35" spans="2:13" x14ac:dyDescent="0.25">
      <c r="B35" s="70"/>
      <c r="C35" s="70"/>
      <c r="D35" s="70"/>
      <c r="E35" s="70"/>
      <c r="F35" s="70"/>
      <c r="G35" s="70"/>
      <c r="H35" s="70"/>
      <c r="I35" s="70"/>
      <c r="J35" s="70"/>
      <c r="K35" s="69"/>
      <c r="L35" s="70"/>
    </row>
    <row r="36" spans="2:13" x14ac:dyDescent="0.25">
      <c r="B36" s="70"/>
      <c r="C36" s="248" t="s">
        <v>145</v>
      </c>
      <c r="D36" s="249"/>
      <c r="E36" s="66">
        <v>2.4</v>
      </c>
      <c r="F36" s="66" t="s">
        <v>146</v>
      </c>
      <c r="G36" s="70"/>
      <c r="H36" s="70"/>
      <c r="I36" s="70"/>
      <c r="J36" s="70"/>
      <c r="K36" s="69"/>
      <c r="L36" s="69"/>
    </row>
    <row r="37" spans="2:13" x14ac:dyDescent="0.25">
      <c r="B37" s="70"/>
      <c r="C37" s="70"/>
      <c r="D37" s="70"/>
      <c r="E37" s="70"/>
      <c r="F37" s="70"/>
      <c r="G37" s="70"/>
      <c r="I37" s="70"/>
      <c r="J37" s="70"/>
      <c r="K37" s="69"/>
      <c r="L37" s="69"/>
    </row>
    <row r="38" spans="2:13" x14ac:dyDescent="0.25">
      <c r="B38" s="243" t="s">
        <v>9</v>
      </c>
      <c r="C38" s="82" t="s">
        <v>131</v>
      </c>
      <c r="D38" s="244" t="s">
        <v>132</v>
      </c>
      <c r="E38" s="82" t="s">
        <v>119</v>
      </c>
      <c r="F38" s="235" t="s">
        <v>122</v>
      </c>
      <c r="G38" s="82" t="s">
        <v>123</v>
      </c>
      <c r="H38" s="81" t="s">
        <v>5</v>
      </c>
      <c r="I38" s="81" t="s">
        <v>124</v>
      </c>
      <c r="J38" s="82" t="s">
        <v>149</v>
      </c>
      <c r="K38" s="69"/>
      <c r="L38" s="69"/>
    </row>
    <row r="39" spans="2:13" x14ac:dyDescent="0.25">
      <c r="B39" s="244"/>
      <c r="C39" s="88" t="s">
        <v>134</v>
      </c>
      <c r="D39" s="246"/>
      <c r="E39" s="88" t="s">
        <v>153</v>
      </c>
      <c r="F39" s="247"/>
      <c r="G39" s="88" t="s">
        <v>27</v>
      </c>
      <c r="H39" s="90" t="s">
        <v>35</v>
      </c>
      <c r="I39" s="89" t="s">
        <v>55</v>
      </c>
      <c r="J39" s="88" t="s">
        <v>154</v>
      </c>
      <c r="K39" s="69"/>
      <c r="L39" s="69"/>
    </row>
    <row r="40" spans="2:13" x14ac:dyDescent="0.25">
      <c r="B40" s="66" t="s">
        <v>155</v>
      </c>
      <c r="C40" s="79">
        <v>6.4600000000000005E-2</v>
      </c>
      <c r="D40" s="66">
        <f>1.8-0.78</f>
        <v>1.02</v>
      </c>
      <c r="E40" s="66">
        <v>1.48</v>
      </c>
      <c r="F40" s="66">
        <f>23*3</f>
        <v>69</v>
      </c>
      <c r="G40" s="66">
        <f>(D40*E40+4*C40)*F40</f>
        <v>121.992</v>
      </c>
      <c r="H40" s="66">
        <f>C40*E40*F40</f>
        <v>6.5969520000000008</v>
      </c>
      <c r="I40" s="66">
        <v>809</v>
      </c>
      <c r="J40" s="66">
        <f>H40*E36+(I40)/1000</f>
        <v>16.6416848</v>
      </c>
      <c r="K40" s="69"/>
      <c r="L40" s="69"/>
    </row>
    <row r="41" spans="2:13" x14ac:dyDescent="0.25">
      <c r="D41" s="69"/>
      <c r="E41" s="66" t="s">
        <v>13</v>
      </c>
      <c r="F41" s="66">
        <f>ROUND(SUM(F40:F40),2)</f>
        <v>69</v>
      </c>
      <c r="G41" s="66">
        <f>ROUND(SUM(G40:G40),2)</f>
        <v>121.99</v>
      </c>
      <c r="H41" s="66">
        <f>ROUND(SUM(H40:H40),2)</f>
        <v>6.6</v>
      </c>
      <c r="I41" s="66">
        <f>ROUND(SUM(I40:I40),2)</f>
        <v>809</v>
      </c>
      <c r="J41" s="66">
        <f>ROUND(SUM(J40:J40),2)</f>
        <v>16.64</v>
      </c>
      <c r="K41" s="69"/>
      <c r="L41" s="69"/>
    </row>
    <row r="42" spans="2:13" x14ac:dyDescent="0.25">
      <c r="B42" s="70"/>
      <c r="C42" s="70"/>
      <c r="D42" s="70"/>
      <c r="E42" s="70"/>
      <c r="F42" s="70"/>
      <c r="G42" s="70"/>
      <c r="H42" s="70"/>
      <c r="I42" s="70"/>
      <c r="J42" s="70"/>
      <c r="K42" s="69"/>
      <c r="L42" s="69"/>
    </row>
    <row r="43" spans="2:13" x14ac:dyDescent="0.25">
      <c r="B43" s="237" t="s">
        <v>43</v>
      </c>
      <c r="C43" s="238"/>
      <c r="D43" s="239"/>
      <c r="E43" s="69"/>
      <c r="F43" s="69"/>
      <c r="G43" s="69"/>
    </row>
    <row r="45" spans="2:13" x14ac:dyDescent="0.25">
      <c r="B45" s="243" t="s">
        <v>9</v>
      </c>
      <c r="C45" s="82" t="s">
        <v>131</v>
      </c>
      <c r="D45" s="244" t="s">
        <v>132</v>
      </c>
      <c r="E45" s="82" t="s">
        <v>119</v>
      </c>
      <c r="F45" s="82" t="s">
        <v>123</v>
      </c>
      <c r="G45" s="81" t="s">
        <v>5</v>
      </c>
      <c r="H45" s="82" t="s">
        <v>124</v>
      </c>
      <c r="I45" s="82" t="s">
        <v>156</v>
      </c>
      <c r="J45" s="70"/>
      <c r="K45" s="69"/>
      <c r="L45" s="69"/>
    </row>
    <row r="46" spans="2:13" x14ac:dyDescent="0.25">
      <c r="B46" s="243"/>
      <c r="C46" s="84" t="s">
        <v>134</v>
      </c>
      <c r="D46" s="245"/>
      <c r="E46" s="84" t="s">
        <v>157</v>
      </c>
      <c r="F46" s="84" t="s">
        <v>27</v>
      </c>
      <c r="G46" s="65" t="s">
        <v>35</v>
      </c>
      <c r="H46" s="84" t="s">
        <v>55</v>
      </c>
      <c r="I46" s="84" t="s">
        <v>35</v>
      </c>
      <c r="J46" s="69"/>
      <c r="K46" s="69"/>
      <c r="L46" s="69"/>
    </row>
    <row r="47" spans="2:13" x14ac:dyDescent="0.25">
      <c r="B47" s="66" t="s">
        <v>158</v>
      </c>
      <c r="C47" s="75">
        <f>(6*0.2)+(2*0.2*0.25)</f>
        <v>1.3000000000000003</v>
      </c>
      <c r="D47" s="66">
        <f>0.32+0.32+0.2+0.2</f>
        <v>1.04</v>
      </c>
      <c r="E47" s="66">
        <v>20</v>
      </c>
      <c r="F47" s="66">
        <f>D47*E47+2*C47</f>
        <v>23.400000000000002</v>
      </c>
      <c r="G47" s="72">
        <f>C47*E47</f>
        <v>26.000000000000007</v>
      </c>
      <c r="H47" s="66">
        <v>1781</v>
      </c>
      <c r="I47" s="66">
        <f>2*(0.55*E47*1.1)</f>
        <v>24.200000000000003</v>
      </c>
      <c r="J47" s="69"/>
      <c r="K47" s="69"/>
      <c r="L47" s="69"/>
    </row>
    <row r="48" spans="2:13" ht="17.25" x14ac:dyDescent="0.25">
      <c r="E48" s="87" t="s">
        <v>13</v>
      </c>
      <c r="F48" s="66">
        <f>ROUND(SUM(F47:F47),2)</f>
        <v>23.4</v>
      </c>
      <c r="G48" s="66">
        <f>ROUND(SUM(G47:G47),2)</f>
        <v>26</v>
      </c>
      <c r="H48" s="66">
        <f>ROUND(SUM(H47:H47),2)</f>
        <v>1781</v>
      </c>
      <c r="I48" s="66">
        <f>ROUND(SUM(I47:I47),2)</f>
        <v>24.2</v>
      </c>
      <c r="J48" s="69"/>
      <c r="K48" s="69"/>
      <c r="L48" s="69"/>
    </row>
    <row r="49" spans="5:10" x14ac:dyDescent="0.25">
      <c r="E49" s="67"/>
      <c r="F49" s="70"/>
      <c r="G49" s="70"/>
      <c r="H49" s="70"/>
      <c r="I49" s="70"/>
      <c r="J49" s="69"/>
    </row>
    <row r="50" spans="5:10" x14ac:dyDescent="0.25">
      <c r="G50" s="70"/>
    </row>
  </sheetData>
  <mergeCells count="21">
    <mergeCell ref="C36:D36"/>
    <mergeCell ref="B23:D23"/>
    <mergeCell ref="B25:D25"/>
    <mergeCell ref="C27:D27"/>
    <mergeCell ref="B29:B30"/>
    <mergeCell ref="B34:D34"/>
    <mergeCell ref="B38:B39"/>
    <mergeCell ref="D38:D39"/>
    <mergeCell ref="F38:F39"/>
    <mergeCell ref="B43:D43"/>
    <mergeCell ref="B45:B46"/>
    <mergeCell ref="D45:D46"/>
    <mergeCell ref="F11:F12"/>
    <mergeCell ref="B16:D16"/>
    <mergeCell ref="B2:M2"/>
    <mergeCell ref="B4:D4"/>
    <mergeCell ref="B18:B19"/>
    <mergeCell ref="B7:D7"/>
    <mergeCell ref="B9:D9"/>
    <mergeCell ref="B11:B12"/>
    <mergeCell ref="D11:D12"/>
  </mergeCells>
  <pageMargins left="0.511811024" right="0.511811024" top="0.78740157499999996" bottom="0.78740157499999996" header="0.31496062000000002" footer="0.31496062000000002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ORÇAMENTO</vt:lpstr>
      <vt:lpstr>ENCARGOS</vt:lpstr>
      <vt:lpstr>CRONOGRAMA</vt:lpstr>
      <vt:lpstr>DMT</vt:lpstr>
      <vt:lpstr>BDI</vt:lpstr>
      <vt:lpstr>COMP. </vt:lpstr>
      <vt:lpstr>MEMÓRIA QUANTIDADES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cp:lastPrinted>2026-10-02T13:20:27Z</cp:lastPrinted>
  <dcterms:created xsi:type="dcterms:W3CDTF">2024-04-05T20:18:58Z</dcterms:created>
  <dcterms:modified xsi:type="dcterms:W3CDTF">2026-10-02T13:21:39Z</dcterms:modified>
</cp:coreProperties>
</file>