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HIDRASERVER\Dados\HIDRAELE\452 CENTRO DO GUILHERME MA\PROJETOS 2023\ESTRADAS VICINAIS RP\demanda 5 estradas\ORÇAMENTO\"/>
    </mc:Choice>
  </mc:AlternateContent>
  <bookViews>
    <workbookView xWindow="-120" yWindow="-120" windowWidth="29040" windowHeight="15840"/>
  </bookViews>
  <sheets>
    <sheet name="Resumo do Orçamento" sheetId="1" r:id="rId1"/>
    <sheet name="PO-Sintético" sheetId="2" r:id="rId2"/>
    <sheet name="COMP" sheetId="10" r:id="rId3"/>
    <sheet name="comp pontes" sheetId="11" state="hidden" r:id="rId4"/>
    <sheet name="Curva ABC Serviços" sheetId="8" r:id="rId5"/>
    <sheet name="Cronograma" sheetId="4" r:id="rId6"/>
    <sheet name="Memoria de Calculo" sheetId="9" r:id="rId7"/>
    <sheet name="PO-Analítica" sheetId="3" state="hidden" r:id="rId8"/>
    <sheet name="Curva ABC Insumo" sheetId="7" state="hidden" r:id="rId9"/>
    <sheet name="BDI" sheetId="5" r:id="rId10"/>
    <sheet name="Encargos" sheetId="6" r:id="rId11"/>
  </sheets>
  <externalReferences>
    <externalReference r:id="rId12"/>
    <externalReference r:id="rId13"/>
  </externalReferences>
  <definedNames>
    <definedName name="_xlnm._FilterDatabase" localSheetId="4" hidden="1">'Curva ABC Serviços'!$A$8:$I$18</definedName>
    <definedName name="_xlnm._FilterDatabase" localSheetId="1" hidden="1">'PO-Sintético'!$A$9:$J$25</definedName>
    <definedName name="_xlnm.Print_Area" localSheetId="9">BDI!$J$1:$S$45</definedName>
    <definedName name="_xlnm.Print_Area" localSheetId="2">COMP!$A$1:$G$77</definedName>
    <definedName name="_xlnm.Print_Area" localSheetId="3">'comp pontes'!$A$1:$I$271</definedName>
    <definedName name="_xlnm.Print_Area" localSheetId="5">Cronograma!$A$1:$H$17</definedName>
    <definedName name="_xlnm.Print_Area" localSheetId="8">'Curva ABC Insumo'!$A$1:$O$168</definedName>
    <definedName name="_xlnm.Print_Area" localSheetId="4">'Curva ABC Serviços'!$A$1:$I$18</definedName>
    <definedName name="_xlnm.Print_Area" localSheetId="10">Encargos!$A$1:$D$44</definedName>
    <definedName name="_xlnm.Print_Area" localSheetId="6">'Memoria de Calculo'!$A$1:$D$31</definedName>
    <definedName name="_xlnm.Print_Area" localSheetId="7">'PO-Analítica'!$A$1:$J$405</definedName>
    <definedName name="_xlnm.Print_Area" localSheetId="1">'PO-Sintético'!$A$1:$J$35</definedName>
    <definedName name="_xlnm.Print_Area" localSheetId="0">'Resumo do Orçamento'!$A$1:$I$20</definedName>
    <definedName name="BDI.TipoObra" hidden="1">[1]BDI!$A$138:$A$146</definedName>
    <definedName name="DESONERACAO" hidden="1">IF(OR(Import.Desoneracao="DESONERADO",Import.Desoneracao="SIM"),"SIM","NÃO")</definedName>
    <definedName name="Import.Desoneracao" hidden="1">OFFSET([1]DADOS!$G$18,0,-1)</definedName>
    <definedName name="_xlnm.Print_Titles" localSheetId="1">'PO-Sintético'!$1:$8</definedName>
  </definedNames>
  <calcPr calcId="152511" calcMode="manual"/>
</workbook>
</file>

<file path=xl/calcChain.xml><?xml version="1.0" encoding="utf-8"?>
<calcChain xmlns="http://schemas.openxmlformats.org/spreadsheetml/2006/main">
  <c r="G15" i="8" l="1"/>
  <c r="F28" i="2"/>
  <c r="D30" i="9"/>
  <c r="A29" i="9"/>
  <c r="G28" i="2"/>
  <c r="H28" i="2"/>
  <c r="I28" i="2" s="1"/>
  <c r="G27" i="2"/>
  <c r="H27" i="2" l="1"/>
  <c r="H15" i="2"/>
  <c r="H16" i="2"/>
  <c r="H14" i="2"/>
  <c r="F29" i="2" l="1"/>
  <c r="F27" i="2"/>
  <c r="D29" i="2"/>
  <c r="D20" i="9"/>
  <c r="B13" i="1" l="1"/>
  <c r="B12" i="1"/>
  <c r="G11" i="2"/>
  <c r="H11" i="2" s="1"/>
  <c r="B13" i="4"/>
  <c r="F20" i="2"/>
  <c r="D21" i="9"/>
  <c r="F19" i="2"/>
  <c r="B12" i="4"/>
  <c r="G25" i="2"/>
  <c r="H25" i="2" s="1"/>
  <c r="F13" i="8" s="1"/>
  <c r="K24" i="2"/>
  <c r="G24" i="2" s="1"/>
  <c r="H24" i="2" s="1"/>
  <c r="F10" i="8" s="1"/>
  <c r="K23" i="2"/>
  <c r="G23" i="2" s="1"/>
  <c r="H23" i="2" s="1"/>
  <c r="F11" i="8" s="1"/>
  <c r="G20" i="2"/>
  <c r="H20" i="2" s="1"/>
  <c r="G21" i="2"/>
  <c r="H21" i="2" s="1"/>
  <c r="G19" i="2"/>
  <c r="H19" i="2" s="1"/>
  <c r="F14" i="8" s="1"/>
  <c r="G16" i="2"/>
  <c r="G15" i="2"/>
  <c r="G14" i="2"/>
  <c r="G10" i="2"/>
  <c r="I27" i="2" l="1"/>
  <c r="F9" i="8"/>
  <c r="G9" i="8" s="1"/>
  <c r="D24" i="9"/>
  <c r="F24" i="2" s="1"/>
  <c r="F21" i="2"/>
  <c r="D23" i="9"/>
  <c r="D25" i="9" s="1"/>
  <c r="H10" i="2" l="1"/>
  <c r="F12" i="2"/>
  <c r="F11" i="2"/>
  <c r="F10" i="2"/>
  <c r="F16" i="2"/>
  <c r="F15" i="2"/>
  <c r="F14" i="2"/>
  <c r="E10" i="8" l="1"/>
  <c r="E11" i="8"/>
  <c r="E14" i="8" l="1"/>
  <c r="G11" i="8" l="1"/>
  <c r="G14" i="8"/>
  <c r="D43" i="6"/>
  <c r="D44" i="6" s="1"/>
  <c r="C43" i="6"/>
  <c r="C44" i="6" s="1"/>
  <c r="D39" i="6"/>
  <c r="C39" i="6"/>
  <c r="D32" i="6"/>
  <c r="C32" i="6"/>
  <c r="D20" i="6"/>
  <c r="C20" i="6"/>
  <c r="E14" i="11" l="1"/>
  <c r="E40" i="11"/>
  <c r="E67" i="11"/>
  <c r="E94" i="11"/>
  <c r="E257" i="11"/>
  <c r="E237" i="11"/>
  <c r="H237" i="11" s="1"/>
  <c r="E236" i="11"/>
  <c r="K236" i="11"/>
  <c r="E234" i="11"/>
  <c r="E233" i="11"/>
  <c r="E229" i="11"/>
  <c r="H229" i="11" s="1"/>
  <c r="E267" i="11"/>
  <c r="E265" i="11"/>
  <c r="E264" i="11"/>
  <c r="E263" i="11"/>
  <c r="E262" i="11"/>
  <c r="E261" i="11"/>
  <c r="E256" i="11"/>
  <c r="H256" i="11" s="1"/>
  <c r="E255" i="11"/>
  <c r="H255" i="11" s="1"/>
  <c r="E254" i="11"/>
  <c r="H254" i="11" s="1"/>
  <c r="E248" i="11"/>
  <c r="E253" i="11"/>
  <c r="E258" i="11" s="1"/>
  <c r="H258" i="11" s="1"/>
  <c r="F265" i="11"/>
  <c r="F261" i="11"/>
  <c r="G270" i="11"/>
  <c r="H270" i="11" s="1"/>
  <c r="F268" i="11"/>
  <c r="G268" i="11" s="1"/>
  <c r="G266" i="11"/>
  <c r="H266" i="11" s="1"/>
  <c r="G265" i="11"/>
  <c r="H265" i="11" s="1"/>
  <c r="F262" i="11"/>
  <c r="H259" i="11"/>
  <c r="G259" i="11"/>
  <c r="G258" i="11"/>
  <c r="H257" i="11"/>
  <c r="G257" i="11"/>
  <c r="G256" i="11"/>
  <c r="G255" i="11"/>
  <c r="G254" i="11"/>
  <c r="H253" i="11"/>
  <c r="G253" i="11"/>
  <c r="G251" i="11"/>
  <c r="G250" i="11"/>
  <c r="G249" i="11"/>
  <c r="G248" i="11"/>
  <c r="E242" i="11"/>
  <c r="H242" i="11" s="1"/>
  <c r="H241" i="11" s="1"/>
  <c r="E239" i="11"/>
  <c r="E235" i="11"/>
  <c r="E228" i="11"/>
  <c r="H228" i="11" s="1"/>
  <c r="E227" i="11"/>
  <c r="E226" i="11"/>
  <c r="H226" i="11" s="1"/>
  <c r="E225" i="11"/>
  <c r="H225" i="11" s="1"/>
  <c r="E220" i="11"/>
  <c r="F237" i="11"/>
  <c r="F233" i="11"/>
  <c r="G242" i="11"/>
  <c r="F240" i="11"/>
  <c r="G240" i="11" s="1"/>
  <c r="H238" i="11"/>
  <c r="G238" i="11"/>
  <c r="G237" i="11"/>
  <c r="F234" i="11"/>
  <c r="G231" i="11"/>
  <c r="H231" i="11" s="1"/>
  <c r="G230" i="11"/>
  <c r="G229" i="11"/>
  <c r="G228" i="11"/>
  <c r="G227" i="11"/>
  <c r="H227" i="11"/>
  <c r="G226" i="11"/>
  <c r="G225" i="11"/>
  <c r="G223" i="11"/>
  <c r="G222" i="11"/>
  <c r="G221" i="11"/>
  <c r="H220" i="11"/>
  <c r="G220" i="11"/>
  <c r="E209" i="11"/>
  <c r="E174" i="11"/>
  <c r="E148" i="11"/>
  <c r="E147" i="11"/>
  <c r="E146" i="11"/>
  <c r="E145" i="11"/>
  <c r="E144" i="11"/>
  <c r="E139" i="11"/>
  <c r="E117" i="11"/>
  <c r="I214" i="11"/>
  <c r="I206" i="11"/>
  <c r="I207" i="11"/>
  <c r="I208" i="11"/>
  <c r="I209" i="11"/>
  <c r="I210" i="11"/>
  <c r="I211" i="11"/>
  <c r="I212" i="11"/>
  <c r="I205" i="11"/>
  <c r="I198" i="11"/>
  <c r="I199" i="11"/>
  <c r="I200" i="11"/>
  <c r="I201" i="11"/>
  <c r="I202" i="11"/>
  <c r="I203" i="11"/>
  <c r="I197" i="11"/>
  <c r="I193" i="11"/>
  <c r="I194" i="11"/>
  <c r="I195" i="11"/>
  <c r="I192" i="11"/>
  <c r="E214" i="11"/>
  <c r="E211" i="11"/>
  <c r="E210" i="11"/>
  <c r="E208" i="11"/>
  <c r="E207" i="11"/>
  <c r="E206" i="11"/>
  <c r="E205" i="11"/>
  <c r="E201" i="11"/>
  <c r="E200" i="11"/>
  <c r="E199" i="11"/>
  <c r="E198" i="11"/>
  <c r="E197" i="11"/>
  <c r="K192" i="11"/>
  <c r="E268" i="11" l="1"/>
  <c r="H268" i="11" s="1"/>
  <c r="H248" i="11"/>
  <c r="F263" i="11"/>
  <c r="G262" i="11"/>
  <c r="H262" i="11" s="1"/>
  <c r="H252" i="11"/>
  <c r="H269" i="11"/>
  <c r="G261" i="11"/>
  <c r="H261" i="11" s="1"/>
  <c r="E249" i="11"/>
  <c r="H249" i="11" s="1"/>
  <c r="E240" i="11"/>
  <c r="H240" i="11"/>
  <c r="F235" i="11"/>
  <c r="G234" i="11"/>
  <c r="H234" i="11" s="1"/>
  <c r="E230" i="11"/>
  <c r="H230" i="11" s="1"/>
  <c r="H224" i="11" s="1"/>
  <c r="E221" i="11"/>
  <c r="H221" i="11" s="1"/>
  <c r="G233" i="11"/>
  <c r="H233" i="11" s="1"/>
  <c r="H139" i="11"/>
  <c r="E192" i="11"/>
  <c r="K188" i="11"/>
  <c r="F209" i="11"/>
  <c r="G209" i="11" s="1"/>
  <c r="H209" i="11" s="1"/>
  <c r="F205" i="11"/>
  <c r="F206" i="11" s="1"/>
  <c r="F207" i="11" s="1"/>
  <c r="H214" i="11"/>
  <c r="G214" i="11"/>
  <c r="F212" i="11"/>
  <c r="G212" i="11" s="1"/>
  <c r="H210" i="11"/>
  <c r="G210" i="11"/>
  <c r="G205" i="11"/>
  <c r="H205" i="11" s="1"/>
  <c r="E212" i="11"/>
  <c r="G203" i="11"/>
  <c r="H203" i="11" s="1"/>
  <c r="G202" i="11"/>
  <c r="G201" i="11"/>
  <c r="H201" i="11"/>
  <c r="G200" i="11"/>
  <c r="H200" i="11"/>
  <c r="G199" i="11"/>
  <c r="H199" i="11"/>
  <c r="G198" i="11"/>
  <c r="H198" i="11"/>
  <c r="G197" i="11"/>
  <c r="H197" i="11"/>
  <c r="G195" i="11"/>
  <c r="G194" i="11"/>
  <c r="G193" i="11"/>
  <c r="G192" i="11"/>
  <c r="E184" i="11"/>
  <c r="E182" i="11"/>
  <c r="E181" i="11"/>
  <c r="E180" i="11"/>
  <c r="E179" i="11"/>
  <c r="E178" i="11"/>
  <c r="E165" i="11"/>
  <c r="E158" i="11"/>
  <c r="E149" i="11"/>
  <c r="H117" i="11"/>
  <c r="F182" i="11"/>
  <c r="F178" i="11"/>
  <c r="H187" i="11"/>
  <c r="G187" i="11"/>
  <c r="F185" i="11"/>
  <c r="G185" i="11" s="1"/>
  <c r="G183" i="11"/>
  <c r="H183" i="11" s="1"/>
  <c r="G182" i="11"/>
  <c r="H182" i="11" s="1"/>
  <c r="F179" i="11"/>
  <c r="G176" i="11"/>
  <c r="H176" i="11" s="1"/>
  <c r="G175" i="11"/>
  <c r="H174" i="11"/>
  <c r="G174" i="11"/>
  <c r="H173" i="11"/>
  <c r="G173" i="11"/>
  <c r="E173" i="11"/>
  <c r="H172" i="11"/>
  <c r="G172" i="11"/>
  <c r="E172" i="11"/>
  <c r="H171" i="11"/>
  <c r="G171" i="11"/>
  <c r="E171" i="11"/>
  <c r="H170" i="11"/>
  <c r="G170" i="11"/>
  <c r="E170" i="11"/>
  <c r="E175" i="11" s="1"/>
  <c r="H175" i="11" s="1"/>
  <c r="G168" i="11"/>
  <c r="G167" i="11"/>
  <c r="G166" i="11"/>
  <c r="G165" i="11"/>
  <c r="H165" i="11"/>
  <c r="E152" i="11"/>
  <c r="E161" i="11"/>
  <c r="E156" i="11"/>
  <c r="E155" i="11"/>
  <c r="E154" i="11"/>
  <c r="E153" i="11"/>
  <c r="G161" i="11"/>
  <c r="H161" i="11" s="1"/>
  <c r="G159" i="11"/>
  <c r="F159" i="11"/>
  <c r="G157" i="11"/>
  <c r="H157" i="11" s="1"/>
  <c r="F156" i="11"/>
  <c r="G156" i="11" s="1"/>
  <c r="H156" i="11" s="1"/>
  <c r="F152" i="11"/>
  <c r="F153" i="11" s="1"/>
  <c r="G150" i="11"/>
  <c r="H150" i="11" s="1"/>
  <c r="G149" i="11"/>
  <c r="G148" i="11"/>
  <c r="H148" i="11" s="1"/>
  <c r="G147" i="11"/>
  <c r="H147" i="11" s="1"/>
  <c r="G146" i="11"/>
  <c r="G145" i="11"/>
  <c r="G144" i="11"/>
  <c r="G142" i="11"/>
  <c r="G141" i="11"/>
  <c r="G140" i="11"/>
  <c r="G139" i="11"/>
  <c r="E127" i="11"/>
  <c r="E100" i="11"/>
  <c r="E73" i="11"/>
  <c r="E46" i="11"/>
  <c r="E20" i="11"/>
  <c r="E131" i="11"/>
  <c r="E129" i="11"/>
  <c r="E128" i="11"/>
  <c r="E126" i="11"/>
  <c r="E125" i="11"/>
  <c r="E121" i="11"/>
  <c r="E120" i="11"/>
  <c r="H120" i="11" s="1"/>
  <c r="E119" i="11"/>
  <c r="E118" i="11"/>
  <c r="H118" i="11" s="1"/>
  <c r="E122" i="11"/>
  <c r="H122" i="11" s="1"/>
  <c r="E112" i="11"/>
  <c r="E113" i="11" s="1"/>
  <c r="F129" i="11"/>
  <c r="G129" i="11" s="1"/>
  <c r="F125" i="11"/>
  <c r="H134" i="11"/>
  <c r="G134" i="11"/>
  <c r="F132" i="11"/>
  <c r="G132" i="11" s="1"/>
  <c r="G130" i="11"/>
  <c r="H130" i="11" s="1"/>
  <c r="F126" i="11"/>
  <c r="H123" i="11"/>
  <c r="G123" i="11"/>
  <c r="G122" i="11"/>
  <c r="H121" i="11"/>
  <c r="G121" i="11"/>
  <c r="G120" i="11"/>
  <c r="H119" i="11"/>
  <c r="G119" i="11"/>
  <c r="G118" i="11"/>
  <c r="G117" i="11"/>
  <c r="G115" i="11"/>
  <c r="G114" i="11"/>
  <c r="G113" i="11"/>
  <c r="G112" i="11"/>
  <c r="F102" i="11"/>
  <c r="G102" i="11" s="1"/>
  <c r="H102" i="11" s="1"/>
  <c r="F98" i="11"/>
  <c r="F99" i="11" s="1"/>
  <c r="F71" i="11"/>
  <c r="F48" i="11"/>
  <c r="G48" i="11" s="1"/>
  <c r="H48" i="11" s="1"/>
  <c r="F44" i="11"/>
  <c r="F45" i="11" s="1"/>
  <c r="E101" i="11"/>
  <c r="E99" i="11"/>
  <c r="E98" i="11"/>
  <c r="E93" i="11"/>
  <c r="E92" i="11"/>
  <c r="E91" i="11"/>
  <c r="H91" i="11" s="1"/>
  <c r="E90" i="11"/>
  <c r="E95" i="11" s="1"/>
  <c r="H95" i="11" s="1"/>
  <c r="E85" i="11"/>
  <c r="E86" i="11" s="1"/>
  <c r="H86" i="11" s="1"/>
  <c r="H107" i="11"/>
  <c r="G107" i="11"/>
  <c r="G105" i="11"/>
  <c r="F105" i="11"/>
  <c r="E104" i="11"/>
  <c r="G103" i="11"/>
  <c r="H103" i="11" s="1"/>
  <c r="E102" i="11"/>
  <c r="G96" i="11"/>
  <c r="H96" i="11" s="1"/>
  <c r="G95" i="11"/>
  <c r="H94" i="11"/>
  <c r="G94" i="11"/>
  <c r="H93" i="11"/>
  <c r="G93" i="11"/>
  <c r="H92" i="11"/>
  <c r="G92" i="11"/>
  <c r="G91" i="11"/>
  <c r="H90" i="11"/>
  <c r="G90" i="11"/>
  <c r="G88" i="11"/>
  <c r="G87" i="11"/>
  <c r="G86" i="11"/>
  <c r="G85" i="11"/>
  <c r="H85" i="11"/>
  <c r="E77" i="11"/>
  <c r="G80" i="11"/>
  <c r="H80" i="11" s="1"/>
  <c r="G78" i="11"/>
  <c r="F78" i="11"/>
  <c r="G76" i="11"/>
  <c r="H76" i="11" s="1"/>
  <c r="E75" i="11"/>
  <c r="E74" i="11"/>
  <c r="E72" i="11"/>
  <c r="F72" i="11"/>
  <c r="E71" i="11"/>
  <c r="G69" i="11"/>
  <c r="H69" i="11" s="1"/>
  <c r="G68" i="11"/>
  <c r="H68" i="11" s="1"/>
  <c r="G67" i="11"/>
  <c r="H67" i="11" s="1"/>
  <c r="G66" i="11"/>
  <c r="H66" i="11" s="1"/>
  <c r="E66" i="11"/>
  <c r="G65" i="11"/>
  <c r="H65" i="11" s="1"/>
  <c r="E65" i="11"/>
  <c r="G64" i="11"/>
  <c r="H64" i="11" s="1"/>
  <c r="E64" i="11"/>
  <c r="G63" i="11"/>
  <c r="H63" i="11" s="1"/>
  <c r="E63" i="11"/>
  <c r="E68" i="11" s="1"/>
  <c r="G61" i="11"/>
  <c r="G60" i="11"/>
  <c r="G59" i="11"/>
  <c r="H58" i="11"/>
  <c r="G58" i="11"/>
  <c r="E58" i="11"/>
  <c r="E22" i="11"/>
  <c r="E47" i="11"/>
  <c r="E50" i="11"/>
  <c r="E48" i="11"/>
  <c r="E45" i="11"/>
  <c r="E44" i="11"/>
  <c r="E39" i="11"/>
  <c r="E38" i="11"/>
  <c r="E37" i="11"/>
  <c r="E36" i="11"/>
  <c r="H36" i="11" s="1"/>
  <c r="E31" i="11"/>
  <c r="H53" i="11"/>
  <c r="G53" i="11"/>
  <c r="F51" i="11"/>
  <c r="G51" i="11" s="1"/>
  <c r="G49" i="11"/>
  <c r="H49" i="11" s="1"/>
  <c r="H42" i="11"/>
  <c r="G42" i="11"/>
  <c r="G41" i="11"/>
  <c r="H40" i="11"/>
  <c r="G40" i="11"/>
  <c r="H39" i="11"/>
  <c r="G39" i="11"/>
  <c r="H38" i="11"/>
  <c r="G38" i="11"/>
  <c r="H37" i="11"/>
  <c r="G37" i="11"/>
  <c r="G36" i="11"/>
  <c r="E41" i="11"/>
  <c r="H41" i="11" s="1"/>
  <c r="G34" i="11"/>
  <c r="G33" i="11"/>
  <c r="G32" i="11"/>
  <c r="G31" i="11"/>
  <c r="E21" i="11"/>
  <c r="E10" i="11"/>
  <c r="E15" i="11" s="1"/>
  <c r="E11" i="11"/>
  <c r="E24" i="11"/>
  <c r="E19" i="11"/>
  <c r="E18" i="11"/>
  <c r="E12" i="11"/>
  <c r="E5" i="11"/>
  <c r="F25" i="11"/>
  <c r="F22" i="11"/>
  <c r="G22" i="11" s="1"/>
  <c r="H22" i="11" s="1"/>
  <c r="F29" i="10"/>
  <c r="F28" i="10"/>
  <c r="F27" i="10"/>
  <c r="G22" i="10"/>
  <c r="F18" i="11" s="1"/>
  <c r="F19" i="11" s="1"/>
  <c r="G27" i="11"/>
  <c r="H27" i="11" s="1"/>
  <c r="G25" i="11"/>
  <c r="G23" i="11"/>
  <c r="H23" i="11" s="1"/>
  <c r="H16" i="11"/>
  <c r="G16" i="11"/>
  <c r="G15" i="11"/>
  <c r="G14" i="11"/>
  <c r="G13" i="11"/>
  <c r="H13" i="11" s="1"/>
  <c r="E13" i="11"/>
  <c r="G12" i="11"/>
  <c r="H12" i="11" s="1"/>
  <c r="G11" i="11"/>
  <c r="H11" i="11" s="1"/>
  <c r="G10" i="11"/>
  <c r="G8" i="11"/>
  <c r="G7" i="11"/>
  <c r="G6" i="11"/>
  <c r="G5" i="11"/>
  <c r="H5" i="11" s="1"/>
  <c r="E250" i="11" l="1"/>
  <c r="E251" i="11" s="1"/>
  <c r="H251" i="11" s="1"/>
  <c r="H250" i="11"/>
  <c r="H247" i="11" s="1"/>
  <c r="F264" i="11"/>
  <c r="G263" i="11"/>
  <c r="H263" i="11" s="1"/>
  <c r="E222" i="11"/>
  <c r="F236" i="11"/>
  <c r="G235" i="11"/>
  <c r="H235" i="11" s="1"/>
  <c r="H212" i="11"/>
  <c r="H192" i="11"/>
  <c r="F208" i="11"/>
  <c r="G207" i="11"/>
  <c r="H207" i="11" s="1"/>
  <c r="H213" i="11"/>
  <c r="E202" i="11"/>
  <c r="H202" i="11" s="1"/>
  <c r="G206" i="11"/>
  <c r="H206" i="11" s="1"/>
  <c r="E193" i="11"/>
  <c r="E194" i="11" s="1"/>
  <c r="E185" i="11"/>
  <c r="H185" i="11"/>
  <c r="H144" i="11"/>
  <c r="F180" i="11"/>
  <c r="G179" i="11"/>
  <c r="H179" i="11" s="1"/>
  <c r="H169" i="11"/>
  <c r="E166" i="11"/>
  <c r="H166" i="11" s="1"/>
  <c r="G178" i="11"/>
  <c r="H178" i="11" s="1"/>
  <c r="H186" i="11"/>
  <c r="E159" i="11"/>
  <c r="H159" i="11" s="1"/>
  <c r="H146" i="11"/>
  <c r="H145" i="11"/>
  <c r="H149" i="11"/>
  <c r="H160" i="11"/>
  <c r="F154" i="11"/>
  <c r="G153" i="11"/>
  <c r="H153" i="11" s="1"/>
  <c r="E140" i="11"/>
  <c r="H140" i="11" s="1"/>
  <c r="G152" i="11"/>
  <c r="H152" i="11" s="1"/>
  <c r="H129" i="11"/>
  <c r="E132" i="11"/>
  <c r="H132" i="11" s="1"/>
  <c r="H112" i="11"/>
  <c r="F127" i="11"/>
  <c r="G126" i="11"/>
  <c r="H126" i="11" s="1"/>
  <c r="H113" i="11"/>
  <c r="H116" i="11"/>
  <c r="E114" i="11"/>
  <c r="E115" i="11" s="1"/>
  <c r="H115" i="11" s="1"/>
  <c r="G125" i="11"/>
  <c r="H125" i="11" s="1"/>
  <c r="H133" i="11"/>
  <c r="F75" i="11"/>
  <c r="G75" i="11" s="1"/>
  <c r="H75" i="11" s="1"/>
  <c r="E105" i="11"/>
  <c r="H105" i="11" s="1"/>
  <c r="H89" i="11"/>
  <c r="F100" i="11"/>
  <c r="G99" i="11"/>
  <c r="H99" i="11" s="1"/>
  <c r="E87" i="11"/>
  <c r="G98" i="11"/>
  <c r="H98" i="11" s="1"/>
  <c r="H106" i="11"/>
  <c r="E78" i="11"/>
  <c r="H78" i="11"/>
  <c r="H79" i="11"/>
  <c r="H62" i="11"/>
  <c r="F73" i="11"/>
  <c r="G72" i="11"/>
  <c r="H72" i="11" s="1"/>
  <c r="E59" i="11"/>
  <c r="H59" i="11" s="1"/>
  <c r="G71" i="11"/>
  <c r="H71" i="11" s="1"/>
  <c r="E51" i="11"/>
  <c r="H51" i="11" s="1"/>
  <c r="H14" i="11"/>
  <c r="F46" i="11"/>
  <c r="G45" i="11"/>
  <c r="H45" i="11" s="1"/>
  <c r="H35" i="11"/>
  <c r="G44" i="11"/>
  <c r="H44" i="11" s="1"/>
  <c r="H52" i="11"/>
  <c r="E32" i="11"/>
  <c r="H32" i="11" s="1"/>
  <c r="H31" i="11"/>
  <c r="H10" i="11"/>
  <c r="H15" i="11"/>
  <c r="E25" i="11"/>
  <c r="H9" i="11"/>
  <c r="F20" i="11"/>
  <c r="G19" i="11"/>
  <c r="H19" i="11" s="1"/>
  <c r="H25" i="11"/>
  <c r="E6" i="11"/>
  <c r="H6" i="11" s="1"/>
  <c r="H26" i="11"/>
  <c r="G18" i="11"/>
  <c r="H18" i="11" s="1"/>
  <c r="F21" i="10"/>
  <c r="F30" i="10"/>
  <c r="F20" i="10"/>
  <c r="F19" i="10"/>
  <c r="F18" i="10"/>
  <c r="F26" i="10"/>
  <c r="F17" i="10"/>
  <c r="F47" i="10"/>
  <c r="F56" i="10" s="1"/>
  <c r="F55" i="10"/>
  <c r="F46" i="10"/>
  <c r="F54" i="10"/>
  <c r="F45" i="10"/>
  <c r="F53" i="10"/>
  <c r="F44" i="10"/>
  <c r="F52" i="10"/>
  <c r="F43" i="10"/>
  <c r="F51" i="10"/>
  <c r="F42" i="10"/>
  <c r="F34" i="10"/>
  <c r="F25" i="10"/>
  <c r="B11" i="1"/>
  <c r="B11" i="4" s="1"/>
  <c r="G10" i="8"/>
  <c r="I19" i="2"/>
  <c r="G76" i="10"/>
  <c r="G75" i="10"/>
  <c r="G74" i="10"/>
  <c r="G71" i="10"/>
  <c r="G70" i="10"/>
  <c r="G72" i="10" s="1"/>
  <c r="K29" i="2" s="1"/>
  <c r="G29" i="2" s="1"/>
  <c r="H29" i="2" s="1"/>
  <c r="I29" i="2" s="1"/>
  <c r="G66" i="10"/>
  <c r="G65" i="10"/>
  <c r="G67" i="10" s="1"/>
  <c r="G62" i="10"/>
  <c r="G61" i="10"/>
  <c r="G60" i="10"/>
  <c r="F12" i="8" l="1"/>
  <c r="G12" i="8" s="1"/>
  <c r="F267" i="11"/>
  <c r="G267" i="11" s="1"/>
  <c r="H267" i="11" s="1"/>
  <c r="G264" i="11"/>
  <c r="H264" i="11" s="1"/>
  <c r="F239" i="11"/>
  <c r="G239" i="11" s="1"/>
  <c r="H239" i="11" s="1"/>
  <c r="G236" i="11"/>
  <c r="H236" i="11" s="1"/>
  <c r="E223" i="11"/>
  <c r="H223" i="11" s="1"/>
  <c r="H222" i="11"/>
  <c r="E195" i="11"/>
  <c r="H195" i="11" s="1"/>
  <c r="H194" i="11"/>
  <c r="H193" i="11"/>
  <c r="F211" i="11"/>
  <c r="G211" i="11" s="1"/>
  <c r="H211" i="11" s="1"/>
  <c r="G208" i="11"/>
  <c r="H208" i="11" s="1"/>
  <c r="H196" i="11"/>
  <c r="F181" i="11"/>
  <c r="G180" i="11"/>
  <c r="H180" i="11" s="1"/>
  <c r="E167" i="11"/>
  <c r="H143" i="11"/>
  <c r="E141" i="11"/>
  <c r="F155" i="11"/>
  <c r="G154" i="11"/>
  <c r="H154" i="11" s="1"/>
  <c r="H114" i="11"/>
  <c r="H111" i="11" s="1"/>
  <c r="F128" i="11"/>
  <c r="G127" i="11"/>
  <c r="H127" i="11" s="1"/>
  <c r="F101" i="11"/>
  <c r="G100" i="11"/>
  <c r="H100" i="11" s="1"/>
  <c r="E88" i="11"/>
  <c r="H88" i="11" s="1"/>
  <c r="H87" i="11"/>
  <c r="F74" i="11"/>
  <c r="G73" i="11"/>
  <c r="H73" i="11" s="1"/>
  <c r="E60" i="11"/>
  <c r="F47" i="11"/>
  <c r="G46" i="11"/>
  <c r="H46" i="11" s="1"/>
  <c r="E33" i="11"/>
  <c r="F21" i="11"/>
  <c r="G20" i="11"/>
  <c r="H20" i="11" s="1"/>
  <c r="E7" i="11"/>
  <c r="I20" i="2"/>
  <c r="F23" i="2"/>
  <c r="I21" i="2"/>
  <c r="I26" i="2" l="1"/>
  <c r="I18" i="2"/>
  <c r="C11" i="4" s="1"/>
  <c r="I23" i="2"/>
  <c r="H260" i="11"/>
  <c r="H271" i="11" s="1"/>
  <c r="H232" i="11"/>
  <c r="H219" i="11"/>
  <c r="H191" i="11"/>
  <c r="H204" i="11"/>
  <c r="H167" i="11"/>
  <c r="E168" i="11"/>
  <c r="H168" i="11" s="1"/>
  <c r="F184" i="11"/>
  <c r="G184" i="11" s="1"/>
  <c r="H184" i="11" s="1"/>
  <c r="G181" i="11"/>
  <c r="H181" i="11" s="1"/>
  <c r="F158" i="11"/>
  <c r="G158" i="11" s="1"/>
  <c r="H158" i="11" s="1"/>
  <c r="G155" i="11"/>
  <c r="H155" i="11" s="1"/>
  <c r="E142" i="11"/>
  <c r="H142" i="11" s="1"/>
  <c r="H141" i="11"/>
  <c r="G128" i="11"/>
  <c r="H128" i="11" s="1"/>
  <c r="F131" i="11"/>
  <c r="G131" i="11" s="1"/>
  <c r="H131" i="11" s="1"/>
  <c r="F104" i="11"/>
  <c r="G104" i="11" s="1"/>
  <c r="H104" i="11" s="1"/>
  <c r="G101" i="11"/>
  <c r="H101" i="11" s="1"/>
  <c r="H84" i="11"/>
  <c r="E61" i="11"/>
  <c r="H61" i="11" s="1"/>
  <c r="H60" i="11"/>
  <c r="F77" i="11"/>
  <c r="G77" i="11" s="1"/>
  <c r="H77" i="11" s="1"/>
  <c r="G74" i="11"/>
  <c r="H74" i="11" s="1"/>
  <c r="H33" i="11"/>
  <c r="E34" i="11"/>
  <c r="H34" i="11" s="1"/>
  <c r="F50" i="11"/>
  <c r="G50" i="11" s="1"/>
  <c r="H50" i="11" s="1"/>
  <c r="G47" i="11"/>
  <c r="H47" i="11" s="1"/>
  <c r="F24" i="11"/>
  <c r="G24" i="11" s="1"/>
  <c r="H24" i="11" s="1"/>
  <c r="G21" i="11"/>
  <c r="H21" i="11" s="1"/>
  <c r="E8" i="11"/>
  <c r="H8" i="11" s="1"/>
  <c r="H7" i="11"/>
  <c r="F25" i="2"/>
  <c r="I24" i="2"/>
  <c r="H13" i="1" l="1"/>
  <c r="C13" i="4"/>
  <c r="H11" i="1"/>
  <c r="I25" i="2"/>
  <c r="I22" i="2" s="1"/>
  <c r="E13" i="8"/>
  <c r="H243" i="11"/>
  <c r="I223" i="11" s="1"/>
  <c r="I264" i="11"/>
  <c r="I268" i="11"/>
  <c r="I256" i="11"/>
  <c r="I253" i="11"/>
  <c r="I266" i="11"/>
  <c r="I270" i="11"/>
  <c r="I269" i="11" s="1"/>
  <c r="I265" i="11"/>
  <c r="I261" i="11"/>
  <c r="I257" i="11"/>
  <c r="I262" i="11"/>
  <c r="I254" i="11"/>
  <c r="I258" i="11"/>
  <c r="I263" i="11"/>
  <c r="I267" i="11"/>
  <c r="I255" i="11"/>
  <c r="I259" i="11"/>
  <c r="I251" i="11"/>
  <c r="I248" i="11"/>
  <c r="I249" i="11"/>
  <c r="I250" i="11"/>
  <c r="H215" i="11"/>
  <c r="H164" i="11"/>
  <c r="H177" i="11"/>
  <c r="H151" i="11"/>
  <c r="H138" i="11"/>
  <c r="H124" i="11"/>
  <c r="H135" i="11" s="1"/>
  <c r="I134" i="11" s="1"/>
  <c r="H97" i="11"/>
  <c r="H108" i="11" s="1"/>
  <c r="I107" i="11" s="1"/>
  <c r="H57" i="11"/>
  <c r="H70" i="11"/>
  <c r="H43" i="11"/>
  <c r="H30" i="11"/>
  <c r="H17" i="11"/>
  <c r="H4" i="11"/>
  <c r="H28" i="11" s="1"/>
  <c r="G13" i="4" l="1"/>
  <c r="F13" i="4"/>
  <c r="E13" i="4"/>
  <c r="D13" i="4"/>
  <c r="H13" i="4" s="1"/>
  <c r="H12" i="1"/>
  <c r="C12" i="4"/>
  <c r="E19" i="8"/>
  <c r="G13" i="8"/>
  <c r="G16" i="8" s="1"/>
  <c r="H15" i="8" s="1"/>
  <c r="F36" i="2"/>
  <c r="I222" i="11"/>
  <c r="I234" i="11"/>
  <c r="I237" i="11"/>
  <c r="I235" i="11"/>
  <c r="I242" i="11"/>
  <c r="I241" i="11" s="1"/>
  <c r="I230" i="11"/>
  <c r="I228" i="11"/>
  <c r="I221" i="11"/>
  <c r="I239" i="11"/>
  <c r="I240" i="11"/>
  <c r="I220" i="11"/>
  <c r="I226" i="11"/>
  <c r="I229" i="11"/>
  <c r="I227" i="11"/>
  <c r="I236" i="11"/>
  <c r="I231" i="11"/>
  <c r="I238" i="11"/>
  <c r="I233" i="11"/>
  <c r="I225" i="11"/>
  <c r="I247" i="11"/>
  <c r="I260" i="11"/>
  <c r="I252" i="11"/>
  <c r="H188" i="11"/>
  <c r="H162" i="11"/>
  <c r="I102" i="11"/>
  <c r="I98" i="11"/>
  <c r="I94" i="11"/>
  <c r="I86" i="11"/>
  <c r="I104" i="11"/>
  <c r="I96" i="11"/>
  <c r="I101" i="11"/>
  <c r="I93" i="11"/>
  <c r="I90" i="11"/>
  <c r="I99" i="11"/>
  <c r="I103" i="11"/>
  <c r="I91" i="11"/>
  <c r="I95" i="11"/>
  <c r="I87" i="11"/>
  <c r="I92" i="11"/>
  <c r="I88" i="11"/>
  <c r="I105" i="11"/>
  <c r="I100" i="11"/>
  <c r="I106" i="11"/>
  <c r="I133" i="11"/>
  <c r="I131" i="11"/>
  <c r="I128" i="11"/>
  <c r="I130" i="11"/>
  <c r="I118" i="11"/>
  <c r="I122" i="11"/>
  <c r="I114" i="11"/>
  <c r="I132" i="11"/>
  <c r="I120" i="11"/>
  <c r="I117" i="11"/>
  <c r="I112" i="11"/>
  <c r="I129" i="11"/>
  <c r="I121" i="11"/>
  <c r="I113" i="11"/>
  <c r="I119" i="11"/>
  <c r="I123" i="11"/>
  <c r="I115" i="11"/>
  <c r="I125" i="11"/>
  <c r="I126" i="11"/>
  <c r="I127" i="11"/>
  <c r="H54" i="11"/>
  <c r="I41" i="11" s="1"/>
  <c r="H81" i="11"/>
  <c r="I85" i="11"/>
  <c r="I59" i="11"/>
  <c r="I78" i="11"/>
  <c r="I27" i="11"/>
  <c r="I26" i="11" s="1"/>
  <c r="I19" i="11"/>
  <c r="I23" i="11"/>
  <c r="I20" i="11"/>
  <c r="I24" i="11"/>
  <c r="I21" i="11"/>
  <c r="I22" i="11"/>
  <c r="I18" i="11"/>
  <c r="I25" i="11"/>
  <c r="I13" i="11"/>
  <c r="I10" i="11"/>
  <c r="I14" i="11"/>
  <c r="I11" i="11"/>
  <c r="I15" i="11"/>
  <c r="I12" i="11"/>
  <c r="I16" i="11"/>
  <c r="I8" i="11"/>
  <c r="I5" i="11"/>
  <c r="I7" i="11"/>
  <c r="I6" i="11"/>
  <c r="H12" i="8" l="1"/>
  <c r="H9" i="8"/>
  <c r="I9" i="8" s="1"/>
  <c r="F12" i="4"/>
  <c r="G12" i="4"/>
  <c r="D12" i="4"/>
  <c r="E12" i="4"/>
  <c r="I68" i="11"/>
  <c r="I80" i="11"/>
  <c r="I79" i="11" s="1"/>
  <c r="I65" i="11"/>
  <c r="I39" i="11"/>
  <c r="I53" i="11"/>
  <c r="I52" i="11" s="1"/>
  <c r="I34" i="11"/>
  <c r="I38" i="11"/>
  <c r="I40" i="11"/>
  <c r="I232" i="11"/>
  <c r="I219" i="11"/>
  <c r="I224" i="11"/>
  <c r="I271" i="11"/>
  <c r="I213" i="11"/>
  <c r="I181" i="11"/>
  <c r="I185" i="11"/>
  <c r="I173" i="11"/>
  <c r="I170" i="11"/>
  <c r="I187" i="11"/>
  <c r="I186" i="11" s="1"/>
  <c r="I182" i="11"/>
  <c r="I178" i="11"/>
  <c r="I174" i="11"/>
  <c r="I179" i="11"/>
  <c r="I183" i="11"/>
  <c r="I171" i="11"/>
  <c r="I175" i="11"/>
  <c r="I180" i="11"/>
  <c r="I184" i="11"/>
  <c r="I172" i="11"/>
  <c r="I176" i="11"/>
  <c r="I165" i="11"/>
  <c r="I166" i="11"/>
  <c r="I168" i="11"/>
  <c r="I167" i="11"/>
  <c r="I155" i="11"/>
  <c r="I147" i="11"/>
  <c r="I153" i="11"/>
  <c r="I157" i="11"/>
  <c r="I145" i="11"/>
  <c r="I149" i="11"/>
  <c r="I154" i="11"/>
  <c r="I158" i="11"/>
  <c r="I146" i="11"/>
  <c r="I150" i="11"/>
  <c r="I159" i="11"/>
  <c r="I144" i="11"/>
  <c r="I161" i="11"/>
  <c r="I160" i="11" s="1"/>
  <c r="I156" i="11"/>
  <c r="I152" i="11"/>
  <c r="I148" i="11"/>
  <c r="I139" i="11"/>
  <c r="I140" i="11"/>
  <c r="I142" i="11"/>
  <c r="I141" i="11"/>
  <c r="I61" i="11"/>
  <c r="I75" i="11"/>
  <c r="I76" i="11"/>
  <c r="I69" i="11"/>
  <c r="I58" i="11"/>
  <c r="I74" i="11"/>
  <c r="I33" i="11"/>
  <c r="I37" i="11"/>
  <c r="I35" i="11" s="1"/>
  <c r="I44" i="11"/>
  <c r="I51" i="11"/>
  <c r="I50" i="11"/>
  <c r="I32" i="11"/>
  <c r="I49" i="11"/>
  <c r="I48" i="11"/>
  <c r="I47" i="11"/>
  <c r="I46" i="11"/>
  <c r="I31" i="11"/>
  <c r="I45" i="11"/>
  <c r="I36" i="11"/>
  <c r="I42" i="11"/>
  <c r="I124" i="11"/>
  <c r="I116" i="11"/>
  <c r="I111" i="11"/>
  <c r="I64" i="11"/>
  <c r="I67" i="11"/>
  <c r="I63" i="11"/>
  <c r="I60" i="11"/>
  <c r="I72" i="11"/>
  <c r="I73" i="11"/>
  <c r="I71" i="11"/>
  <c r="I66" i="11"/>
  <c r="I77" i="11"/>
  <c r="I84" i="11"/>
  <c r="I17" i="11"/>
  <c r="I9" i="11"/>
  <c r="I4" i="11"/>
  <c r="I16" i="2"/>
  <c r="H12" i="4" l="1"/>
  <c r="I43" i="11"/>
  <c r="I30" i="11"/>
  <c r="I54" i="11" s="1"/>
  <c r="I243" i="11"/>
  <c r="I177" i="11"/>
  <c r="I196" i="11"/>
  <c r="I191" i="11"/>
  <c r="I204" i="11"/>
  <c r="I164" i="11"/>
  <c r="I169" i="11"/>
  <c r="I143" i="11"/>
  <c r="I151" i="11"/>
  <c r="I138" i="11"/>
  <c r="I62" i="11"/>
  <c r="I57" i="11"/>
  <c r="I135" i="11"/>
  <c r="I70" i="11"/>
  <c r="I97" i="11"/>
  <c r="I89" i="11"/>
  <c r="I28" i="11"/>
  <c r="E11" i="4" l="1"/>
  <c r="D11" i="4"/>
  <c r="F11" i="4"/>
  <c r="G11" i="4"/>
  <c r="I81" i="11"/>
  <c r="I215" i="11"/>
  <c r="I188" i="11"/>
  <c r="I162" i="11"/>
  <c r="I108" i="11"/>
  <c r="H11" i="4" l="1"/>
  <c r="A3" i="6" l="1"/>
  <c r="A2" i="6"/>
  <c r="A1" i="6"/>
  <c r="C41" i="5"/>
  <c r="A41" i="5"/>
  <c r="C40" i="5"/>
  <c r="A40" i="5"/>
  <c r="C39" i="5"/>
  <c r="A39" i="5"/>
  <c r="C38" i="5"/>
  <c r="C37" i="5"/>
  <c r="C36" i="5"/>
  <c r="C35" i="5"/>
  <c r="C34" i="5"/>
  <c r="C33" i="5"/>
  <c r="J32" i="5"/>
  <c r="C32" i="5"/>
  <c r="C31" i="5"/>
  <c r="A31" i="5"/>
  <c r="C30" i="5"/>
  <c r="A30" i="5"/>
  <c r="N29" i="5"/>
  <c r="C29" i="5"/>
  <c r="A29" i="5"/>
  <c r="C28" i="5"/>
  <c r="A28" i="5"/>
  <c r="C27" i="5"/>
  <c r="A27" i="5"/>
  <c r="C26" i="5"/>
  <c r="C25" i="5"/>
  <c r="A25" i="5"/>
  <c r="S24" i="5"/>
  <c r="C24" i="5"/>
  <c r="A24" i="5"/>
  <c r="C23" i="5"/>
  <c r="A23" i="5"/>
  <c r="C22" i="5"/>
  <c r="A22" i="5"/>
  <c r="C21" i="5"/>
  <c r="A21" i="5"/>
  <c r="C20" i="5"/>
  <c r="R19" i="5"/>
  <c r="J19" i="5"/>
  <c r="C19" i="5"/>
  <c r="A19" i="5"/>
  <c r="R18" i="5"/>
  <c r="J18" i="5"/>
  <c r="C18" i="5"/>
  <c r="A18" i="5"/>
  <c r="R17" i="5"/>
  <c r="J17" i="5"/>
  <c r="C17" i="5"/>
  <c r="A17" i="5"/>
  <c r="R16" i="5"/>
  <c r="J16" i="5"/>
  <c r="C16" i="5"/>
  <c r="A16" i="5"/>
  <c r="R15" i="5"/>
  <c r="J15" i="5"/>
  <c r="C15" i="5"/>
  <c r="A15" i="5"/>
  <c r="C14" i="5"/>
  <c r="C13" i="5"/>
  <c r="A13" i="5"/>
  <c r="C12" i="5"/>
  <c r="A12" i="5"/>
  <c r="C11" i="5"/>
  <c r="A11" i="5"/>
  <c r="C10" i="5"/>
  <c r="A10" i="5"/>
  <c r="C9" i="5"/>
  <c r="A9" i="5"/>
  <c r="C8" i="5"/>
  <c r="C7" i="5"/>
  <c r="C6" i="5"/>
  <c r="C5" i="5"/>
  <c r="C4" i="5"/>
  <c r="J3" i="5"/>
  <c r="J2" i="5"/>
  <c r="J1" i="5"/>
  <c r="A3" i="7"/>
  <c r="A2" i="7"/>
  <c r="A1" i="7"/>
  <c r="C6" i="4"/>
  <c r="A3" i="3"/>
  <c r="A3" i="8" s="1"/>
  <c r="A2" i="3"/>
  <c r="A2" i="4" s="1"/>
  <c r="A1" i="3"/>
  <c r="A1" i="4" s="1"/>
  <c r="A3" i="9"/>
  <c r="A2" i="9"/>
  <c r="A1" i="9"/>
  <c r="I15" i="2"/>
  <c r="I14" i="2"/>
  <c r="I11" i="2"/>
  <c r="I10" i="2"/>
  <c r="G56" i="10"/>
  <c r="G55" i="10"/>
  <c r="G54" i="10"/>
  <c r="G53" i="10"/>
  <c r="G52" i="10"/>
  <c r="G51" i="10"/>
  <c r="G47" i="10"/>
  <c r="G46" i="10"/>
  <c r="G45" i="10"/>
  <c r="G44" i="10"/>
  <c r="G43" i="10"/>
  <c r="G42" i="10"/>
  <c r="G39" i="10"/>
  <c r="G38" i="10"/>
  <c r="G37" i="10"/>
  <c r="G36" i="10"/>
  <c r="G35" i="10"/>
  <c r="G34" i="10"/>
  <c r="G30" i="10"/>
  <c r="G29" i="10"/>
  <c r="G28" i="10"/>
  <c r="G27" i="10"/>
  <c r="G31" i="10" s="1"/>
  <c r="G26" i="10"/>
  <c r="G25" i="10"/>
  <c r="G21" i="10"/>
  <c r="G20" i="10"/>
  <c r="G19" i="10"/>
  <c r="G18" i="10"/>
  <c r="G17" i="10"/>
  <c r="G16" i="10"/>
  <c r="G12" i="10"/>
  <c r="G11" i="10"/>
  <c r="G10" i="10"/>
  <c r="G9" i="10"/>
  <c r="G8" i="10"/>
  <c r="G7" i="10"/>
  <c r="G6" i="10"/>
  <c r="G5" i="10"/>
  <c r="G4" i="10"/>
  <c r="C3" i="10"/>
  <c r="C20" i="1"/>
  <c r="A19" i="1"/>
  <c r="B6" i="4"/>
  <c r="A3" i="1"/>
  <c r="A2" i="1"/>
  <c r="A1" i="1"/>
  <c r="A24" i="8" a="1"/>
  <c r="G57" i="10" l="1"/>
  <c r="G48" i="10"/>
  <c r="G40" i="10"/>
  <c r="A2" i="8"/>
  <c r="I13" i="2"/>
  <c r="C10" i="4" s="1"/>
  <c r="G13" i="10"/>
  <c r="A1" i="8"/>
  <c r="A3" i="4"/>
  <c r="C6" i="8"/>
  <c r="A24" i="8"/>
  <c r="K12" i="2" l="1"/>
  <c r="G12" i="2" s="1"/>
  <c r="H10" i="1"/>
  <c r="H12" i="2" l="1"/>
  <c r="I12" i="2" s="1"/>
  <c r="I9" i="2" s="1"/>
  <c r="G10" i="4"/>
  <c r="G14" i="4" s="1"/>
  <c r="D10" i="4"/>
  <c r="E10" i="4"/>
  <c r="E14" i="4" s="1"/>
  <c r="F10" i="4"/>
  <c r="F14" i="4" s="1"/>
  <c r="H30" i="2" l="1"/>
  <c r="C9" i="4"/>
  <c r="C14" i="4" s="1"/>
  <c r="H9" i="1"/>
  <c r="G17" i="1" s="1"/>
  <c r="I13" i="1" s="1"/>
  <c r="D9" i="4"/>
  <c r="D14" i="4" s="1"/>
  <c r="H10" i="4"/>
  <c r="H13" i="8"/>
  <c r="H11" i="8"/>
  <c r="H10" i="8"/>
  <c r="I10" i="8" s="1"/>
  <c r="H14" i="8"/>
  <c r="I11" i="8" l="1"/>
  <c r="I12" i="8" s="1"/>
  <c r="I13" i="8" s="1"/>
  <c r="I14" i="8" s="1"/>
  <c r="I15" i="8" s="1"/>
  <c r="J28" i="2"/>
  <c r="J29" i="2"/>
  <c r="I12" i="1"/>
  <c r="J27" i="2"/>
  <c r="H9" i="4"/>
  <c r="G19" i="8"/>
  <c r="H16" i="8"/>
  <c r="J26" i="2" l="1"/>
  <c r="J12" i="2"/>
  <c r="G15" i="4"/>
  <c r="F15" i="4"/>
  <c r="E15" i="4"/>
  <c r="I11" i="1"/>
  <c r="I10" i="1"/>
  <c r="J19" i="2"/>
  <c r="J23" i="2"/>
  <c r="J21" i="2"/>
  <c r="J20" i="2"/>
  <c r="J25" i="2"/>
  <c r="J24" i="2"/>
  <c r="J18" i="2"/>
  <c r="J11" i="2"/>
  <c r="J14" i="2"/>
  <c r="J16" i="2"/>
  <c r="J15" i="2"/>
  <c r="J10" i="2"/>
  <c r="I9" i="1"/>
  <c r="I14" i="1" l="1"/>
  <c r="D17" i="4"/>
  <c r="E17" i="4" s="1"/>
  <c r="F17" i="4" s="1"/>
  <c r="G17" i="4" s="1"/>
  <c r="H14" i="4"/>
  <c r="D15" i="4"/>
  <c r="D16" i="4" s="1"/>
  <c r="E16" i="4" s="1"/>
  <c r="F16" i="4" s="1"/>
  <c r="G16" i="4" s="1"/>
  <c r="J13" i="2"/>
  <c r="J9" i="2"/>
  <c r="J22" i="2"/>
</calcChain>
</file>

<file path=xl/sharedStrings.xml><?xml version="1.0" encoding="utf-8"?>
<sst xmlns="http://schemas.openxmlformats.org/spreadsheetml/2006/main" count="5254" uniqueCount="1402">
  <si>
    <t>Obra</t>
  </si>
  <si>
    <t>Bancos</t>
  </si>
  <si>
    <t>B.D.I.</t>
  </si>
  <si>
    <t>Encargos Sociais</t>
  </si>
  <si>
    <t xml:space="preserve">Reforma de Ponte de Madeira Sobre Igarapé Tracuá </t>
  </si>
  <si>
    <t xml:space="preserve">SINAPI - 08/2021 - Maranhão
SICRO3 - 04/2021 - Maranhão
ORSE - 08/2021 - Sergipe
SEINFRA - 027 - Ceará
</t>
  </si>
  <si>
    <t xml:space="preserve"> 24,23%</t>
  </si>
  <si>
    <t>Não Desonerado: 
Horista:  115,66%
Mensalista:  73,48%</t>
  </si>
  <si>
    <t>Planilha Orçamentária Resumida</t>
  </si>
  <si>
    <t>Item</t>
  </si>
  <si>
    <t>Descrição</t>
  </si>
  <si>
    <t>Total</t>
  </si>
  <si>
    <t>Peso (%)</t>
  </si>
  <si>
    <t xml:space="preserve"> 1 </t>
  </si>
  <si>
    <t>Serviços Preliminares</t>
  </si>
  <si>
    <t xml:space="preserve"> 2 </t>
  </si>
  <si>
    <t>Administração da Obra</t>
  </si>
  <si>
    <t xml:space="preserve"> 3 </t>
  </si>
  <si>
    <t xml:space="preserve"> 4 </t>
  </si>
  <si>
    <t>Serviços Complementares</t>
  </si>
  <si>
    <t>Total sem BDI</t>
  </si>
  <si>
    <t>Total do BDI</t>
  </si>
  <si>
    <t>Total Geral</t>
  </si>
  <si>
    <t>Orçamento Sintético</t>
  </si>
  <si>
    <t>Código</t>
  </si>
  <si>
    <t>Banco</t>
  </si>
  <si>
    <t>Und</t>
  </si>
  <si>
    <t>Quant.</t>
  </si>
  <si>
    <t>Valor Unit</t>
  </si>
  <si>
    <t>Valor Unit com BDI</t>
  </si>
  <si>
    <t xml:space="preserve"> 1.1 </t>
  </si>
  <si>
    <t xml:space="preserve"> 51 </t>
  </si>
  <si>
    <t>ORSE</t>
  </si>
  <si>
    <t>Placa de obra em chapa aço galvanizado, instalada</t>
  </si>
  <si>
    <t>m²</t>
  </si>
  <si>
    <t xml:space="preserve"> 1.2 </t>
  </si>
  <si>
    <t xml:space="preserve"> 01 </t>
  </si>
  <si>
    <t>Próprio</t>
  </si>
  <si>
    <t>MOBILIZAÇÃO E DESMOBILIZAÇÃO DE EQUIPAMENTOS</t>
  </si>
  <si>
    <t>UN</t>
  </si>
  <si>
    <t xml:space="preserve"> 1.3 </t>
  </si>
  <si>
    <t xml:space="preserve"> 5156 </t>
  </si>
  <si>
    <t>Sinalização noturna com tela tapume pvc, balde plástico fiação e lâmpada, reutilização 7 vezes</t>
  </si>
  <si>
    <t>m</t>
  </si>
  <si>
    <t xml:space="preserve"> 1.4 </t>
  </si>
  <si>
    <t>SICRO3</t>
  </si>
  <si>
    <t>un</t>
  </si>
  <si>
    <t xml:space="preserve"> 2.1 </t>
  </si>
  <si>
    <t xml:space="preserve"> 3.1 </t>
  </si>
  <si>
    <t xml:space="preserve"> 4.1 </t>
  </si>
  <si>
    <t xml:space="preserve"> 4.2 </t>
  </si>
  <si>
    <t>IMPORTA O PRESENTE ORÇAMENTO NO VALOR DE</t>
  </si>
  <si>
    <t>Planilha Orçamentária Analítica</t>
  </si>
  <si>
    <t>Tipo</t>
  </si>
  <si>
    <t>Composição</t>
  </si>
  <si>
    <t>Mobilização / Instalações Provisórias / Desmobilização</t>
  </si>
  <si>
    <t>Composição Auxiliar</t>
  </si>
  <si>
    <t xml:space="preserve"> 10549 </t>
  </si>
  <si>
    <t>Encargos Complementares - Servente</t>
  </si>
  <si>
    <t>Provisórios</t>
  </si>
  <si>
    <t>h</t>
  </si>
  <si>
    <t xml:space="preserve"> 10551 </t>
  </si>
  <si>
    <t>Encargos Complementares - Carpinteiro</t>
  </si>
  <si>
    <t>Insumo</t>
  </si>
  <si>
    <t xml:space="preserve"> 1569 </t>
  </si>
  <si>
    <t>Madeira mista serrada (barrote) 6 x 6cm - 0,0036 m3/m (angelim, louro)</t>
  </si>
  <si>
    <t>Material</t>
  </si>
  <si>
    <t xml:space="preserve"> 1776 </t>
  </si>
  <si>
    <t>Placa de obra em chapa galvanizada 26</t>
  </si>
  <si>
    <t xml:space="preserve"> 6995 </t>
  </si>
  <si>
    <t>Madeira mista serrada (sarrafo) 2,2 x 5,5cm - 0,00121 m³/m</t>
  </si>
  <si>
    <t xml:space="preserve"> 00001213 </t>
  </si>
  <si>
    <t>SINAPI</t>
  </si>
  <si>
    <t>CARPINTEIRO DE FORMAS</t>
  </si>
  <si>
    <t>Mão de Obra</t>
  </si>
  <si>
    <t>H</t>
  </si>
  <si>
    <t xml:space="preserve"> 00005075 </t>
  </si>
  <si>
    <t>PREGO DE ACO POLIDO COM CABECA 18 X 30 (2 3/4 X 10)</t>
  </si>
  <si>
    <t>KG</t>
  </si>
  <si>
    <t xml:space="preserve"> 00006111 </t>
  </si>
  <si>
    <t>SERVENTE DE OBRAS</t>
  </si>
  <si>
    <t>MO sem LS =&gt;</t>
  </si>
  <si>
    <t>LS =&gt;</t>
  </si>
  <si>
    <t>MO com LS =&gt;</t>
  </si>
  <si>
    <t>Valor do BDI =&gt;</t>
  </si>
  <si>
    <t>Valor com BDI =&gt;</t>
  </si>
  <si>
    <t>Quant. =&gt;</t>
  </si>
  <si>
    <t>Preço Total =&gt;</t>
  </si>
  <si>
    <t>SERP - SERVIÇOS PRELIMINARES</t>
  </si>
  <si>
    <t xml:space="preserve"> 91395 </t>
  </si>
  <si>
    <t>CAMINHÃO TOCO, PBT 14.300 KG, CARGA ÚTIL MÁX. 9.710 KG, DIST. ENTRE EIXOS 3,56 M, POTÊNCIA 185 CV, INCLUSIVE CARROCERIA FIXA ABERTA DE MADEIRA P/ TRANSPORTE GERAL DE CARGA SECA, DIMEN. APROX. 2,50 X 6,50 X 0,50 M - CHI DIURNO. AF_06/2014</t>
  </si>
  <si>
    <t>CHOR - CUSTOS HORÁRIOS DE MÁQUINAS E EQUIPAMENTOS</t>
  </si>
  <si>
    <t>CHI</t>
  </si>
  <si>
    <t xml:space="preserve"> 91387 </t>
  </si>
  <si>
    <t>CAMINHÃO BASCULANTE 10 M3, TRUCADO CABINE SIMPLES, PESO BRUTO TOTAL 23.000 KG, CARGA ÚTIL MÁXIMA 15.935 KG, DISTÂNCIA ENTRE EIXOS 4,80 M, POTÊNCIA 230 CV INCLUSIVE CAÇAMBA METÁLICA - CHI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</si>
  <si>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</si>
  <si>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</si>
  <si>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5942 </t>
  </si>
  <si>
    <t>PÁ CARREGADEIRA SOBRE RODAS, POTÊNCIA LÍQUIDA 128 HP, CAPACIDADE DA CAÇAMBA 1,7 A 2,8 M3, PESO OPERACIONAL 11632 KG - CHI DIURNO. AF_06/2014</t>
  </si>
  <si>
    <t xml:space="preserve"> 5845 </t>
  </si>
  <si>
    <t>TRATOR DE PNEUS, POTÊNCIA 122 CV, TRAÇÃO 4X4, PESO COM LASTRO DE 4.510 KG - CHI DIURNO. AF_06/2014</t>
  </si>
  <si>
    <t xml:space="preserve"> 5934 </t>
  </si>
  <si>
    <t>MOTONIVELADORA POTÊNCIA BÁSICA LÍQUIDA (PRIMEIRA MARCHA) 125 HP, PESO BRUTO 13032 KG, LARGURA DA LÂMINA DE 3,7 M - CHI DIURNO. AF_06/2014</t>
  </si>
  <si>
    <t xml:space="preserve"> 89883 </t>
  </si>
  <si>
    <t>CAMINHÃO BASCULANTE 18 M3, COM CAVALO MECÂNICO DE CAPACIDADE MÁXIMA DE TRAÇÃO COMBINADO DE 45000 KG, POTÊNCIA 330 CV, INCLUSIVE SEMIREBOQUE COM CAÇAMBA METÁLICA - CHP DIURNO. AF_12/2014</t>
  </si>
  <si>
    <t>CHP</t>
  </si>
  <si>
    <t>Serviços de Proteção e Segurança</t>
  </si>
  <si>
    <t xml:space="preserve"> 5158 </t>
  </si>
  <si>
    <t>Sinalização Diurna com Tela tapume em pvc - 10 usos</t>
  </si>
  <si>
    <t xml:space="preserve"> 10552 </t>
  </si>
  <si>
    <t>Encargos Complementares - Eletricista</t>
  </si>
  <si>
    <t xml:space="preserve"> 1925 </t>
  </si>
  <si>
    <t>Bocal baquelite para lâmpada com rabicho</t>
  </si>
  <si>
    <t xml:space="preserve"> 4675 </t>
  </si>
  <si>
    <t>Lâmpada fluorescente eletronica PL  15W / 127v (compacta integrada)</t>
  </si>
  <si>
    <t xml:space="preserve"> 00004815 </t>
  </si>
  <si>
    <t>BALDE VERMELHO PARA SINALIZACAO DE VIAS</t>
  </si>
  <si>
    <t xml:space="preserve"> 00002436 </t>
  </si>
  <si>
    <t>ELETRICISTA</t>
  </si>
  <si>
    <t xml:space="preserve"> 00000939 </t>
  </si>
  <si>
    <t>FIO DE COBRE, SOLIDO, CLASSE 1, ISOLACAO EM PVC/A, ANTICHAMA BWF-B, 450/750V, SECAO NOMINAL 2,5 MM2</t>
  </si>
  <si>
    <t>M</t>
  </si>
  <si>
    <t/>
  </si>
  <si>
    <t>A</t>
  </si>
  <si>
    <t>Quantidade</t>
  </si>
  <si>
    <t>Operativa</t>
  </si>
  <si>
    <t>Improdutiva</t>
  </si>
  <si>
    <t>Grupo gerador - 13/14 kVA</t>
  </si>
  <si>
    <t>Serra circular com bancada - D = 30 cm - 4 kW</t>
  </si>
  <si>
    <t>B</t>
  </si>
  <si>
    <t>Ajudante</t>
  </si>
  <si>
    <t>Carpinteiro</t>
  </si>
  <si>
    <t>Pintor</t>
  </si>
  <si>
    <t>Servente</t>
  </si>
  <si>
    <t>C</t>
  </si>
  <si>
    <t>Caibro de pinho - L = 7,5 cm e E = 7,5 cm</t>
  </si>
  <si>
    <t>Película retrorrefletiva tipo III + SI</t>
  </si>
  <si>
    <t>Prego de ferro</t>
  </si>
  <si>
    <t>kg</t>
  </si>
  <si>
    <t>Sarrafo em madeira de terceira - E = 2,5 cm e L = 5 cm</t>
  </si>
  <si>
    <t>Solvente para tinta à base de resina acrílica</t>
  </si>
  <si>
    <t>l</t>
  </si>
  <si>
    <t>Tábua - E = 2,5 cm e L = 30 cm</t>
  </si>
  <si>
    <t>Tinta esmalte sintético acetinado</t>
  </si>
  <si>
    <t xml:space="preserve"> 90778 </t>
  </si>
  <si>
    <t>ENGENHEIRO CIVIL DE OBRA PLENO COM ENCARGOS COMPLEMENTARES</t>
  </si>
  <si>
    <t>SEDI - SERVIÇOS DIVERSOS</t>
  </si>
  <si>
    <t>FUES - FUNDAÇÕES E ESTRUTURAS</t>
  </si>
  <si>
    <t xml:space="preserve"> 90776 </t>
  </si>
  <si>
    <t>ENCARREGADO GERAL COM ENCARGOS COMPLEMENTARES</t>
  </si>
  <si>
    <t xml:space="preserve"> 88262 </t>
  </si>
  <si>
    <t>CARPINTEIRO DE FORMAS COM ENCARGOS COMPLEMENTARES</t>
  </si>
  <si>
    <t xml:space="preserve"> 88239 </t>
  </si>
  <si>
    <t>AJUDANTE DE CARPINTEIRO COM ENCARGOS COMPLEMENTARES</t>
  </si>
  <si>
    <t>m³</t>
  </si>
  <si>
    <t>PINT - PINTURAS</t>
  </si>
  <si>
    <t xml:space="preserve"> 88316 </t>
  </si>
  <si>
    <t>SERVENTE COM ENCARGOS COMPLEMENTARES</t>
  </si>
  <si>
    <t xml:space="preserve"> 134 </t>
  </si>
  <si>
    <t>Escoramento em Edificações</t>
  </si>
  <si>
    <t xml:space="preserve"> 00000428 </t>
  </si>
  <si>
    <t>PARAFUSO M16 EM ACO GALVANIZADO, COMPRIMENTO = 500 MM, DIAMETRO = 16 MM, ROSCA MAQUINA, COM CABECA SEXTAVADA E PORCA</t>
  </si>
  <si>
    <t xml:space="preserve"> 00013955 </t>
  </si>
  <si>
    <t>MOTOSSERRA PORTATIL COM MOTOR A GASOLINA DE *60* CC</t>
  </si>
  <si>
    <t>Equipamento</t>
  </si>
  <si>
    <t xml:space="preserve"> 1561 </t>
  </si>
  <si>
    <t>Madeira massaranduba serrada</t>
  </si>
  <si>
    <t>Caminhão carroceria com capacidade de 5 t - 115 kW</t>
  </si>
  <si>
    <t>Montador</t>
  </si>
  <si>
    <t>D</t>
  </si>
  <si>
    <t xml:space="preserve"> 1997 </t>
  </si>
  <si>
    <t>Sabão em pó</t>
  </si>
  <si>
    <t xml:space="preserve"> 2414 </t>
  </si>
  <si>
    <t>Vassoura piaçava</t>
  </si>
  <si>
    <t>Cronograma Físico e Financeiro</t>
  </si>
  <si>
    <t>Total Por Etapa</t>
  </si>
  <si>
    <t>30 DIAS</t>
  </si>
  <si>
    <t>Construção de Praças Urbanas, Rodovias, Ferrovias e recapeamento e pavimentação de vias urbanas</t>
  </si>
  <si>
    <t>R</t>
  </si>
  <si>
    <t>Conforme legislação tributária municipal, definir estimativa de percentual da base de cálculo para o ISS:</t>
  </si>
  <si>
    <t>DF</t>
  </si>
  <si>
    <t>↓</t>
  </si>
  <si>
    <t>Sobre a base de cálculo, definir a respectiva alíquota do ISS (entre 2% e 5%):</t>
  </si>
  <si>
    <t>L</t>
  </si>
  <si>
    <t>F</t>
  </si>
  <si>
    <t>BDI PAD</t>
  </si>
  <si>
    <t>Construção de Redes de Abastecimento de Água, Coleta de Esgoto</t>
  </si>
  <si>
    <t>AC</t>
  </si>
  <si>
    <t xml:space="preserve">BDI - BENEFÍCIOS E DESPESAS INDIRETAS </t>
  </si>
  <si>
    <t>SG</t>
  </si>
  <si>
    <t>TIPO DE OBRA</t>
  </si>
  <si>
    <t xml:space="preserve"> Construção de Praças Urbanas, Rodovias, Ferrovias e recapeamento e pavimentação de vias urbanas   </t>
  </si>
  <si>
    <t>Itens</t>
  </si>
  <si>
    <t>Siglas</t>
  </si>
  <si>
    <t>% Adotado</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</si>
  <si>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</si>
  <si>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</si>
  <si>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</si>
  <si>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</si>
  <si>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</si>
  <si>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</si>
  <si>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</si>
  <si>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</si>
  <si>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</si>
  <si>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</si>
  <si>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NÃO DESONERADO</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</si>
  <si>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</si>
  <si>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</si>
  <si>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</si>
  <si>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</si>
  <si>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</si>
  <si>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</si>
  <si>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`Declaro para os devidos fins que o regime de Contribuição Previdenciária sobre a Receita Bruta adotado para elaboração do orçamento foi SEM Desoneração, e que esta é a alternativa mais adequada para a Administração Pública.")</t>
  </si>
  <si>
    <t>Observações:</t>
  </si>
  <si>
    <t>Estudos e Projetos, Planos e Gerenciamento e outros correlatos</t>
  </si>
  <si>
    <t>K1</t>
  </si>
  <si>
    <t>K3</t>
  </si>
  <si>
    <t>Responsável Técnico</t>
  </si>
  <si>
    <t>Nome:</t>
  </si>
  <si>
    <t>CREA/CAU:</t>
  </si>
  <si>
    <t>ART/RRT:</t>
  </si>
  <si>
    <t>Santa Luzia do Paruá-MA</t>
  </si>
  <si>
    <t>ENCARGOS  SOCIAIS  SOBRE  A  MÃO   DE  OBRA</t>
  </si>
  <si>
    <t>CÓDIGO</t>
  </si>
  <si>
    <t>DESCRIÇÃO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</si>
  <si>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</si>
  <si>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</si>
  <si>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</si>
  <si>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</si>
  <si>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</si>
  <si>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</si>
  <si>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</si>
  <si>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</si>
  <si>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</si>
  <si>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</si>
  <si>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</si>
  <si>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</si>
  <si>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</si>
  <si>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</si>
  <si>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</si>
  <si>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</si>
  <si>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</si>
  <si>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</si>
  <si>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</si>
  <si>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</si>
  <si>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</si>
  <si>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GRUPO B</t>
  </si>
  <si>
    <t>B1</t>
  </si>
  <si>
    <t>Repouso Semanal Remunerado</t>
  </si>
  <si>
    <t>Não incide</t>
  </si>
  <si>
    <t>B2</t>
  </si>
  <si>
    <t>Feriados</t>
  </si>
  <si>
    <t>B3</t>
  </si>
  <si>
    <t>Auxílio -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</si>
  <si>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</si>
  <si>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</si>
  <si>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</si>
  <si>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</si>
  <si>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</si>
  <si>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</si>
  <si>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</si>
  <si>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</si>
  <si>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</si>
  <si>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</si>
  <si>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</si>
  <si>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</si>
  <si>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</si>
  <si>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</si>
  <si>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GRUPO C</t>
  </si>
  <si>
    <t>C1</t>
  </si>
  <si>
    <t>Aviso Prévio Indenizado</t>
  </si>
  <si>
    <t>C2</t>
  </si>
  <si>
    <t>Aviso Prévio Trabalhado</t>
  </si>
  <si>
    <t>C3</t>
  </si>
  <si>
    <t>Férias Indenizadas</t>
  </si>
  <si>
    <t>C4</t>
  </si>
  <si>
    <t>Depósito Rescisão Sem Justa Causa</t>
  </si>
  <si>
    <t>C5</t>
  </si>
  <si>
    <t>Indenização Adicional</t>
  </si>
  <si>
    <t>D1</t>
  </si>
  <si>
    <t>Reincidência de Grupo A sobre Grupo B</t>
  </si>
  <si>
    <t>D2</t>
  </si>
  <si>
    <t>Reincidência de Grupo A sobre Aviso Prévio Trabalhado e Reincidência do FGTS sobre Aviso Prévio Indenizado</t>
  </si>
  <si>
    <t>TOTAL(A+B+C+D)</t>
  </si>
  <si>
    <t>Curva ABC de Insumos</t>
  </si>
  <si>
    <t>Valor  Unitário</t>
  </si>
  <si>
    <t>Peso</t>
  </si>
  <si>
    <t>Valor Acumulado</t>
  </si>
  <si>
    <t>Peso Acumulado</t>
  </si>
  <si>
    <t>Geral</t>
  </si>
  <si>
    <t xml:space="preserve"> 3130 </t>
  </si>
  <si>
    <t xml:space="preserve"> 3,0000000</t>
  </si>
  <si>
    <t xml:space="preserve"> 11.323,44</t>
  </si>
  <si>
    <t xml:space="preserve"> 33.970,32</t>
  </si>
  <si>
    <t xml:space="preserve"> 34,79%</t>
  </si>
  <si>
    <t xml:space="preserve"> 69,58%</t>
  </si>
  <si>
    <t xml:space="preserve"> M3236 </t>
  </si>
  <si>
    <t xml:space="preserve"> 10,8000000</t>
  </si>
  <si>
    <t xml:space="preserve"> 394,58</t>
  </si>
  <si>
    <t xml:space="preserve"> 4.261,46</t>
  </si>
  <si>
    <t xml:space="preserve"> 4,36%</t>
  </si>
  <si>
    <t xml:space="preserve"> 73,95%</t>
  </si>
  <si>
    <t xml:space="preserve"> 00002707 </t>
  </si>
  <si>
    <t>ENGENHEIRO CIVIL DE OBRA PLENO</t>
  </si>
  <si>
    <t xml:space="preserve"> 30,3150000</t>
  </si>
  <si>
    <t xml:space="preserve"> 129,58</t>
  </si>
  <si>
    <t xml:space="preserve"> 3.928,22</t>
  </si>
  <si>
    <t xml:space="preserve"> 4,02%</t>
  </si>
  <si>
    <t xml:space="preserve"> 77,97%</t>
  </si>
  <si>
    <t xml:space="preserve"> M0284 </t>
  </si>
  <si>
    <t xml:space="preserve"> 84,3769000</t>
  </si>
  <si>
    <t xml:space="preserve"> 37,38</t>
  </si>
  <si>
    <t xml:space="preserve"> 3.154,01</t>
  </si>
  <si>
    <t xml:space="preserve"> 3,23%</t>
  </si>
  <si>
    <t xml:space="preserve"> 81,20%</t>
  </si>
  <si>
    <t xml:space="preserve"> 00004221 </t>
  </si>
  <si>
    <t>OLEO DIESEL COMBUSTIVEL COMUM</t>
  </si>
  <si>
    <t xml:space="preserve"> 544,0000000</t>
  </si>
  <si>
    <t xml:space="preserve"> 5,71</t>
  </si>
  <si>
    <t xml:space="preserve"> 3.106,24</t>
  </si>
  <si>
    <t xml:space="preserve"> 3,18%</t>
  </si>
  <si>
    <t xml:space="preserve"> 84,38%</t>
  </si>
  <si>
    <t xml:space="preserve"> 100,0000000</t>
  </si>
  <si>
    <t xml:space="preserve"> 27,41</t>
  </si>
  <si>
    <t xml:space="preserve"> 2.741,00</t>
  </si>
  <si>
    <t xml:space="preserve"> 2,81%</t>
  </si>
  <si>
    <t xml:space="preserve"> 87,19%</t>
  </si>
  <si>
    <t xml:space="preserve"> 6,0000000</t>
  </si>
  <si>
    <t xml:space="preserve"> 319,53</t>
  </si>
  <si>
    <t xml:space="preserve"> 1.917,18</t>
  </si>
  <si>
    <t xml:space="preserve"> 1,96%</t>
  </si>
  <si>
    <t xml:space="preserve"> 89,15%</t>
  </si>
  <si>
    <t xml:space="preserve"> 00037763 </t>
  </si>
  <si>
    <t>CAVALO MECANICO TRACAO 4X2, PESO BRUTO TOTAL 16000 KG, CAPACIDADE MAXIMA DE TRACAO *45000* KG, DISTANCIA ENTRE EIXOS *3,56* M, POTENCIA *330* CV (INCLUI CABINE E CHASSI, NAO INCLUI SEMIRREBOQUE)</t>
  </si>
  <si>
    <t xml:space="preserve"> 0,0020048</t>
  </si>
  <si>
    <t xml:space="preserve"> 650.983,47</t>
  </si>
  <si>
    <t xml:space="preserve"> 1.305,09</t>
  </si>
  <si>
    <t xml:space="preserve"> 1,34%</t>
  </si>
  <si>
    <t xml:space="preserve"> 90,49%</t>
  </si>
  <si>
    <t xml:space="preserve"> 43,1974032</t>
  </si>
  <si>
    <t xml:space="preserve"> 14,34</t>
  </si>
  <si>
    <t xml:space="preserve"> 619,45</t>
  </si>
  <si>
    <t xml:space="preserve"> 0,63%</t>
  </si>
  <si>
    <t xml:space="preserve"> 91,12%</t>
  </si>
  <si>
    <t xml:space="preserve"> M0286 </t>
  </si>
  <si>
    <t xml:space="preserve"> 39,6000000</t>
  </si>
  <si>
    <t xml:space="preserve"> 15,29</t>
  </si>
  <si>
    <t xml:space="preserve"> 605,48</t>
  </si>
  <si>
    <t xml:space="preserve"> 0,62%</t>
  </si>
  <si>
    <t xml:space="preserve"> 91,74%</t>
  </si>
  <si>
    <t xml:space="preserve"> 00037744 </t>
  </si>
  <si>
    <t>SEMIRREBOQUE COM TRES EIXOS EM TANDEM TIPO BASCULANTE COM CACAMBA METALICA 18 M3 (INCLUI MONTAGEM, NAO INCLUI CAVALO MECANICO)</t>
  </si>
  <si>
    <t xml:space="preserve"> 292.353,14</t>
  </si>
  <si>
    <t xml:space="preserve"> 586,11</t>
  </si>
  <si>
    <t xml:space="preserve"> 0,60%</t>
  </si>
  <si>
    <t xml:space="preserve"> 92,34%</t>
  </si>
  <si>
    <t xml:space="preserve"> 27,0711214</t>
  </si>
  <si>
    <t xml:space="preserve"> 20,36</t>
  </si>
  <si>
    <t xml:space="preserve"> 551,17</t>
  </si>
  <si>
    <t xml:space="preserve"> 0,56%</t>
  </si>
  <si>
    <t xml:space="preserve"> 92,91%</t>
  </si>
  <si>
    <t xml:space="preserve"> 00004093 </t>
  </si>
  <si>
    <t>MOTORISTA DE CAMINHAO</t>
  </si>
  <si>
    <t xml:space="preserve"> 24,0864000</t>
  </si>
  <si>
    <t xml:space="preserve"> 21,80</t>
  </si>
  <si>
    <t xml:space="preserve"> 525,08</t>
  </si>
  <si>
    <t xml:space="preserve"> 0,54%</t>
  </si>
  <si>
    <t xml:space="preserve"> 93,44%</t>
  </si>
  <si>
    <t xml:space="preserve"> M3229 </t>
  </si>
  <si>
    <t>Película retrorrefletiva tipo I + SI</t>
  </si>
  <si>
    <t xml:space="preserve"> 1,3714800</t>
  </si>
  <si>
    <t xml:space="preserve"> 377,76</t>
  </si>
  <si>
    <t xml:space="preserve"> 518,09</t>
  </si>
  <si>
    <t xml:space="preserve"> 0,53%</t>
  </si>
  <si>
    <t xml:space="preserve"> 93,97%</t>
  </si>
  <si>
    <t xml:space="preserve"> 00037747 </t>
  </si>
  <si>
    <t>CAMINHAO TRUCADO, PESO BRUTO TOTAL 23000 KG, CARGA UTIL MAXIMA 15935 KG, DISTANCIA ENTRE EIXOS 4,80 M, POTENCIA 230 CV (INCLUI CABINE E CHASSI, NAO INCLUI CARROCERIA)</t>
  </si>
  <si>
    <t xml:space="preserve"> 0,0007568</t>
  </si>
  <si>
    <t xml:space="preserve"> 669.405,08</t>
  </si>
  <si>
    <t xml:space="preserve"> 506,61</t>
  </si>
  <si>
    <t xml:space="preserve"> 0,52%</t>
  </si>
  <si>
    <t xml:space="preserve"> 94,49%</t>
  </si>
  <si>
    <t xml:space="preserve"> 00020020 </t>
  </si>
  <si>
    <t>MOTORISTA DE CAMINHAO-BASCULANTE</t>
  </si>
  <si>
    <t xml:space="preserve"> 20,57</t>
  </si>
  <si>
    <t xml:space="preserve"> 495,46</t>
  </si>
  <si>
    <t xml:space="preserve"> 0,51%</t>
  </si>
  <si>
    <t xml:space="preserve"> 95,00%</t>
  </si>
  <si>
    <t xml:space="preserve"> 00037748 </t>
  </si>
  <si>
    <t>CAMINHAO TOCO, PESO BRUTO TOTAL 14300 KG, CARGA UTIL MAXIMA 9710 KG, DISTANCIA ENTRE EIXOS 3,56 M, POTENCIA 185 CV (INCLUI CABINE E CHASSI, NAO INCLUI CARROCERIA)</t>
  </si>
  <si>
    <t xml:space="preserve"> 0,0007088</t>
  </si>
  <si>
    <t xml:space="preserve"> 548.102,94</t>
  </si>
  <si>
    <t xml:space="preserve"> 388,50</t>
  </si>
  <si>
    <t xml:space="preserve"> 0,40%</t>
  </si>
  <si>
    <t xml:space="preserve"> 95,40%</t>
  </si>
  <si>
    <t xml:space="preserve"> 00004090 </t>
  </si>
  <si>
    <t>MOTONIVELADORA POTENCIA BASICA LIQUIDA (PRIMEIRA MARCHA) 125 HP , PESO BRUTO 13843 KG, LARGURA DA LAMINA DE 3,7 M</t>
  </si>
  <si>
    <t xml:space="preserve"> 0,0003776</t>
  </si>
  <si>
    <t xml:space="preserve"> 1.016.416,36</t>
  </si>
  <si>
    <t xml:space="preserve"> 383,80</t>
  </si>
  <si>
    <t xml:space="preserve"> 0,39%</t>
  </si>
  <si>
    <t xml:space="preserve"> 95,79%</t>
  </si>
  <si>
    <t xml:space="preserve"> 00004262 </t>
  </si>
  <si>
    <t>PA CARREGADEIRA SOBRE RODAS, POTENCIA LIQUIDA 128 HP, CAPACIDADE DA CACAMBA DE 1,7 A 2,8 M3, PESO OPERACIONAL MAXIMO DE 11632 KG</t>
  </si>
  <si>
    <t xml:space="preserve"> 0,0005088</t>
  </si>
  <si>
    <t xml:space="preserve"> 695.688,00</t>
  </si>
  <si>
    <t xml:space="preserve"> 353,97</t>
  </si>
  <si>
    <t xml:space="preserve"> 0,36%</t>
  </si>
  <si>
    <t xml:space="preserve"> 96,15%</t>
  </si>
  <si>
    <t xml:space="preserve"> 24,0343200</t>
  </si>
  <si>
    <t xml:space="preserve"> 12,90</t>
  </si>
  <si>
    <t xml:space="preserve"> 310,04</t>
  </si>
  <si>
    <t xml:space="preserve"> 0,32%</t>
  </si>
  <si>
    <t xml:space="preserve"> 96,47%</t>
  </si>
  <si>
    <t xml:space="preserve"> 00004239 </t>
  </si>
  <si>
    <t>OPERADOR DE MOTONIVELADORA</t>
  </si>
  <si>
    <t xml:space="preserve"> 8,0472000</t>
  </si>
  <si>
    <t xml:space="preserve"> 30,18</t>
  </si>
  <si>
    <t xml:space="preserve"> 242,86</t>
  </si>
  <si>
    <t xml:space="preserve"> 0,25%</t>
  </si>
  <si>
    <t xml:space="preserve"> 96,72%</t>
  </si>
  <si>
    <t xml:space="preserve"> 00001379 </t>
  </si>
  <si>
    <t>CIMENTO PORTLAND COMPOSTO CP II-32</t>
  </si>
  <si>
    <t xml:space="preserve"> 242,2230230</t>
  </si>
  <si>
    <t xml:space="preserve"> 0,80</t>
  </si>
  <si>
    <t xml:space="preserve"> 193,78</t>
  </si>
  <si>
    <t xml:space="preserve"> 0,20%</t>
  </si>
  <si>
    <t xml:space="preserve"> 96,92%</t>
  </si>
  <si>
    <t xml:space="preserve"> 00036511 </t>
  </si>
  <si>
    <t>TRATOR DE PNEUS COM POTENCIA DE 122 CV, TRACAO 4 X 4, PESO COM LASTRO DE 4510 KG</t>
  </si>
  <si>
    <t xml:space="preserve"> 0,0004856</t>
  </si>
  <si>
    <t xml:space="preserve"> 359.361,37</t>
  </si>
  <si>
    <t xml:space="preserve"> 174,51</t>
  </si>
  <si>
    <t xml:space="preserve"> 0,18%</t>
  </si>
  <si>
    <t xml:space="preserve"> 97,10%</t>
  </si>
  <si>
    <t xml:space="preserve"> 00004248 </t>
  </si>
  <si>
    <t>OPERADOR DE PA CARREGADEIRA</t>
  </si>
  <si>
    <t xml:space="preserve"> 21,47</t>
  </si>
  <si>
    <t xml:space="preserve"> 172,77</t>
  </si>
  <si>
    <t xml:space="preserve"> 97,27%</t>
  </si>
  <si>
    <t xml:space="preserve"> 00004237 </t>
  </si>
  <si>
    <t>OPERADOR DE TRATOR - EXCLUSIVE AGROPECUARIA</t>
  </si>
  <si>
    <t xml:space="preserve"> 8,0656000</t>
  </si>
  <si>
    <t xml:space="preserve"> 21,26</t>
  </si>
  <si>
    <t xml:space="preserve"> 171,47</t>
  </si>
  <si>
    <t xml:space="preserve"> 97,45%</t>
  </si>
  <si>
    <t xml:space="preserve"> P9808 </t>
  </si>
  <si>
    <t xml:space="preserve"> 5,0000000</t>
  </si>
  <si>
    <t xml:space="preserve"> 31,75</t>
  </si>
  <si>
    <t xml:space="preserve"> 158,75</t>
  </si>
  <si>
    <t xml:space="preserve"> 0,16%</t>
  </si>
  <si>
    <t xml:space="preserve"> 97,61%</t>
  </si>
  <si>
    <t xml:space="preserve"> P9824 </t>
  </si>
  <si>
    <t xml:space="preserve"> 7,4332651</t>
  </si>
  <si>
    <t xml:space="preserve"> 21,10</t>
  </si>
  <si>
    <t xml:space="preserve"> 156,84</t>
  </si>
  <si>
    <t xml:space="preserve"> 97,77%</t>
  </si>
  <si>
    <t xml:space="preserve"> P9822 </t>
  </si>
  <si>
    <t xml:space="preserve"> 5,1432355</t>
  </si>
  <si>
    <t xml:space="preserve"> 30,08</t>
  </si>
  <si>
    <t xml:space="preserve"> 154,71</t>
  </si>
  <si>
    <t xml:space="preserve"> 97,93%</t>
  </si>
  <si>
    <t xml:space="preserve"> M1367 </t>
  </si>
  <si>
    <t>Chapa fina em aço galvanizado</t>
  </si>
  <si>
    <t xml:space="preserve"> 16,1491770</t>
  </si>
  <si>
    <t xml:space="preserve"> 9,31</t>
  </si>
  <si>
    <t xml:space="preserve"> 150,35</t>
  </si>
  <si>
    <t xml:space="preserve"> 0,15%</t>
  </si>
  <si>
    <t xml:space="preserve"> 98,09%</t>
  </si>
  <si>
    <t xml:space="preserve"> 00004750 </t>
  </si>
  <si>
    <t>PEDREIRO</t>
  </si>
  <si>
    <t xml:space="preserve"> 6,3072426</t>
  </si>
  <si>
    <t xml:space="preserve"> 128,42</t>
  </si>
  <si>
    <t xml:space="preserve"> 0,13%</t>
  </si>
  <si>
    <t xml:space="preserve"> 98,22%</t>
  </si>
  <si>
    <t xml:space="preserve"> M2128 </t>
  </si>
  <si>
    <t xml:space="preserve"> 6,0254000</t>
  </si>
  <si>
    <t xml:space="preserve"> 21,05</t>
  </si>
  <si>
    <t xml:space="preserve"> 126,83</t>
  </si>
  <si>
    <t xml:space="preserve"> 98,35%</t>
  </si>
  <si>
    <t xml:space="preserve"> P9801 </t>
  </si>
  <si>
    <t xml:space="preserve"> 5,7573577</t>
  </si>
  <si>
    <t xml:space="preserve"> 21,69</t>
  </si>
  <si>
    <t xml:space="preserve"> 124,88</t>
  </si>
  <si>
    <t xml:space="preserve"> 98,48%</t>
  </si>
  <si>
    <t xml:space="preserve"> 158 </t>
  </si>
  <si>
    <t>Almoço (Participação do empregador)</t>
  </si>
  <si>
    <t xml:space="preserve"> 6,0301547</t>
  </si>
  <si>
    <t xml:space="preserve"> 17,39</t>
  </si>
  <si>
    <t xml:space="preserve"> 104,86</t>
  </si>
  <si>
    <t xml:space="preserve"> 0,11%</t>
  </si>
  <si>
    <t xml:space="preserve"> 98,58%</t>
  </si>
  <si>
    <t xml:space="preserve"> 00037372 </t>
  </si>
  <si>
    <t>EXAMES - HORISTA (COLETADO CAIXA)</t>
  </si>
  <si>
    <t>Outros</t>
  </si>
  <si>
    <t xml:space="preserve"> 128,7901490</t>
  </si>
  <si>
    <t xml:space="preserve"> 0,68</t>
  </si>
  <si>
    <t xml:space="preserve"> 87,58</t>
  </si>
  <si>
    <t xml:space="preserve"> 0,09%</t>
  </si>
  <si>
    <t xml:space="preserve"> 98,67%</t>
  </si>
  <si>
    <t xml:space="preserve"> 00037371 </t>
  </si>
  <si>
    <t>TRANSPORTE - HORISTA (COLETADO CAIXA)</t>
  </si>
  <si>
    <t>Serviços</t>
  </si>
  <si>
    <t xml:space="preserve"> 98,2901490</t>
  </si>
  <si>
    <t xml:space="preserve"> 0,74</t>
  </si>
  <si>
    <t xml:space="preserve"> 72,73</t>
  </si>
  <si>
    <t xml:space="preserve"> 0,07%</t>
  </si>
  <si>
    <t xml:space="preserve"> 98,75%</t>
  </si>
  <si>
    <t xml:space="preserve"> 13,04</t>
  </si>
  <si>
    <t xml:space="preserve"> 65,20</t>
  </si>
  <si>
    <t xml:space="preserve"> 98,81%</t>
  </si>
  <si>
    <t xml:space="preserve"> 00006117 </t>
  </si>
  <si>
    <t>CARPINTEIRO AUXILIAR</t>
  </si>
  <si>
    <t xml:space="preserve"> 4,0420000</t>
  </si>
  <si>
    <t xml:space="preserve"> 16,01</t>
  </si>
  <si>
    <t xml:space="preserve"> 64,71</t>
  </si>
  <si>
    <t xml:space="preserve"> 98,88%</t>
  </si>
  <si>
    <t xml:space="preserve"> 00000370 </t>
  </si>
  <si>
    <t>AREIA MEDIA - POSTO JAZIDA/FORNECEDOR (RETIRADO NA JAZIDA, SEM TRANSPORTE)</t>
  </si>
  <si>
    <t xml:space="preserve"> 0,9407250</t>
  </si>
  <si>
    <t xml:space="preserve"> 65,22</t>
  </si>
  <si>
    <t xml:space="preserve"> 61,35</t>
  </si>
  <si>
    <t xml:space="preserve"> 0,06%</t>
  </si>
  <si>
    <t xml:space="preserve"> 98,94%</t>
  </si>
  <si>
    <t xml:space="preserve"> 00043488 </t>
  </si>
  <si>
    <t>EPI - FAMILIA OPERADOR ESCAVADEIRA - HORISTA (ENCARGOS COMPLEMENTARES - COLETADO CAIXA)</t>
  </si>
  <si>
    <t xml:space="preserve"> 74,5045950</t>
  </si>
  <si>
    <t xml:space="preserve"> 0,78</t>
  </si>
  <si>
    <t xml:space="preserve"> 58,11</t>
  </si>
  <si>
    <t xml:space="preserve"> 99,00%</t>
  </si>
  <si>
    <t xml:space="preserve"> 00004721 </t>
  </si>
  <si>
    <t>PEDRA BRITADA N. 1 (9,5 a 19 MM) POSTO PEDREIRA/FORNECEDOR, SEM FRETE</t>
  </si>
  <si>
    <t xml:space="preserve"> 0,6586098</t>
  </si>
  <si>
    <t xml:space="preserve"> 82,68</t>
  </si>
  <si>
    <t xml:space="preserve"> 54,45</t>
  </si>
  <si>
    <t xml:space="preserve"> 99,06%</t>
  </si>
  <si>
    <t xml:space="preserve"> E9535 </t>
  </si>
  <si>
    <t xml:space="preserve"> 1,8072500</t>
  </si>
  <si>
    <t xml:space="preserve"> 0,0000000</t>
  </si>
  <si>
    <t xml:space="preserve"> 29,62</t>
  </si>
  <si>
    <t xml:space="preserve"> 29,31</t>
  </si>
  <si>
    <t xml:space="preserve"> 53,53</t>
  </si>
  <si>
    <t xml:space="preserve"> 0,00</t>
  </si>
  <si>
    <t xml:space="preserve"> 0,05%</t>
  </si>
  <si>
    <t xml:space="preserve"> 99,11%</t>
  </si>
  <si>
    <t xml:space="preserve"> E9687 </t>
  </si>
  <si>
    <t xml:space="preserve"> 0,2000000</t>
  </si>
  <si>
    <t xml:space="preserve"> 0,4666666</t>
  </si>
  <si>
    <t xml:space="preserve"> 134,35</t>
  </si>
  <si>
    <t xml:space="preserve"> 54,20</t>
  </si>
  <si>
    <t xml:space="preserve"> 26,87</t>
  </si>
  <si>
    <t xml:space="preserve"> 25,29</t>
  </si>
  <si>
    <t xml:space="preserve"> 99,17%</t>
  </si>
  <si>
    <t xml:space="preserve"> M1358 </t>
  </si>
  <si>
    <t xml:space="preserve"> 20,9000000</t>
  </si>
  <si>
    <t xml:space="preserve"> 2,46</t>
  </si>
  <si>
    <t xml:space="preserve"> 51,41</t>
  </si>
  <si>
    <t xml:space="preserve"> 99,22%</t>
  </si>
  <si>
    <t xml:space="preserve"> 00004783 </t>
  </si>
  <si>
    <t>PINTOR</t>
  </si>
  <si>
    <t xml:space="preserve"> 2,4252000</t>
  </si>
  <si>
    <t xml:space="preserve"> 49,38</t>
  </si>
  <si>
    <t xml:space="preserve"> 99,27%</t>
  </si>
  <si>
    <t xml:space="preserve"> 10492 </t>
  </si>
  <si>
    <t>Cesta Básica</t>
  </si>
  <si>
    <t xml:space="preserve"> 0,2665590</t>
  </si>
  <si>
    <t xml:space="preserve"> 173,92</t>
  </si>
  <si>
    <t xml:space="preserve"> 46,36</t>
  </si>
  <si>
    <t xml:space="preserve"> 99,32%</t>
  </si>
  <si>
    <t xml:space="preserve"> 00007340 </t>
  </si>
  <si>
    <t>IMUNIZANTE PARA MADEIRA, INCOLOR</t>
  </si>
  <si>
    <t xml:space="preserve"> 1,4400000</t>
  </si>
  <si>
    <t xml:space="preserve"> 28,51</t>
  </si>
  <si>
    <t xml:space="preserve"> 41,05</t>
  </si>
  <si>
    <t xml:space="preserve"> 0,04%</t>
  </si>
  <si>
    <t xml:space="preserve"> 99,36%</t>
  </si>
  <si>
    <t xml:space="preserve"> 00037736 </t>
  </si>
  <si>
    <t>TANQUE DE ACO CARBONO NAO REVESTIDO, PARA TRANSPORTE DE AGUA COM CAPACIDADE DE 10 M3, COM BOMBA CENTRIFUGA POR TOMADA DE FORCA, VAZAO MAXIMA *75* M3/H (INCLUI MONTAGEM, NAO INCLUI CAMINHAO)</t>
  </si>
  <si>
    <t xml:space="preserve"> 0,0003544</t>
  </si>
  <si>
    <t xml:space="preserve"> 106.775,68</t>
  </si>
  <si>
    <t xml:space="preserve"> 37,84</t>
  </si>
  <si>
    <t xml:space="preserve"> 99,40%</t>
  </si>
  <si>
    <t xml:space="preserve"> 10761 </t>
  </si>
  <si>
    <t>Refeição - café da manhã ( café com leite e dois pães com manteiga)</t>
  </si>
  <si>
    <t xml:space="preserve"> 6,21</t>
  </si>
  <si>
    <t xml:space="preserve"> 37,45</t>
  </si>
  <si>
    <t xml:space="preserve"> 99,44%</t>
  </si>
  <si>
    <t xml:space="preserve"> 00037734 </t>
  </si>
  <si>
    <t>CACAMBA METALICA BASCULANTE COM CAPACIDADE DE 10 M3 (INCLUI MONTAGEM, NAO INCLUI CAMINHAO)</t>
  </si>
  <si>
    <t xml:space="preserve"> 0,0004024</t>
  </si>
  <si>
    <t xml:space="preserve"> 85.408,88</t>
  </si>
  <si>
    <t xml:space="preserve"> 34,37</t>
  </si>
  <si>
    <t xml:space="preserve"> 99,47%</t>
  </si>
  <si>
    <t xml:space="preserve"> P9830 </t>
  </si>
  <si>
    <t xml:space="preserve"> 1,0095366</t>
  </si>
  <si>
    <t xml:space="preserve"> 31,55</t>
  </si>
  <si>
    <t xml:space="preserve"> 31,85</t>
  </si>
  <si>
    <t xml:space="preserve"> 0,03%</t>
  </si>
  <si>
    <t xml:space="preserve"> 99,50%</t>
  </si>
  <si>
    <t xml:space="preserve"> E9066 </t>
  </si>
  <si>
    <t xml:space="preserve"> 2,0441070</t>
  </si>
  <si>
    <t xml:space="preserve"> 14,76</t>
  </si>
  <si>
    <t xml:space="preserve"> 2,94</t>
  </si>
  <si>
    <t xml:space="preserve"> 30,17</t>
  </si>
  <si>
    <t xml:space="preserve"> 99,54%</t>
  </si>
  <si>
    <t xml:space="preserve"> 4,95</t>
  </si>
  <si>
    <t xml:space="preserve"> 29,70</t>
  </si>
  <si>
    <t xml:space="preserve"> 99,57%</t>
  </si>
  <si>
    <t xml:space="preserve"> 00037666 </t>
  </si>
  <si>
    <t>OPERADOR DE BETONEIRA ESTACIONARIA / MISTURADOR</t>
  </si>
  <si>
    <t xml:space="preserve"> 1,5134721</t>
  </si>
  <si>
    <t xml:space="preserve"> 18,95</t>
  </si>
  <si>
    <t xml:space="preserve"> 28,68</t>
  </si>
  <si>
    <t xml:space="preserve"> 99,59%</t>
  </si>
  <si>
    <t xml:space="preserve"> M1205 </t>
  </si>
  <si>
    <t xml:space="preserve"> 1,9251000</t>
  </si>
  <si>
    <t xml:space="preserve"> 13,98</t>
  </si>
  <si>
    <t xml:space="preserve"> 26,91</t>
  </si>
  <si>
    <t xml:space="preserve"> 99,62%</t>
  </si>
  <si>
    <t xml:space="preserve"> 2378 </t>
  </si>
  <si>
    <t>Vale transporte</t>
  </si>
  <si>
    <t xml:space="preserve"> 4,8179391</t>
  </si>
  <si>
    <t xml:space="preserve"> 4,96</t>
  </si>
  <si>
    <t xml:space="preserve"> 23,90</t>
  </si>
  <si>
    <t xml:space="preserve"> 0,02%</t>
  </si>
  <si>
    <t xml:space="preserve"> 99,65%</t>
  </si>
  <si>
    <t xml:space="preserve"> 00037730 </t>
  </si>
  <si>
    <t>CARROCERIA FIXA ABERTA DE MADEIRA PARA TRANSPORTE GERAL DE CARGA SECA DIMENSOES APROXIMADAS 2,5 X 6,5 X 0,50 M (INCLUI MONTAGEM, NAO INCLUI CAMINHAO)</t>
  </si>
  <si>
    <t xml:space="preserve"> 31.462,76</t>
  </si>
  <si>
    <t xml:space="preserve"> 22,30</t>
  </si>
  <si>
    <t xml:space="preserve"> 99,67%</t>
  </si>
  <si>
    <t xml:space="preserve"> 0,9000000</t>
  </si>
  <si>
    <t xml:space="preserve"> 22,74</t>
  </si>
  <si>
    <t xml:space="preserve"> 20,47</t>
  </si>
  <si>
    <t xml:space="preserve"> 99,69%</t>
  </si>
  <si>
    <t xml:space="preserve"> 00043486 </t>
  </si>
  <si>
    <t>EPI - FAMILIA ENGENHEIRO CIVIL - HORISTA (ENCARGOS COMPLEMENTARES - COLETADO CAIXA)</t>
  </si>
  <si>
    <t xml:space="preserve"> 30,0000000</t>
  </si>
  <si>
    <t xml:space="preserve"> 20,40</t>
  </si>
  <si>
    <t xml:space="preserve"> 99,71%</t>
  </si>
  <si>
    <t xml:space="preserve"> 6,2800000</t>
  </si>
  <si>
    <t xml:space="preserve"> 3,06</t>
  </si>
  <si>
    <t xml:space="preserve"> 19,22</t>
  </si>
  <si>
    <t xml:space="preserve"> 99,73%</t>
  </si>
  <si>
    <t xml:space="preserve"> 0,0050000</t>
  </si>
  <si>
    <t xml:space="preserve"> 3.681,04</t>
  </si>
  <si>
    <t xml:space="preserve"> 18,41</t>
  </si>
  <si>
    <t xml:space="preserve"> 99,75%</t>
  </si>
  <si>
    <t xml:space="preserve"> 00004222 </t>
  </si>
  <si>
    <t>GASOLINA COMUM</t>
  </si>
  <si>
    <t xml:space="preserve"> 2,4830000</t>
  </si>
  <si>
    <t xml:space="preserve"> 7,24</t>
  </si>
  <si>
    <t xml:space="preserve"> 17,98</t>
  </si>
  <si>
    <t xml:space="preserve"> 99,77%</t>
  </si>
  <si>
    <t xml:space="preserve"> 00004253 </t>
  </si>
  <si>
    <t>OPERADOR DE GUINCHO OU GUINCHEIRO</t>
  </si>
  <si>
    <t xml:space="preserve"> 1,0117000</t>
  </si>
  <si>
    <t xml:space="preserve"> 17,42</t>
  </si>
  <si>
    <t xml:space="preserve"> 17,62</t>
  </si>
  <si>
    <t xml:space="preserve"> 99,79%</t>
  </si>
  <si>
    <t xml:space="preserve"> 941 </t>
  </si>
  <si>
    <t>Fardamento com mangas curta</t>
  </si>
  <si>
    <t xml:space="preserve"> 0,0888530</t>
  </si>
  <si>
    <t xml:space="preserve"> 192,79</t>
  </si>
  <si>
    <t xml:space="preserve"> 17,13</t>
  </si>
  <si>
    <t xml:space="preserve"> 99,80%</t>
  </si>
  <si>
    <t xml:space="preserve"> E9592 </t>
  </si>
  <si>
    <t>Caminhão carroceria com capacidade de 15 t - 188 kW</t>
  </si>
  <si>
    <t xml:space="preserve"> 0,0695814</t>
  </si>
  <si>
    <t xml:space="preserve"> 0,0007107</t>
  </si>
  <si>
    <t xml:space="preserve"> 234,26</t>
  </si>
  <si>
    <t xml:space="preserve"> 68,08</t>
  </si>
  <si>
    <t xml:space="preserve"> 16,30</t>
  </si>
  <si>
    <t xml:space="preserve"> 0,05</t>
  </si>
  <si>
    <t xml:space="preserve"> 99,82%</t>
  </si>
  <si>
    <t xml:space="preserve"> 00004083 </t>
  </si>
  <si>
    <t>ENCARREGADO GERAL DE OBRAS</t>
  </si>
  <si>
    <t xml:space="preserve"> 0,5075500</t>
  </si>
  <si>
    <t xml:space="preserve"> 29,03</t>
  </si>
  <si>
    <t xml:space="preserve"> 14,73</t>
  </si>
  <si>
    <t xml:space="preserve"> 99,84%</t>
  </si>
  <si>
    <t xml:space="preserve"> 1,4200000</t>
  </si>
  <si>
    <t xml:space="preserve"> 9,44</t>
  </si>
  <si>
    <t xml:space="preserve"> 13,40</t>
  </si>
  <si>
    <t xml:space="preserve"> 0,01%</t>
  </si>
  <si>
    <t xml:space="preserve"> 99,85%</t>
  </si>
  <si>
    <t xml:space="preserve"> 00043491 </t>
  </si>
  <si>
    <t>EPI - FAMILIA SERVENTE - HORISTA (ENCARGOS COMPLEMENTARES - COLETADO CAIXA)</t>
  </si>
  <si>
    <t xml:space="preserve"> 10,1735540</t>
  </si>
  <si>
    <t xml:space="preserve"> 1,25</t>
  </si>
  <si>
    <t xml:space="preserve"> 12,72</t>
  </si>
  <si>
    <t xml:space="preserve"> 99,86%</t>
  </si>
  <si>
    <t xml:space="preserve"> M3153 </t>
  </si>
  <si>
    <t>Tinta em pó à base de resina poliéster</t>
  </si>
  <si>
    <t xml:space="preserve"> 0,1536058</t>
  </si>
  <si>
    <t xml:space="preserve"> 71,40</t>
  </si>
  <si>
    <t xml:space="preserve"> 10,97</t>
  </si>
  <si>
    <t xml:space="preserve"> 99,87%</t>
  </si>
  <si>
    <t xml:space="preserve"> P9823 </t>
  </si>
  <si>
    <t>Serralheiro</t>
  </si>
  <si>
    <t xml:space="preserve"> 0,3428700</t>
  </si>
  <si>
    <t xml:space="preserve"> 27,97</t>
  </si>
  <si>
    <t xml:space="preserve"> 9,59</t>
  </si>
  <si>
    <t xml:space="preserve"> 99,88%</t>
  </si>
  <si>
    <t xml:space="preserve"> M2034 </t>
  </si>
  <si>
    <t xml:space="preserve"> 0,6025000</t>
  </si>
  <si>
    <t xml:space="preserve"> 15,38</t>
  </si>
  <si>
    <t xml:space="preserve"> 9,27</t>
  </si>
  <si>
    <t xml:space="preserve"> 99,89%</t>
  </si>
  <si>
    <t xml:space="preserve"> 10517 </t>
  </si>
  <si>
    <t>Exames admissionais/demissionais (checkup)</t>
  </si>
  <si>
    <t>cj</t>
  </si>
  <si>
    <t xml:space="preserve"> 0,0236942</t>
  </si>
  <si>
    <t xml:space="preserve"> 372,69</t>
  </si>
  <si>
    <t xml:space="preserve"> 8,83</t>
  </si>
  <si>
    <t xml:space="preserve"> 99,90%</t>
  </si>
  <si>
    <t xml:space="preserve"> 00043489 </t>
  </si>
  <si>
    <t>EPI - FAMILIA PEDREIRO - HORISTA (ENCARGOS COMPLEMENTARES - COLETADO CAIXA)</t>
  </si>
  <si>
    <t xml:space="preserve"> 6,2120000</t>
  </si>
  <si>
    <t xml:space="preserve"> 1,18</t>
  </si>
  <si>
    <t xml:space="preserve"> 7,33</t>
  </si>
  <si>
    <t xml:space="preserve"> 99,91%</t>
  </si>
  <si>
    <t xml:space="preserve"> 00043483 </t>
  </si>
  <si>
    <t>EPI - FAMILIA CARPINTEIRO DE FORMAS - HORISTA (ENCARGOS COMPLEMENTARES - COLETADO CAIXA)</t>
  </si>
  <si>
    <t xml:space="preserve"> 1,30</t>
  </si>
  <si>
    <t xml:space="preserve"> 6,50</t>
  </si>
  <si>
    <t xml:space="preserve"> 99,92%</t>
  </si>
  <si>
    <t xml:space="preserve"> 0,2800000</t>
  </si>
  <si>
    <t xml:space="preserve"> 5,70</t>
  </si>
  <si>
    <t xml:space="preserve"> 0,5000000</t>
  </si>
  <si>
    <t xml:space="preserve"> 10,65</t>
  </si>
  <si>
    <t xml:space="preserve"> 5,33</t>
  </si>
  <si>
    <t xml:space="preserve"> 99,93%</t>
  </si>
  <si>
    <t xml:space="preserve"> 3,72</t>
  </si>
  <si>
    <t xml:space="preserve"> 5,28</t>
  </si>
  <si>
    <t xml:space="preserve"> 00043467 </t>
  </si>
  <si>
    <t>FERRAMENTAS - FAMILIA SERVENTE - HORISTA (ENCARGOS COMPLEMENTARES - COLETADO CAIXA)</t>
  </si>
  <si>
    <t xml:space="preserve"> 0,50</t>
  </si>
  <si>
    <t xml:space="preserve"> 5,09</t>
  </si>
  <si>
    <t xml:space="preserve"> 99,94%</t>
  </si>
  <si>
    <t xml:space="preserve"> 10599 </t>
  </si>
  <si>
    <t>Protetor solar fps 30 com 120ml</t>
  </si>
  <si>
    <t xml:space="preserve"> 0,1066236</t>
  </si>
  <si>
    <t xml:space="preserve"> 44,59</t>
  </si>
  <si>
    <t xml:space="preserve"> 4,75</t>
  </si>
  <si>
    <t xml:space="preserve"> 0,00%</t>
  </si>
  <si>
    <t xml:space="preserve"> 00043465 </t>
  </si>
  <si>
    <t>FERRAMENTAS - FAMILIA PEDREIRO - HORISTA (ENCARGOS COMPLEMENTARES - COLETADO CAIXA)</t>
  </si>
  <si>
    <t xml:space="preserve"> 0,72</t>
  </si>
  <si>
    <t xml:space="preserve"> 4,47</t>
  </si>
  <si>
    <t xml:space="preserve"> 99,95%</t>
  </si>
  <si>
    <t xml:space="preserve"> 0,7200000</t>
  </si>
  <si>
    <t xml:space="preserve"> 6,16</t>
  </si>
  <si>
    <t xml:space="preserve"> 4,44</t>
  </si>
  <si>
    <t xml:space="preserve"> 10362 </t>
  </si>
  <si>
    <t>Seguro de vida e acidente em grupo</t>
  </si>
  <si>
    <t xml:space="preserve"> 15,57</t>
  </si>
  <si>
    <t xml:space="preserve"> 4,15</t>
  </si>
  <si>
    <t xml:space="preserve"> 99,96%</t>
  </si>
  <si>
    <t xml:space="preserve"> 00043490 </t>
  </si>
  <si>
    <t>EPI - FAMILIA PINTOR - HORISTA (ENCARGOS COMPLEMENTARES - COLETADO CAIXA)</t>
  </si>
  <si>
    <t xml:space="preserve"> 2,4000000</t>
  </si>
  <si>
    <t xml:space="preserve"> 1,65</t>
  </si>
  <si>
    <t xml:space="preserve"> 3,96</t>
  </si>
  <si>
    <t xml:space="preserve"> 00043466 </t>
  </si>
  <si>
    <t>FERRAMENTAS - FAMILIA PINTOR - HORISTA (ENCARGOS COMPLEMENTARES - COLETADO CAIXA)</t>
  </si>
  <si>
    <t xml:space="preserve"> 1,57</t>
  </si>
  <si>
    <t xml:space="preserve"> 3,77</t>
  </si>
  <si>
    <t xml:space="preserve"> 00036397 </t>
  </si>
  <si>
    <t>BETONEIRA, CAPACIDADE NOMINAL 600 L, CAPACIDADE DE MISTURA  360L, MOTOR ELETRICO TRIFASICO 220/380V, POTENCIA 4CV, EXCLUSO CARREGADOR</t>
  </si>
  <si>
    <t xml:space="preserve"> 0,0001542</t>
  </si>
  <si>
    <t xml:space="preserve"> 23.862,55</t>
  </si>
  <si>
    <t xml:space="preserve"> 3,68</t>
  </si>
  <si>
    <t xml:space="preserve"> 99,97%</t>
  </si>
  <si>
    <t xml:space="preserve"> E9076 </t>
  </si>
  <si>
    <t>Equipamento para pintura eletrostática com cabine dupla de 7,00 kW e estufa de 80.000</t>
  </si>
  <si>
    <t xml:space="preserve"> 0,0716177</t>
  </si>
  <si>
    <t xml:space="preserve"> 47,46</t>
  </si>
  <si>
    <t xml:space="preserve"> 41,39</t>
  </si>
  <si>
    <t xml:space="preserve"> 3,40</t>
  </si>
  <si>
    <t xml:space="preserve"> 00012893 </t>
  </si>
  <si>
    <t>BOTA DE SEGURANCA COM BIQUEIRA DE ACO E COLARINHO ACOLCHOADO</t>
  </si>
  <si>
    <t>PAR</t>
  </si>
  <si>
    <t xml:space="preserve"> 0,0447540</t>
  </si>
  <si>
    <t xml:space="preserve"> 70,47</t>
  </si>
  <si>
    <t xml:space="preserve"> 3,15</t>
  </si>
  <si>
    <t xml:space="preserve"> 00043459 </t>
  </si>
  <si>
    <t>FERRAMENTAS - FAMILIA CARPINTEIRO DE FORMAS - HORISTA (ENCARGOS COMPLEMENTARES - COLETADO CAIXA)</t>
  </si>
  <si>
    <t xml:space="preserve"> 0,47</t>
  </si>
  <si>
    <t xml:space="preserve"> 2,35</t>
  </si>
  <si>
    <t xml:space="preserve"> 99,98%</t>
  </si>
  <si>
    <t xml:space="preserve"> 00002711 </t>
  </si>
  <si>
    <t>CARRINHO DE MAO DE ACO CAPACIDADE 50 A 60 L, PNEU COM CAMARA</t>
  </si>
  <si>
    <t xml:space="preserve"> 0,0065780</t>
  </si>
  <si>
    <t xml:space="preserve"> 303,68</t>
  </si>
  <si>
    <t xml:space="preserve"> 2,00</t>
  </si>
  <si>
    <t xml:space="preserve"> 00006189 </t>
  </si>
  <si>
    <t>TABUA NAO APARELHADA *2,5 X 30* CM, EM MACARANDUBA, ANGELIM OU EQUIVALENTE DA REGIAO - BRUTA</t>
  </si>
  <si>
    <t xml:space="preserve"> 0,0631488</t>
  </si>
  <si>
    <t xml:space="preserve"> 30,74</t>
  </si>
  <si>
    <t xml:space="preserve"> 1,94</t>
  </si>
  <si>
    <t xml:space="preserve"> 00012892 </t>
  </si>
  <si>
    <t>LUVA RASPA DE COURO, CANO CURTO (PUNHO *7* CM)</t>
  </si>
  <si>
    <t xml:space="preserve"> 0,1362412</t>
  </si>
  <si>
    <t xml:space="preserve"> 13,20</t>
  </si>
  <si>
    <t xml:space="preserve"> 1,80</t>
  </si>
  <si>
    <t xml:space="preserve"> 00002705 </t>
  </si>
  <si>
    <t>ENERGIA ELETRICA ATE 2000 KWH INDUSTRIAL, SEM DEMANDA</t>
  </si>
  <si>
    <t>KW/H</t>
  </si>
  <si>
    <t xml:space="preserve"> 1,9359725</t>
  </si>
  <si>
    <t xml:space="preserve"> 0,89</t>
  </si>
  <si>
    <t xml:space="preserve"> 1,72</t>
  </si>
  <si>
    <t xml:space="preserve"> 11249 </t>
  </si>
  <si>
    <t>Serra circular eletrica portatil</t>
  </si>
  <si>
    <t xml:space="preserve"> 0,0026062</t>
  </si>
  <si>
    <t xml:space="preserve"> 643,51</t>
  </si>
  <si>
    <t xml:space="preserve"> 1,68</t>
  </si>
  <si>
    <t xml:space="preserve"> 99,99%</t>
  </si>
  <si>
    <t xml:space="preserve"> 10596 </t>
  </si>
  <si>
    <t>Protetor auricular</t>
  </si>
  <si>
    <t xml:space="preserve"> 6,08</t>
  </si>
  <si>
    <t xml:space="preserve"> 1,62</t>
  </si>
  <si>
    <t xml:space="preserve"> 80 </t>
  </si>
  <si>
    <t>Aço CA-25   6,3 a 12,5 mm Aço ca-25   6,3 a 12,5 mm</t>
  </si>
  <si>
    <t xml:space="preserve"> 0,0915200</t>
  </si>
  <si>
    <t xml:space="preserve"> 14,19</t>
  </si>
  <si>
    <t xml:space="preserve"> 00037373 </t>
  </si>
  <si>
    <t>SEGURO - HORISTA (COLETADO CAIXA)</t>
  </si>
  <si>
    <t>Taxas</t>
  </si>
  <si>
    <t xml:space="preserve"> 0,01</t>
  </si>
  <si>
    <t xml:space="preserve"> 1,29</t>
  </si>
  <si>
    <t xml:space="preserve"> 2185 </t>
  </si>
  <si>
    <t>Tela de polietileno estirado para tapumes ( malha 80x40 e 65x40mm) h=1,20m</t>
  </si>
  <si>
    <t xml:space="preserve"> 0,2860000</t>
  </si>
  <si>
    <t xml:space="preserve"> 3,98</t>
  </si>
  <si>
    <t xml:space="preserve"> 1,14</t>
  </si>
  <si>
    <t xml:space="preserve"> E9623 </t>
  </si>
  <si>
    <t>Máquina de bancada guilhotina - 4,00 kW</t>
  </si>
  <si>
    <t xml:space="preserve"> 0,0688483</t>
  </si>
  <si>
    <t xml:space="preserve"> 15,53</t>
  </si>
  <si>
    <t xml:space="preserve"> 9,52</t>
  </si>
  <si>
    <t xml:space="preserve"> 1,07</t>
  </si>
  <si>
    <t xml:space="preserve"> E9622 </t>
  </si>
  <si>
    <t>Máquina de bancada universal para corte de chapa - 1,50 kW</t>
  </si>
  <si>
    <t xml:space="preserve"> 0,1652393</t>
  </si>
  <si>
    <t xml:space="preserve"> 6,10</t>
  </si>
  <si>
    <t xml:space="preserve"> 3,74</t>
  </si>
  <si>
    <t xml:space="preserve"> 1,01</t>
  </si>
  <si>
    <t xml:space="preserve"> 00000345 </t>
  </si>
  <si>
    <t>ARAME GALVANIZADO 18 BWG, D = 1,24MM (0,009 KG/M)</t>
  </si>
  <si>
    <t xml:space="preserve"> 0,0274560</t>
  </si>
  <si>
    <t xml:space="preserve"> 35,86</t>
  </si>
  <si>
    <t xml:space="preserve"> 0,98</t>
  </si>
  <si>
    <t xml:space="preserve"> 100,00%</t>
  </si>
  <si>
    <t xml:space="preserve"> 00037370 </t>
  </si>
  <si>
    <t>ALIMENTACAO - HORISTA (COLETADO CAIXA)</t>
  </si>
  <si>
    <t xml:space="preserve"> 11248 </t>
  </si>
  <si>
    <t>Furadeira e Parafusadeira eletrica Bosch ou Similar profissional</t>
  </si>
  <si>
    <t xml:space="preserve"> 305,60</t>
  </si>
  <si>
    <t xml:space="preserve"> 00043464 </t>
  </si>
  <si>
    <t>FERRAMENTAS - FAMILIA OPERADOR ESCAVADEIRA - HORISTA (ENCARGOS COMPLEMENTARES - COLETADO CAIXA)</t>
  </si>
  <si>
    <t xml:space="preserve"> 0,75</t>
  </si>
  <si>
    <t xml:space="preserve"> 00043487 </t>
  </si>
  <si>
    <t>EPI - FAMILIA ENCARREGADO GERAL - HORISTA (ENCARGOS COMPLEMENTARES - COLETADO CAIXA)</t>
  </si>
  <si>
    <t xml:space="preserve"> 1,16</t>
  </si>
  <si>
    <t xml:space="preserve"> 0,58</t>
  </si>
  <si>
    <t xml:space="preserve"> 00036498 </t>
  </si>
  <si>
    <t>GERADOR PORTATIL MONOFASICO, POTENCIA 5500 VA, MOTOR A GASOLINA, POTENCIA DO MOTOR 13 CV</t>
  </si>
  <si>
    <t xml:space="preserve"> 0,0000829</t>
  </si>
  <si>
    <t xml:space="preserve"> 6.518,28</t>
  </si>
  <si>
    <t xml:space="preserve"> 0,54</t>
  </si>
  <si>
    <t xml:space="preserve"> 00012895 </t>
  </si>
  <si>
    <t>CAPACETE DE SEGURANCA ABA FRONTAL COM SUSPENSAO DE POLIETILENO, SEM JUGULAR (CLASSE B)</t>
  </si>
  <si>
    <t xml:space="preserve"> 0,0355412</t>
  </si>
  <si>
    <t xml:space="preserve"> 14,68</t>
  </si>
  <si>
    <t xml:space="preserve"> 0,52</t>
  </si>
  <si>
    <t xml:space="preserve"> 00036487 </t>
  </si>
  <si>
    <t>GUINCHO ELETRICO DE COLUNA, CAPACIDADE 400 KG, COM MOTO FREIO, MOTOR TRIFASICO DE 1,25 CV</t>
  </si>
  <si>
    <t xml:space="preserve"> 0,0000716</t>
  </si>
  <si>
    <t xml:space="preserve"> 5.982,45</t>
  </si>
  <si>
    <t xml:space="preserve"> 0,43</t>
  </si>
  <si>
    <t xml:space="preserve"> 1651 </t>
  </si>
  <si>
    <t>Óculos branco proteção</t>
  </si>
  <si>
    <t>pr</t>
  </si>
  <si>
    <t xml:space="preserve"> 0,0447820</t>
  </si>
  <si>
    <t xml:space="preserve"> 7,40</t>
  </si>
  <si>
    <t xml:space="preserve"> 0,33</t>
  </si>
  <si>
    <t xml:space="preserve"> 00043462 </t>
  </si>
  <si>
    <t>FERRAMENTAS - FAMILIA ENGENHEIRO CIVIL - HORISTA (ENCARGOS COMPLEMENTARES - COLETADO CAIXA)</t>
  </si>
  <si>
    <t xml:space="preserve"> 0,30</t>
  </si>
  <si>
    <t xml:space="preserve"> 00000367 </t>
  </si>
  <si>
    <t>AREIA GROSSA - POSTO JAZIDA/FORNECEDOR (RETIRADO NA JAZIDA, SEM TRANSPORTE)</t>
  </si>
  <si>
    <t xml:space="preserve"> 0,0037758</t>
  </si>
  <si>
    <t xml:space="preserve"> 77,64</t>
  </si>
  <si>
    <t xml:space="preserve"> 0,29</t>
  </si>
  <si>
    <t xml:space="preserve"> 00005067 </t>
  </si>
  <si>
    <t>PREGO DE ACO POLIDO COM CABECA 16 X 24 (2 1/4 X 12)</t>
  </si>
  <si>
    <t xml:space="preserve"> 0,0102960</t>
  </si>
  <si>
    <t xml:space="preserve"> 24,23</t>
  </si>
  <si>
    <t xml:space="preserve"> 0,25</t>
  </si>
  <si>
    <t xml:space="preserve"> 11244 </t>
  </si>
  <si>
    <t>Martelo com unha</t>
  </si>
  <si>
    <t xml:space="preserve"> 0,0052126</t>
  </si>
  <si>
    <t xml:space="preserve"> 47,08</t>
  </si>
  <si>
    <t xml:space="preserve"> 00012894 </t>
  </si>
  <si>
    <t>CAPA PARA CHUVA EM PVC COM FORRO DE POLIESTER, COM CAPUZ (AMARELA OU AZUL)</t>
  </si>
  <si>
    <t xml:space="preserve"> 0,0118470</t>
  </si>
  <si>
    <t xml:space="preserve"> 19,08</t>
  </si>
  <si>
    <t xml:space="preserve"> 0,23</t>
  </si>
  <si>
    <t xml:space="preserve"> 00004718 </t>
  </si>
  <si>
    <t>PEDRA BRITADA N. 2 (19 A 38 MM) POSTO PEDREIRA/FORNECEDOR, SEM FRETE</t>
  </si>
  <si>
    <t xml:space="preserve"> 0,0025105</t>
  </si>
  <si>
    <t xml:space="preserve"> 83,12</t>
  </si>
  <si>
    <t xml:space="preserve"> 0,21</t>
  </si>
  <si>
    <t xml:space="preserve"> E9686 </t>
  </si>
  <si>
    <t>Caminhão carroceria com guindauto com capacidade de 20 t.m - 136 kW</t>
  </si>
  <si>
    <t xml:space="preserve"> 0,0007560</t>
  </si>
  <si>
    <t xml:space="preserve"> 275,90</t>
  </si>
  <si>
    <t xml:space="preserve"> 107,99</t>
  </si>
  <si>
    <t xml:space="preserve"> 4728 </t>
  </si>
  <si>
    <t>Talhadeira chata 10" Talhadeira chara 10"</t>
  </si>
  <si>
    <t xml:space="preserve"> 0,0098670</t>
  </si>
  <si>
    <t xml:space="preserve"> 17,20</t>
  </si>
  <si>
    <t xml:space="preserve"> 0,17</t>
  </si>
  <si>
    <t xml:space="preserve"> 10579 </t>
  </si>
  <si>
    <t>Chave de fenda chata 30 cm</t>
  </si>
  <si>
    <t xml:space="preserve"> 0,0052686</t>
  </si>
  <si>
    <t xml:space="preserve"> 28,43</t>
  </si>
  <si>
    <t xml:space="preserve"> 0,15</t>
  </si>
  <si>
    <t xml:space="preserve"> 10788 </t>
  </si>
  <si>
    <t>Pá quadrada</t>
  </si>
  <si>
    <t xml:space="preserve"> 0,14</t>
  </si>
  <si>
    <t xml:space="preserve"> 4729 </t>
  </si>
  <si>
    <t>Marreta 1 kg com cabo</t>
  </si>
  <si>
    <t xml:space="preserve"> 0,0032889</t>
  </si>
  <si>
    <t xml:space="preserve"> 34,16</t>
  </si>
  <si>
    <t xml:space="preserve"> 0,11</t>
  </si>
  <si>
    <t xml:space="preserve"> 00004509 </t>
  </si>
  <si>
    <t>SARRAFO *2,5 X 10* CM EM PINUS, MISTA OU EQUIVALENTE DA REGIAO - BRUTA</t>
  </si>
  <si>
    <t xml:space="preserve"> 0,0205920</t>
  </si>
  <si>
    <t xml:space="preserve"> 5,42</t>
  </si>
  <si>
    <t xml:space="preserve"> 10578 </t>
  </si>
  <si>
    <t>Formão grande</t>
  </si>
  <si>
    <t xml:space="preserve"> 18,82</t>
  </si>
  <si>
    <t xml:space="preserve"> 0,10</t>
  </si>
  <si>
    <t xml:space="preserve"> 10577 </t>
  </si>
  <si>
    <t>Serrote 40cm</t>
  </si>
  <si>
    <t xml:space="preserve"> 23,08</t>
  </si>
  <si>
    <t xml:space="preserve"> 0,06</t>
  </si>
  <si>
    <t xml:space="preserve"> 00043463 </t>
  </si>
  <si>
    <t>FERRAMENTAS - FAMILIA ENCARREGADO GERAL - HORISTA (ENCARGOS COMPLEMENTARES - COLETADO CAIXA)</t>
  </si>
  <si>
    <t xml:space="preserve"> 0,09</t>
  </si>
  <si>
    <t xml:space="preserve"> 00000378 </t>
  </si>
  <si>
    <t>ARMADOR</t>
  </si>
  <si>
    <t xml:space="preserve"> 0,0007207</t>
  </si>
  <si>
    <t xml:space="preserve"> E9568 </t>
  </si>
  <si>
    <t>Furadeira de impacto de 12,5 mm - 0,80 kW</t>
  </si>
  <si>
    <t xml:space="preserve"> 0,0516362</t>
  </si>
  <si>
    <t xml:space="preserve"> 0,20</t>
  </si>
  <si>
    <t xml:space="preserve"> 11241 </t>
  </si>
  <si>
    <t>Alicate volt-amperimetro</t>
  </si>
  <si>
    <t xml:space="preserve"> 0,0000560</t>
  </si>
  <si>
    <t xml:space="preserve"> 178,89</t>
  </si>
  <si>
    <t xml:space="preserve"> 00002692 </t>
  </si>
  <si>
    <t>DESMOLDANTE PROTETOR PARA FORMAS DE MADEIRA, DE BASE OLEOSA EMULSIONADA EM AGUA</t>
  </si>
  <si>
    <t xml:space="preserve"> 0,0005148</t>
  </si>
  <si>
    <t xml:space="preserve"> 9,40</t>
  </si>
  <si>
    <t xml:space="preserve"> 11240 </t>
  </si>
  <si>
    <t>Alicate com isolamento</t>
  </si>
  <si>
    <t xml:space="preserve"> 54,53</t>
  </si>
  <si>
    <t xml:space="preserve"> 11242 </t>
  </si>
  <si>
    <t>Chave inglesa 12"</t>
  </si>
  <si>
    <t xml:space="preserve"> 0,0000280</t>
  </si>
  <si>
    <t xml:space="preserve"> 58,38</t>
  </si>
  <si>
    <t xml:space="preserve"> 11247 </t>
  </si>
  <si>
    <t>Serra mármore Serra marmore</t>
  </si>
  <si>
    <t xml:space="preserve"> 0,0000001</t>
  </si>
  <si>
    <t xml:space="preserve"> 339,11</t>
  </si>
  <si>
    <t xml:space="preserve"> 11245 </t>
  </si>
  <si>
    <t>Desempoladeira de madeira 12x22</t>
  </si>
  <si>
    <t xml:space="preserve"> 0,0000010</t>
  </si>
  <si>
    <t xml:space="preserve"> 4722 </t>
  </si>
  <si>
    <t>Colher de pedreiro</t>
  </si>
  <si>
    <t xml:space="preserve"> 0,0000006</t>
  </si>
  <si>
    <t xml:space="preserve"> 23,09</t>
  </si>
  <si>
    <t xml:space="preserve"> 11246 </t>
  </si>
  <si>
    <t>Escala métrica de bambú</t>
  </si>
  <si>
    <t>Un</t>
  </si>
  <si>
    <t xml:space="preserve"> 11,24</t>
  </si>
  <si>
    <t xml:space="preserve"> 4174 </t>
  </si>
  <si>
    <t>Desempenadeira de aço lisa, cabo madeira, ref:143, Atlas ou similar</t>
  </si>
  <si>
    <t xml:space="preserve"> 0,0000007</t>
  </si>
  <si>
    <t xml:space="preserve"> 13,41</t>
  </si>
  <si>
    <t xml:space="preserve"> 11265 </t>
  </si>
  <si>
    <t>Martelo de borracha com cabo</t>
  </si>
  <si>
    <t xml:space="preserve"> 14,28</t>
  </si>
  <si>
    <t xml:space="preserve"> 10282 </t>
  </si>
  <si>
    <t>Regua de alumínio c/ 2,00m (para pedreiro)</t>
  </si>
  <si>
    <t xml:space="preserve"> 0,0000003</t>
  </si>
  <si>
    <t xml:space="preserve"> 20,74</t>
  </si>
  <si>
    <t xml:space="preserve"> 10789 </t>
  </si>
  <si>
    <t>Nível de bolha de madeira</t>
  </si>
  <si>
    <t xml:space="preserve"> 19,75</t>
  </si>
  <si>
    <t xml:space="preserve"> 11264 </t>
  </si>
  <si>
    <t>Marreta de 1/2 kg com cabo</t>
  </si>
  <si>
    <t xml:space="preserve"> 16,79</t>
  </si>
  <si>
    <t xml:space="preserve"> 10585 </t>
  </si>
  <si>
    <t>Arco de serra</t>
  </si>
  <si>
    <t xml:space="preserve"> 26,39</t>
  </si>
  <si>
    <t xml:space="preserve"> 10790 </t>
  </si>
  <si>
    <t>Prumo de face</t>
  </si>
  <si>
    <t xml:space="preserve"> 26,08</t>
  </si>
  <si>
    <t xml:space="preserve"> 10586 </t>
  </si>
  <si>
    <t>Torquesa</t>
  </si>
  <si>
    <t xml:space="preserve"> 22,23</t>
  </si>
  <si>
    <t xml:space="preserve"> 11243 </t>
  </si>
  <si>
    <t>Martelo sem unha</t>
  </si>
  <si>
    <t xml:space="preserve"> 20,56</t>
  </si>
  <si>
    <t>Totais por Tipo</t>
  </si>
  <si>
    <t>R$  3.426,06</t>
  </si>
  <si>
    <t>Equipamento para Aquisição Permanente</t>
  </si>
  <si>
    <t>R$  0,00</t>
  </si>
  <si>
    <t>R$  7.652,37</t>
  </si>
  <si>
    <t>R$  86.353,97</t>
  </si>
  <si>
    <t>R$  123,16</t>
  </si>
  <si>
    <t>R$  1,29</t>
  </si>
  <si>
    <t>Administração</t>
  </si>
  <si>
    <t>Aluguel</t>
  </si>
  <si>
    <t>Verba</t>
  </si>
  <si>
    <t>R$  88,56</t>
  </si>
  <si>
    <t>Pilar e vigas de madeira, em massaranduba ou angelin, seção 10x18cm a 30x30cm</t>
  </si>
  <si>
    <t>Pilar e vigas de madeira, seção 10x18cm a 30x30cm, em massaranduba, angelin ou madeira de lei</t>
  </si>
  <si>
    <t xml:space="preserve">
</t>
  </si>
  <si>
    <t>Curva ABC de Serviços</t>
  </si>
  <si>
    <t>Valor  Unit</t>
  </si>
  <si>
    <t>Peso Acumulado (%)</t>
  </si>
  <si>
    <t>Demolições e Retiradas</t>
  </si>
  <si>
    <t>Movimento de Terra</t>
  </si>
  <si>
    <t xml:space="preserve"> 5 </t>
  </si>
  <si>
    <t>Infraestrutura</t>
  </si>
  <si>
    <t xml:space="preserve"> 6 </t>
  </si>
  <si>
    <t>Mesoestrutura e Superestrutura</t>
  </si>
  <si>
    <t xml:space="preserve"> 8 </t>
  </si>
  <si>
    <t>Pintura</t>
  </si>
  <si>
    <t xml:space="preserve"> 9 </t>
  </si>
  <si>
    <t xml:space="preserve">IMPORTA O PRESENTE ORÇAMENTO NO VALOR DE </t>
  </si>
  <si>
    <t xml:space="preserve"> 98459 </t>
  </si>
  <si>
    <t>TAPUME COM TELHA METÁLICA. AF_05/2018</t>
  </si>
  <si>
    <t xml:space="preserve"> 98525 </t>
  </si>
  <si>
    <t>LIMPEZA MECANIZADA DE CAMADA VEGETAL, VEGETAÇÃO E PEQUENAS ÁRVORES (DIÂMETRO DE TRONCO MENOR QUE 0,20 M), COM TRATOR DE ESTEIRAS.AF_05/2018</t>
  </si>
  <si>
    <t xml:space="preserve"> 100982 </t>
  </si>
  <si>
    <t>CARGA, MANOBRA E DESCARGA DE ENTULHO EM CAMINHÃO BASCULANTE 10 M³ - CARGA COM ESCAVADEIRA HIDRÁULICA  (CAÇAMBA DE 0,80 M³ / 111 HP) E DESCARGA LIVRE (UNIDADE: M3). AF_07/2020</t>
  </si>
  <si>
    <t xml:space="preserve"> 1.5 </t>
  </si>
  <si>
    <t xml:space="preserve"> 93588 </t>
  </si>
  <si>
    <t>TRANSPORTE COM CAMINHÃO BASCULANTE DE 10 M³, EM VIA URBANA EM LEITO NATURAL (UNIDADE: M3XKM). AF_07/2020</t>
  </si>
  <si>
    <t>M3XKM</t>
  </si>
  <si>
    <t xml:space="preserve"> 2.2 </t>
  </si>
  <si>
    <t xml:space="preserve"> 93584 </t>
  </si>
  <si>
    <t>EXECUÇÃO DE DEPÓSITO EM CANTEIRO DE OBRA EM CHAPA DE MADEIRA COMPENSADA, NÃO INCLUSO MOBILIÁRIO. AF_04/2016</t>
  </si>
  <si>
    <t xml:space="preserve"> 2.3 </t>
  </si>
  <si>
    <t xml:space="preserve"> 2461 </t>
  </si>
  <si>
    <t>Sinalização de vias com cone de pvc h=0.75m, porta peso e balde plástico (inclusive iluminação)</t>
  </si>
  <si>
    <t xml:space="preserve"> 2.4 </t>
  </si>
  <si>
    <t xml:space="preserve"> 97625 </t>
  </si>
  <si>
    <t>DEMOLIÇÃO DE ALVENARIA PARA QUALQUER TIPO DE BLOCO, DE FORMA MECANIZADA, SEM REAPROVEITAMENTO. AF_12/2017</t>
  </si>
  <si>
    <t xml:space="preserve"> 3.2 </t>
  </si>
  <si>
    <t>TXKM</t>
  </si>
  <si>
    <t xml:space="preserve"> 96521 </t>
  </si>
  <si>
    <t>ESCAVAÇÃO MECANIZADA PARA BLOCO DE COROAMENTO OU SAPATA COM RETROESCAVADEIRA (INCLUINDO ESCAVAÇÃO PARA COLOCAÇÃO DE FÔRMAS). AF_06/2017</t>
  </si>
  <si>
    <t xml:space="preserve"> 94319 </t>
  </si>
  <si>
    <t>ATERRO MANUAL DE VALAS COM SOLO ARGILO-ARENOSO E COMPACTAÇÃO MECANIZADA. AF_05/2016</t>
  </si>
  <si>
    <t xml:space="preserve"> 5.1 </t>
  </si>
  <si>
    <t xml:space="preserve"> C1293 </t>
  </si>
  <si>
    <t>SEINFRA</t>
  </si>
  <si>
    <t>ESTACA DE MADEIRA CONDIÇÕES FAVORÁVEIS D= 25cm P/8 A 10T</t>
  </si>
  <si>
    <t xml:space="preserve"> 5.3 </t>
  </si>
  <si>
    <t xml:space="preserve"> 96535 </t>
  </si>
  <si>
    <t>FABRICAÇÃO, MONTAGEM E DESMONTAGEM DE FÔRMA PARA SAPATA, EM MADEIRA SERRADA, E=25 MM, 4 UTILIZAÇÕES. AF_06/2017</t>
  </si>
  <si>
    <t xml:space="preserve"> 5.4 </t>
  </si>
  <si>
    <t xml:space="preserve"> 96619 </t>
  </si>
  <si>
    <t>LASTRO DE CONCRETO MAGRO, APLICADO EM BLOCOS DE COROAMENTO OU SAPATAS, ESPESSURA DE 5 CM. AF_08/2017</t>
  </si>
  <si>
    <t xml:space="preserve"> 5.5 </t>
  </si>
  <si>
    <t xml:space="preserve"> 102487 </t>
  </si>
  <si>
    <t>CONCRETO CICLÓPICO FCK = 15MPA, 30% PEDRA DE MÃO EM VOLUME REAL, INCLUSIVE LANÇAMENTO. AF_05/2021</t>
  </si>
  <si>
    <t xml:space="preserve"> 5.6 </t>
  </si>
  <si>
    <t xml:space="preserve"> 100950 </t>
  </si>
  <si>
    <t>TRANSPORTE COM CAMINHÃO CARROCERIA COM GUINDAUTO (MUNCK),  MOMENTO MÁXIMO DE CARGA 11,7 TM, EM VIA URBANA EM LEITO NATURAL (UNIDADE: TXKM). AF_07/2020</t>
  </si>
  <si>
    <t xml:space="preserve"> 5.7 </t>
  </si>
  <si>
    <t xml:space="preserve"> 5940 </t>
  </si>
  <si>
    <t>PÁ CARREGADEIRA SOBRE RODAS, POTÊNCIA LÍQUIDA 128 HP, CAPACIDADE DA CAÇAMBA 1,7 A 2,8 M3, PESO OPERACIONAL 11632 KG - CHP DIURNO. AF_06/2014</t>
  </si>
  <si>
    <t xml:space="preserve"> 6.1 </t>
  </si>
  <si>
    <t xml:space="preserve"> 6.3 </t>
  </si>
  <si>
    <t xml:space="preserve"> 6.4 </t>
  </si>
  <si>
    <t xml:space="preserve"> 6.5 </t>
  </si>
  <si>
    <t xml:space="preserve"> 00004334 </t>
  </si>
  <si>
    <t>PARAFUSO FRANCES ZINCADO, DIAMETRO 1/2", COMPRIMENTO 15", COM PORCA E ARRUELA LISA MEDIA</t>
  </si>
  <si>
    <t xml:space="preserve"> 00020208 </t>
  </si>
  <si>
    <t>PRANCHAO  APARELHADO *8 X 30* CM, EM MACARANDUBA, ANGELIM OU EQUIVALENTE DA REGIAO</t>
  </si>
  <si>
    <t xml:space="preserve"> 6.8 </t>
  </si>
  <si>
    <t xml:space="preserve"> 6.9 </t>
  </si>
  <si>
    <t xml:space="preserve"> 8.1 </t>
  </si>
  <si>
    <t xml:space="preserve"> 102234 </t>
  </si>
  <si>
    <t>PINTURA IMUNIZANTE PARA MADEIRA, 2 DEMÃOS. AF_01/2021</t>
  </si>
  <si>
    <t xml:space="preserve"> 9.1 </t>
  </si>
  <si>
    <t xml:space="preserve"> 7209 </t>
  </si>
  <si>
    <t>Guarda-corpo em peça de madeira massaranduba 10 x 10 cm, alt = 1,00m, espaçamento entre as colunas de 1,00m e peça vertical de 10 x 10 cm</t>
  </si>
  <si>
    <t xml:space="preserve"> 9.2 </t>
  </si>
  <si>
    <t xml:space="preserve"> 98504 </t>
  </si>
  <si>
    <t>PLANTIO DE GRAMA EM PLACAS. AF_05/2018 (BASE DO TALUDE DA PONTE)</t>
  </si>
  <si>
    <t xml:space="preserve"> 9.3 </t>
  </si>
  <si>
    <t xml:space="preserve"> 4649 </t>
  </si>
  <si>
    <t>Sinalização permanente, vertical,  com placa triangular de aço, padrão dner, largura=0,90m, com poste de madeira 3,50m fixado com base de concreto 40x40x50</t>
  </si>
  <si>
    <t>CANT - CANTEIRO DE OBRAS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</si>
  <si>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</si>
  <si>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</si>
  <si>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</si>
  <si>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</si>
  <si>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</si>
  <si>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</si>
  <si>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00004433 </t>
  </si>
  <si>
    <t>CAIBRO NAO APARELHADO  *7,5 X 7,5* CM, EM MACARANDUBA, ANGELIM OU EQUIVALENTE DA REGIAO -  BRUTA</t>
  </si>
  <si>
    <t xml:space="preserve"> 00005061 </t>
  </si>
  <si>
    <t>PREGO DE ACO POLIDO COM CABECA 18 X 27 (2 1/2 X 10)</t>
  </si>
  <si>
    <t xml:space="preserve"> 00003992 </t>
  </si>
  <si>
    <t>TABUA APARELHADA *2,5 X 30* CM, EM MACARANDUBA, ANGELIM OU EQUIVALENTE DA REGIAO</t>
  </si>
  <si>
    <t xml:space="preserve"> 00007243 </t>
  </si>
  <si>
    <t>TELHA TRAPEZOIDAL EM ACO ZINCADO, SEM PINTURA, ALTURA DE APROXIMADAMENTE 40 MM, ESPESSURA DE 0,50 MM E LARGURA UTIL DE 980 MM</t>
  </si>
  <si>
    <t>URBA - URBANIZAÇÃO</t>
  </si>
  <si>
    <t xml:space="preserve"> 89032 </t>
  </si>
  <si>
    <t>TRATOR DE ESTEIRAS, POTÊNCIA 100 HP, PESO OPERACIONAL 9,4 T, COM LÂMINA 2,19 M3 - CHP DIURNO. AF_06/2014</t>
  </si>
  <si>
    <t xml:space="preserve"> 89031 </t>
  </si>
  <si>
    <t>TRATOR DE ESTEIRAS, POTÊNCIA 100 HP, PESO OPERACIONAL 9,4 T, COM LÂMINA 2,19 M3 - CHI DIURNO. AF_06/2014</t>
  </si>
  <si>
    <t xml:space="preserve"> 88441 </t>
  </si>
  <si>
    <t>JARDINEIRO COM ENCARGOS COMPLEMENTARES</t>
  </si>
  <si>
    <t>TRAN - TRANSPORTES, CARGAS E DESCARGAS</t>
  </si>
  <si>
    <t xml:space="preserve"> 5631 </t>
  </si>
  <si>
    <t>ESCAVADEIRA HIDRÁULICA SOBRE ESTEIRAS, CAÇAMBA 0,80 M3, PESO OPERACIONAL 17 T, POTENCIA BRUTA 111 HP - CHP DIURNO. AF_06/2014</t>
  </si>
  <si>
    <t xml:space="preserve"> 91386 </t>
  </si>
  <si>
    <t>CAMINHÃO BASCULANTE 10 M3, TRUCADO CABINE SIMPLES, PESO BRUTO TOTAL 23.000 KG, CARGA ÚTIL MÁXIMA 15.935 KG, DISTÂNCIA ENTRE EIXOS 4,80 M, POTÊNCIA 230 CV INCLUSIVE CAÇAMBA METÁLICA - CHP DIURNO. AF_06/2014</t>
  </si>
  <si>
    <t xml:space="preserve"> 5632 </t>
  </si>
  <si>
    <t>ESCAVADEIRA HIDRÁULICA SOBRE ESTEIRAS, CAÇAMBA 0,80 M3, PESO OPERACIONAL 17 T, POTENCIA BRUTA 111 HP - CHI DIURNO. AF_06/2014</t>
  </si>
  <si>
    <t xml:space="preserve"> 95403 </t>
  </si>
  <si>
    <t>CURSO DE CAPACITAÇÃO PARA ENGENHEIRO CIVIL DE OBRA PLENO (ENCARGOS COMPLEMENTARES) - HORISTA</t>
  </si>
  <si>
    <t xml:space="preserve"> 98441 </t>
  </si>
  <si>
    <t>PAREDE DE MADEIRA COMPENSADA PARA CONSTRUÇÃO TEMPORÁRIA EM CHAPA SIMPLES, EXTERNA, COM ÁREA LÍQUIDA MAIOR OU IGUAL A 6 M², SEM VÃO. AF_05/2018</t>
  </si>
  <si>
    <t xml:space="preserve"> 98442 </t>
  </si>
  <si>
    <t>PAREDE DE MADEIRA COMPENSADA PARA CONSTRUÇÃO TEMPORÁRIA EM CHAPA SIMPLES, EXTERNA, COM ÁREA LÍQUIDA MENOR QUE 6 M², SEM VÃO. AF_05/2018</t>
  </si>
  <si>
    <t xml:space="preserve"> 98445 </t>
  </si>
  <si>
    <t>PAREDE DE MADEIRA COMPENSADA PARA CONSTRUÇÃO TEMPORÁRIA EM CHAPA SIMPLES, EXTERNA, COM ÁREA LÍQUIDA MAIOR OU IGUAL A 6 M², COM VÃO. AF_05/2018</t>
  </si>
  <si>
    <t xml:space="preserve"> 98446 </t>
  </si>
  <si>
    <t>PAREDE DE MADEIRA COMPENSADA PARA CONSTRUÇÃO TEMPORÁRIA EM CHAPA SIMPLES, EXTERNA, COM ÁREA LÍQUIDA MENOR QUE 6 M², COM VÃO. AF_05/2018</t>
  </si>
  <si>
    <t xml:space="preserve"> 92543 </t>
  </si>
  <si>
    <t>TRAMA DE MADEIRA COMPOSTA POR TERÇAS PARA TELHADOS DE ATÉ 2 ÁGUAS PARA TELHA ONDULADA DE FIBROCIMENTO, METÁLICA, PLÁSTICA OU TERMOACÚSTICA, INCLUSO TRANSPORTE VERTICAL. AF_07/2019</t>
  </si>
  <si>
    <t>COBE - COBERTURA</t>
  </si>
  <si>
    <t xml:space="preserve"> 94210 </t>
  </si>
  <si>
    <t>TELHAMENTO COM TELHA ONDULADA DE FIBROCIMENTO E = 6 MM, COM RECOBRIMENTO LATERAL DE 1 1/4 DE ONDA PARA TELHADO COM INCLINAÇÃO MÁXIMA DE 10°, COM ATÉ 2 ÁGUAS, INCLUSO IÇAMENTO. AF_07/2019</t>
  </si>
  <si>
    <t xml:space="preserve"> 94559 </t>
  </si>
  <si>
    <t>JANELA DE AÇO TIPO BASCULANTE PARA VIDROS, COM BATENTE, FERRAGENS E PINTURA ANTICORROSIVA. EXCLUSIVE VIDROS, ACABAMENTO, ALIZAR E CONTRAMARCO. FORNECIMENTO E INSTALAÇÃO. AF_12/2019</t>
  </si>
  <si>
    <t>ESQV - ESQUADRIAS/FERRAGENS/VIDROS</t>
  </si>
  <si>
    <t xml:space="preserve"> 91341 </t>
  </si>
  <si>
    <t>PORTA EM ALUMÍNIO DE ABRIR TIPO VENEZIANA COM GUARNIÇÃO, FIXAÇÃO COM PARAFUSOS - FORNECIMENTO E INSTALAÇÃO. AF_12/2019</t>
  </si>
  <si>
    <t xml:space="preserve"> 95240 </t>
  </si>
  <si>
    <t>LASTRO DE CONCRETO MAGRO, APLICADO EM PISOS, LAJES SOBRE SOLO OU RADIERS, ESPESSURA DE 3 CM. AF_07/2016</t>
  </si>
  <si>
    <t xml:space="preserve"> 95241 </t>
  </si>
  <si>
    <t>LASTRO DE CONCRETO MAGRO, APLICADO EM PISOS, LAJES SOBRE SOLO OU RADIERS, ESPESSURA DE 5 CM. AF_07/2016</t>
  </si>
  <si>
    <t xml:space="preserve"> 101165 </t>
  </si>
  <si>
    <t>ALVENARIA DE EMBASAMENTO COM BLOCO ESTRUTURAL DE CONCRETO, DE 14X19X29CM E ARGAMASSA DE ASSENTAMENTO COM PREPARO EM BETONEIRA. AF_05/2020</t>
  </si>
  <si>
    <t xml:space="preserve"> 91852 </t>
  </si>
  <si>
    <t>ELETRODUTO FLEXÍVEL CORRUGADO, PVC, DN 20 MM (1/2"), PARA CIRCUITOS TERMINAIS, INSTALADO EM PAREDE - FORNECIMENTO E INSTALAÇÃO. AF_12/2015</t>
  </si>
  <si>
    <t>INEL - INSTALAÇÃO ELÉTRICA/ELETRIFICAÇÃO E ILUMINAÇÃO EXTERNA</t>
  </si>
  <si>
    <t xml:space="preserve"> 91862 </t>
  </si>
  <si>
    <t>ELETRODUTO RÍGIDO ROSCÁVEL, PVC, DN 20 MM (1/2"), PARA CIRCUITOS TERMINAIS, INSTALADO EM FORRO - FORNECIMENTO E INSTALAÇÃO. AF_12/2015</t>
  </si>
  <si>
    <t xml:space="preserve"> 91870 </t>
  </si>
  <si>
    <t>ELETRODUTO RÍGIDO ROSCÁVEL, PVC, DN 20 MM (1/2"), PARA CIRCUITOS TERMINAIS, INSTALADO EM PAREDE - FORNECIMENTO E INSTALAÇÃO. AF_12/2015</t>
  </si>
  <si>
    <t xml:space="preserve"> 91924 </t>
  </si>
  <si>
    <t>CABO DE COBRE FLEXÍVEL ISOLADO, 1,5 MM², ANTI-CHAMA 450/750 V, PARA CIRCUITOS TERMINAIS - FORNECIMENTO E INSTALAÇÃO. AF_12/2015</t>
  </si>
  <si>
    <t xml:space="preserve"> 95805 </t>
  </si>
  <si>
    <t>CONDULETE DE PVC, TIPO B, PARA ELETRODUTO DE PVC SOLDÁVEL DN 25 MM (3/4''), APARENTE - FORNECIMENTO E INSTALAÇÃO. AF_11/2016</t>
  </si>
  <si>
    <t xml:space="preserve"> 92023 </t>
  </si>
  <si>
    <t>INTERRUPTOR SIMPLES (1 MÓDULO) COM 1 TOMADA DE EMBUTIR 2P+T 10 A,  INCLUINDO SUPORTE E PLACA - FORNECIMENTO E INSTALAÇÃO. AF_12/2015</t>
  </si>
  <si>
    <t xml:space="preserve"> 97586 </t>
  </si>
  <si>
    <t>LUMINÁRIA TIPO CALHA, DE SOBREPOR, COM 2 LÂMPADAS TUBULARES FLUORESCENTES DE 36 W, COM REATOR DE PARTIDA RÁPIDA - FORNECIMENTO E INSTALAÇÃO. AF_02/2020</t>
  </si>
  <si>
    <t xml:space="preserve"> 91170 </t>
  </si>
  <si>
    <t>FIXAÇÃO DE TUBOS HORIZONTAIS DE PVC, CPVC OU COBRE DIÂMETROS MENORES OU IGUAIS A 40 MM OU ELETROCALHAS ATÉ 150MM DE LARGURA, COM ABRAÇADEIRA METÁLICA RÍGIDA TIPO D 1/2, FIXADA EM PERFILADO EM LAJE. AF_05/2015</t>
  </si>
  <si>
    <t>INHI - INSTALAÇÕES HIDROS SANITÁRIAS</t>
  </si>
  <si>
    <t xml:space="preserve"> 91173 </t>
  </si>
  <si>
    <t>FIXAÇÃO DE TUBOS VERTICAIS DE PPR DIÂMETROS MENORES OU IGUAIS A 40 MM COM ABRAÇADEIRA METÁLICA RÍGIDA TIPO D 1/2", FIXADA EM PERFILADO EM ALVENARIA. AF_05/2015</t>
  </si>
  <si>
    <t xml:space="preserve"> 93358 </t>
  </si>
  <si>
    <t>ESCAVAÇÃO MANUAL DE VALA COM PROFUNDIDADE MENOR OU IGUAL A 1,30 M. AF_02/2021</t>
  </si>
  <si>
    <t>MOVT - MOVIMENTO DE TERRA</t>
  </si>
  <si>
    <t xml:space="preserve"> 96995 </t>
  </si>
  <si>
    <t>REATERRO MANUAL APILOADO COM SOQUETE. AF_10/2017</t>
  </si>
  <si>
    <t xml:space="preserve"> 88489 </t>
  </si>
  <si>
    <t>APLICAÇÃO MANUAL DE PINTURA COM TINTA LÁTEX ACRÍLICA EM PAREDES, DUAS DEMÃOS. AF_06/2014</t>
  </si>
  <si>
    <t xml:space="preserve"> 00011455 </t>
  </si>
  <si>
    <t>FERROLHO COM FECHO / TRINCO REDONDO, EM ACO GALVANIZADO / ZINCADO, DE SOBREPOR, COM COMPRIMENTO DE 8" E ESPESSURA MINIMA DA CHAPA DE 1,50 MM</t>
  </si>
  <si>
    <t xml:space="preserve"> 95401 </t>
  </si>
  <si>
    <t>CURSO DE CAPACITAÇÃO PARA ENCARREGADO GERAL (ENCARGOS COMPLEMENTARES) - HORISTA</t>
  </si>
  <si>
    <t>Sinalização Horizontal</t>
  </si>
  <si>
    <t xml:space="preserve"> 54 </t>
  </si>
  <si>
    <t>Encarregado de turma - Fonte DNIT -  Mês de ref.: 10/20</t>
  </si>
  <si>
    <t xml:space="preserve"> 653 </t>
  </si>
  <si>
    <t>Cone de pvc h=0.75 m, para sinalização de vias</t>
  </si>
  <si>
    <t xml:space="preserve"> 00001523 </t>
  </si>
  <si>
    <t>CONCRETO USINADO CONVENCIONAL (NAO BOMBEAVEL) CLASSE DE RESISTENCIA C15, COM BRITA 1 E 2, SLUMP = 80 MM +/- 10 MM (NBR 8953)</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</si>
  <si>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</si>
  <si>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</si>
  <si>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</si>
  <si>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</si>
  <si>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88309 </t>
  </si>
  <si>
    <t>PEDREIRO COM ENCARGOS COMPLEMENTARES</t>
  </si>
  <si>
    <t xml:space="preserve"> 5901 </t>
  </si>
  <si>
    <t>CAMINHÃO PIPA 10.000 L TRUCADO, PESO BRUTO TOTAL 23.000 KG, CARGA ÚTIL MÁXIMA 15.935 KG, DISTÂNCIA ENTRE EIXOS 4,8 M, POTÊNCIA 230 CV, INCLUSIVE TANQUE DE AÇO PARA TRANSPORTE DE ÁGUA - CHP DIURNO. AF_06/2014</t>
  </si>
  <si>
    <t xml:space="preserve"> 91534 </t>
  </si>
  <si>
    <t>COMPACTADOR DE SOLOS DE PERCUSSÃO (SOQUETE) COM MOTOR A GASOLINA 4 TEMPOS, POTÊNCIA 4 CV - CHI DIURNO. AF_08/2015</t>
  </si>
  <si>
    <t xml:space="preserve"> 91533 </t>
  </si>
  <si>
    <t>COMPACTADOR DE SOLOS DE PERCUSSÃO (SOQUETE) COM MOTOR A GASOLINA 4 TEMPOS, POTÊNCIA 4 CV - CHP DIURNO. AF_08/2015</t>
  </si>
  <si>
    <t xml:space="preserve"> 00006079 </t>
  </si>
  <si>
    <t>ARGILA, ARGILA VERMELHA OU ARGILA ARENOSA (RETIRADA NA JAZIDA, SEM TRANSPORTE)</t>
  </si>
  <si>
    <t>ESTACAS</t>
  </si>
  <si>
    <t xml:space="preserve"> I0679 </t>
  </si>
  <si>
    <t>BATE ESTACA (CHP)</t>
  </si>
  <si>
    <t xml:space="preserve"> I1115 </t>
  </si>
  <si>
    <t>ESTACA DE MADEIRA  D=25 CM P/ 8 ATÉ 10 TON</t>
  </si>
  <si>
    <t xml:space="preserve"> I2543 </t>
  </si>
  <si>
    <t>SERVENTE</t>
  </si>
  <si>
    <t xml:space="preserve"> 00040304 </t>
  </si>
  <si>
    <t>PREGO DE ACO POLIDO COM CABECA DUPLA 17 X 27 (2 1/2 X 11)</t>
  </si>
  <si>
    <t xml:space="preserve"> 00005074 </t>
  </si>
  <si>
    <t>PREGO DE ACO POLIDO COM CABECA 15 X 18 (1 1/2 X 13)</t>
  </si>
  <si>
    <t xml:space="preserve"> 00005073 </t>
  </si>
  <si>
    <t>PREGO DE ACO POLIDO COM CABECA 17 X 24 (2 1/4 X 11)</t>
  </si>
  <si>
    <t xml:space="preserve"> 00004517 </t>
  </si>
  <si>
    <t>SARRAFO *2,5 X 7,5* CM EM PINUS, MISTA OU EQUIVALENTE DA REGIAO - BRUTA</t>
  </si>
  <si>
    <t xml:space="preserve"> 94968 </t>
  </si>
  <si>
    <t>CONCRETO MAGRO PARA LASTRO, TRAÇO 1:4,5:4,5 (EM MASSA SECA DE CIMENTO/ AREIA MÉDIA/ BRITA 1) - PREPARO MECÂNICO COM BETONEIRA 600 L. AF_05/2021</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</si>
  <si>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</si>
  <si>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</si>
  <si>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</si>
  <si>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</si>
  <si>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94963 </t>
  </si>
  <si>
    <t>CONCRETO FCK = 15MPA, TRAÇO 1:3,4:3,5 (EM MASSA SECA DE CIMENTO/ AREIA MÉDIA/ BRITA 1) - PREPARO MECÂNICO COM BETONEIRA 400 L. AF_05/2021</t>
  </si>
  <si>
    <t xml:space="preserve"> 00004730 </t>
  </si>
  <si>
    <t>PEDRA DE MAO OU PEDRA RACHAO PARA ARRIMO/FUNDACAO (POSTO PEDREIRA/FORNECEDOR, SEM FRETE)</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</si>
  <si>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</si>
  <si>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</si>
  <si>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</si>
  <si>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</si>
  <si>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53857 </t>
  </si>
  <si>
    <t>PÁ CARREGADEIRA SOBRE RODAS, POTÊNCIA LÍQUIDA 128 HP, CAPACIDADE DA CAÇAMBA 1,7 A 2,8 M3, PESO OPERACIONAL 11632 KG - MANUTENÇÃO. AF_06/2014</t>
  </si>
  <si>
    <t xml:space="preserve"> 89129 </t>
  </si>
  <si>
    <t>PÁ CARREGADEIRA SOBRE RODAS, POTÊNCIA LÍQUIDA 128 HP, CAPACIDADE DA CAÇAMBA 1,7 A 2,8 M3, PESO OPERACIONAL 11632 KG - JUROS. AF_06/2014</t>
  </si>
  <si>
    <t xml:space="preserve"> 53858 </t>
  </si>
  <si>
    <t>PÁ CARREGADEIRA SOBRE RODAS, POTÊNCIA LÍQUIDA 128 HP, CAPACIDADE DA CAÇAMBA 1,7 A 2,8 M3, PESO OPERACIONAL 11632 KG - MATERIAIS NA OPERAÇÃO. AF_06/2014</t>
  </si>
  <si>
    <t xml:space="preserve"> 89128 </t>
  </si>
  <si>
    <t>PÁ CARREGADEIRA SOBRE RODAS, POTÊNCIA LÍQUIDA 128 HP, CAPACIDADE DA CAÇAMBA 1,7 A 2,8 M3, PESO OPERACIONAL 11632 KG - DEPRECIAÇÃO. AF_06/2014</t>
  </si>
  <si>
    <t xml:space="preserve"> 88301 </t>
  </si>
  <si>
    <t>OPERADOR DE PÁ CARREGADEIRA COM ENCARGOS COMPLEMENTARES</t>
  </si>
  <si>
    <t>Pilar e vigas de madeira, em massaranduba ou angelin, seção 10x18cm a 20x20cm</t>
  </si>
  <si>
    <t xml:space="preserve"> 95309 </t>
  </si>
  <si>
    <t>CURSO DE CAPACITAÇÃO PARA AJUDANTE DE CARPINTEIRO (ENCARGOS COMPLEMENTARES) - HORISTA</t>
  </si>
  <si>
    <t xml:space="preserve"> 95378 </t>
  </si>
  <si>
    <t>CURSO DE CAPACITAÇÃO PARA SERVENTE (ENCARGOS COMPLEMENTARES) - HORISTA</t>
  </si>
  <si>
    <t xml:space="preserve"> 95330 </t>
  </si>
  <si>
    <t>CURSO DE CAPACITAÇÃO PARA CARPINTEIRO DE FÔRMAS (ENCARGOS COMPLEMENTARES) - HORISTA</t>
  </si>
  <si>
    <t xml:space="preserve"> 88310 </t>
  </si>
  <si>
    <t>PINTOR COM ENCARGOS COMPLEMENTARES</t>
  </si>
  <si>
    <t>Esquadrias de Madeira</t>
  </si>
  <si>
    <t xml:space="preserve"> 1689 </t>
  </si>
  <si>
    <t>Parafuso de fixação com bucha plástica 8 mm</t>
  </si>
  <si>
    <t xml:space="preserve"> 6744 </t>
  </si>
  <si>
    <t>Peça de madeira massaranduba 10 x 10 cm</t>
  </si>
  <si>
    <t xml:space="preserve"> 00003324 </t>
  </si>
  <si>
    <t>GRAMA BATATAIS EM PLACAS, SEM PLANTIO</t>
  </si>
  <si>
    <t>Sinalização Vertical</t>
  </si>
  <si>
    <t xml:space="preserve"> 4285 </t>
  </si>
  <si>
    <t>Placa triangular padrão dner, altura=0,90m</t>
  </si>
  <si>
    <t>TOTAL</t>
  </si>
  <si>
    <t>UND</t>
  </si>
  <si>
    <t xml:space="preserve"> 1.6 </t>
  </si>
  <si>
    <t>Reforma de Ponte de Madeira / Pov. Benedito Mendes (L=4,5M x C= 8,00 x A =2,60M)</t>
  </si>
  <si>
    <t>M2</t>
  </si>
  <si>
    <t>TABULEIRO DE MADEIRA DE LEI -FORNECIMENTO  E INSTALAÇÃO</t>
  </si>
  <si>
    <t>M3</t>
  </si>
  <si>
    <t>LONGARINA DE MADEIRA DE LEI - FORNECIMMENTO E INSTALAÇÃO</t>
  </si>
  <si>
    <t>PASSA RODAS DE MADEIRA DE LEI  -FORNECIMENTO E INSTLAÇÃO</t>
  </si>
  <si>
    <t>CPU</t>
  </si>
  <si>
    <t>PILAR DE MADEIRA DE LEI -FORNECIMENTO  E INSTALAÇÃO</t>
  </si>
  <si>
    <t xml:space="preserve">CPU </t>
  </si>
  <si>
    <t>TABULEIRO DE MADEIRA</t>
  </si>
  <si>
    <t>88261</t>
  </si>
  <si>
    <t>CARPINTEIRO DE ESQUADRIA COM ENCARGOS COMPLEMENTARES</t>
  </si>
  <si>
    <t>88239</t>
  </si>
  <si>
    <t>SINAPI-I</t>
  </si>
  <si>
    <t>4006</t>
  </si>
  <si>
    <t>MADEIRA SERRADA NAO APARELHADA DE PINUS, MISTA OU EQUIVALENTE DA REGIAO</t>
  </si>
  <si>
    <t xml:space="preserve">M3    </t>
  </si>
  <si>
    <t>5061</t>
  </si>
  <si>
    <t xml:space="preserve">KG    </t>
  </si>
  <si>
    <t>428</t>
  </si>
  <si>
    <t xml:space="preserve">UN    </t>
  </si>
  <si>
    <t>MOTOR SERRA MOTOR A GASOLINA</t>
  </si>
  <si>
    <t>COEF</t>
  </si>
  <si>
    <t>PU</t>
  </si>
  <si>
    <t>5934</t>
  </si>
  <si>
    <t>5869</t>
  </si>
  <si>
    <t>5881</t>
  </si>
  <si>
    <t>5849</t>
  </si>
  <si>
    <t>5632</t>
  </si>
  <si>
    <t>5942</t>
  </si>
  <si>
    <t>90982</t>
  </si>
  <si>
    <t>92044</t>
  </si>
  <si>
    <t>89876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</si>
  <si>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</si>
  <si>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</si>
  <si>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TRATOR DE ESTEIRAS, POTÊNCIA 170 HP, PESO OPERACIONAL 19 T, CAÇAMBA 5,2 M3 - CHI DIURNO. AF_06/2014</t>
  </si>
  <si>
    <t>COMPRESSOR DE AR REBOCÁVEL, VAZÃO 748 PCM, PRESSÃO EFETIVA DE TRABALHO 102 PSI, MOTOR DIESEL, POTÊNCIA 210 CV - CHI DIURNO. AF_06/2015</t>
  </si>
  <si>
    <t>DISTRIBUIDOR DE AGREGADOS REBOCAVEL, CAPACIDADE 1,9 M³, LARGURA DE TRABALHO 3,66 M - CHI DIURNO. AF_11/2015</t>
  </si>
  <si>
    <t>CAMINHÃO BASCULANTE 14 M3, COM CAVALO MECÂNICO DE CAPACIDADE MÁXIMA DE TRAÇÃO COMBINADO DE 36000 KG, POTÊNCIA 286 CV, INCLUSIVE SEMIREBOQUE COM CAÇAMBA METÁLICA - CHP DIURNO. AF_12/2014</t>
  </si>
  <si>
    <t xml:space="preserve"> 1.2</t>
  </si>
  <si>
    <t xml:space="preserve"> 1.3</t>
  </si>
  <si>
    <t>LONGARINA DE MADEIRA</t>
  </si>
  <si>
    <t>TRANSVERSINAA DE MADEIRA</t>
  </si>
  <si>
    <t>PASSA RODA DE MADEIRA</t>
  </si>
  <si>
    <t>PILAR DE MADEIRA</t>
  </si>
  <si>
    <t>COMPOSIÇÃO</t>
  </si>
  <si>
    <t>Total Geral C/BDI</t>
  </si>
  <si>
    <t>QUANTIDADE</t>
  </si>
  <si>
    <t>MEMORIA DE CÁLCULO</t>
  </si>
  <si>
    <t>ESTRUTURA DE CONCRETO ARMADO (SAPATAS)</t>
  </si>
  <si>
    <t xml:space="preserve"> 2.2</t>
  </si>
  <si>
    <t xml:space="preserve"> 2.3</t>
  </si>
  <si>
    <t>VIGIA NOTURNO COM ENCARGOS COMPLEMENTARES</t>
  </si>
  <si>
    <t>ESCAVAÇÃO VERTICAL PARA INFRAESTRUTURA, COM CARGA, DESCARGA E TRANSPORTE DE SOLO DE 1ª CATEGORIA, COM ESCAVADEIRA HIDRÁULICA (CAÇAMBA: 0,8 M³ / 111 HP), FROTA DE 3 CAMINHÕES BASCULANTES DE 14 M³, DMT ATÉ 1 KM E VELOCIDADE MÉDIA14 KM/H. AF_05/2020</t>
  </si>
  <si>
    <t>101230</t>
  </si>
  <si>
    <t>LOCAÇÃO DE PAVIMENTAÇÃO. AF_10/2018</t>
  </si>
  <si>
    <t>3.1</t>
  </si>
  <si>
    <t>3.2</t>
  </si>
  <si>
    <t>REVESTIMENTO PRIMARIO</t>
  </si>
  <si>
    <t>TERRAPLENAGEM</t>
  </si>
  <si>
    <t>96388</t>
  </si>
  <si>
    <t>EXECUÇÃO E COMPACTAÇÃO DE BASE E OU SUB BASE PARA PAVIMENTAÇÃO DE SOLOS DE COMPORTAMENTO LATERÍTICO (ARENOSO) - EXCLUSIVE SOLO, ESCAVAÇÃO, CARGA E TRANSPORTE. AF_11/2019</t>
  </si>
  <si>
    <t>CORPO DE BUEIRO BSTC CA1 DN 0,6 M</t>
  </si>
  <si>
    <t>CORPO DE BUEIRO BSTC CA1 DN 1,0 M</t>
  </si>
  <si>
    <t>88316</t>
  </si>
  <si>
    <t>7725</t>
  </si>
  <si>
    <t xml:space="preserve">TUBO DE CONCRETO ARMADO PARA AGUAS PLUVIAIS, CLASSE PA-1, COM ENCAIXE PONTA E BOLSA, DIAMETRO NOMINAL DE = 600 MM                                                                                                                                                                                                                                                                                                                                                                                         </t>
  </si>
  <si>
    <t xml:space="preserve">M     </t>
  </si>
  <si>
    <t>CORPO DE BUEIRO BDTC CA1 DN 1,0 M</t>
  </si>
  <si>
    <t>7753</t>
  </si>
  <si>
    <t xml:space="preserve">TUBO DE CONCRETO ARMADO PARA AGUAS PLUVIAIS, CLASSE PA-1, COM ENCAIXE PONTA E BOLSA, DIAMETRO NOMINAL DE 1000 MM                                                                                                                                                                                                                                                                                                                                                                                          </t>
  </si>
  <si>
    <t>POVOADO SÃO BENEDITO A AGUAS BELAS</t>
  </si>
  <si>
    <t>PONTE (3Mx5Mx2M)</t>
  </si>
  <si>
    <t>PONTE (6Mx5Mx2M)</t>
  </si>
  <si>
    <t>PONTE (6Mx5Mx3M)</t>
  </si>
  <si>
    <t>PONTE (8Mx5Mx5M)</t>
  </si>
  <si>
    <t>PONTE (5Mx5Mx2M)</t>
  </si>
  <si>
    <t>POVOADO 7 VOLTAS AO BARAO DE TROMAI</t>
  </si>
  <si>
    <t>PONTE (42Mx5Mx5M)</t>
  </si>
  <si>
    <t>PONTE (7Mx5Mx5M)</t>
  </si>
  <si>
    <t>CORPO DE BUEIRO BSTC CA1 DN 0,8 M</t>
  </si>
  <si>
    <t>7750</t>
  </si>
  <si>
    <t xml:space="preserve">TUBO DE CONCRETO ARMADO PARA AGUAS PLUVIAIS, CLASSE PA-1, COM ENCAIXE PONTA E BOLSA, DIAMETRO NOMINAL DE 800 MM                                                                                                                                                                                                                                                                                                                                                                                           </t>
  </si>
  <si>
    <t>POVOADO BARAO DE TROMAI A ESTANDARTE</t>
  </si>
  <si>
    <t>PONTE (95Mx5Mx5M)</t>
  </si>
  <si>
    <t xml:space="preserve">POVOADO SÃO JOSÉ A BARAO DE TROMAI </t>
  </si>
  <si>
    <t>PONTE (18Mx5Mx5M)</t>
  </si>
  <si>
    <t>BAIRRO MANECO LIMA A PORTO DA JUÇAREIRA</t>
  </si>
  <si>
    <t>PONTE (9Mx5Mx5M)</t>
  </si>
  <si>
    <t>EMOP</t>
  </si>
  <si>
    <t>TRANSVERSINAS DE MADEIRA DE LEI  -FORNECIMENTO E INSTALAÇÃO(CABECEIRAE CENTRAL)</t>
  </si>
  <si>
    <t>TRANSVERSINAS DE MADEIRA DE LEI  -FORNECIMENTO E INSTALAÇÃO(LONGITUDINAIS)</t>
  </si>
  <si>
    <t>ENCARGOS   SOCIAIS  SOBRE   A   MÃO   DE   OBRA</t>
  </si>
  <si>
    <t>NÃO  DESONERADO</t>
  </si>
  <si>
    <t>60 DIAS</t>
  </si>
  <si>
    <t>90 DIAS</t>
  </si>
  <si>
    <t>120 DIAS</t>
  </si>
  <si>
    <t>Não Desonerado: 
Horista:  114,05%
Mensalista:  71,35%</t>
  </si>
  <si>
    <t>PORCENTAGEM</t>
  </si>
  <si>
    <t>PORCENTAGEM ACUMULADA</t>
  </si>
  <si>
    <t>CUSTO ACUMULADO</t>
  </si>
  <si>
    <t>OBJETO : ESTRADAS VICINAIS-RECUPERAÇÃO</t>
  </si>
  <si>
    <t>EMPREENDEDOR: PREFEITURA MUNICIPAL DE CENTRO DO GUILHERME-MA</t>
  </si>
  <si>
    <t>3.3</t>
  </si>
  <si>
    <t>4.1</t>
  </si>
  <si>
    <t>4.2</t>
  </si>
  <si>
    <t>4.3</t>
  </si>
  <si>
    <t>5.3</t>
  </si>
  <si>
    <t>OBRAS DE ARTE CORRENTE</t>
  </si>
  <si>
    <t>5.3.1</t>
  </si>
  <si>
    <t>BOCA PARA BUEIRO SIMPLES TUBULAR D = 60 CM EM CONCRETO, ALAS COM ESCONSIDADE DE 0°, INCLUINDO FÔRMAS E MATERIAIS. AF_07/2021</t>
  </si>
  <si>
    <t>5.3.2</t>
  </si>
  <si>
    <t>BOCA PARA BUEIRO SIMPLES TUBULAR D = 100 CM EM CONCRETO, ALAS COM ESCONSIDADE DE 0°, INCLUINDO FÔRMAS E MATERIAIS. AF_07/2021</t>
  </si>
  <si>
    <t>5.3.3</t>
  </si>
  <si>
    <t>C4364</t>
  </si>
  <si>
    <t>LIMPEZA DE BUEIRO, INCLUINDO A RETIRADA DOS ENTULHOS BEM COMO A ROÇADA E LIMPEZA GERAL DAS BOCAS</t>
  </si>
  <si>
    <t>SETECENTOS E NOVENTA E SEIS MIL,NOVECENTOS E NOVENTA E UM REAIS E OITENTA E UM CENTAVOS</t>
  </si>
  <si>
    <t xml:space="preserve">SINAPI - 10/2023 - Maranhão
ORSE 10/2023 - Sergipe
SEINFRA - 027 - Ceará
</t>
  </si>
  <si>
    <t xml:space="preserve">SINAPI - 10/2023 - Maranhão
ORSE -10/2023 - Sergipe
SEINFRA - 027 - Ceará
</t>
  </si>
  <si>
    <t>SINAPI  114,08%(HORA) 71,35%(MENSAL)-REF.OUT/2023-NÃO DESONERADO</t>
  </si>
  <si>
    <t>LOCAL:   ESTRADA VICINAL 45 ASSENTAMENTO - CENTRO DO GUILHERME -MA-2,88 KM</t>
  </si>
  <si>
    <t>ESTRADAS VICINAIS-RECUPERAÇÃO-2,88 KM</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</si>
</sst>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0.00\ %"/>
    <numFmt numFmtId="165" formatCode="#,##0.0000000"/>
    <numFmt numFmtId="166" formatCode="_(&quot;R$ &quot;* #,##0.00_);_(&quot;R$ &quot;* \(#,##0.00\);_(&quot;R$ &quot;* \-??_);_(@_)"/>
    <numFmt numFmtId="167" formatCode="General;General"/>
    <numFmt numFmtId="168" formatCode="#,##0\ %"/>
    <numFmt numFmtId="169" formatCode="0.0000"/>
  </numFmts>
  <fonts count="36" x14ac:knownFonts="1">
    <font>
      <sz val="11"/>
      <name val="Arial"/>
      <family val="1"/>
    </font>
    <font>
      <b/>
      <sz val="11"/>
      <name val="Arial"/>
      <family val="1"/>
    </font>
    <font>
      <b/>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color rgb="FF000000"/>
      <name val="Arial"/>
      <family val="1"/>
    </font>
    <font>
      <sz val="10"/>
      <name val="Arial"/>
      <family val="2"/>
    </font>
    <font>
      <sz val="10"/>
      <name val="Tahoma"/>
      <family val="2"/>
    </font>
    <font>
      <b/>
      <sz val="10"/>
      <name val="Tahoma"/>
      <family val="2"/>
    </font>
    <font>
      <b/>
      <sz val="10"/>
      <color indexed="12"/>
      <name val="Tahoma"/>
      <family val="2"/>
    </font>
    <font>
      <sz val="9"/>
      <name val="Arial"/>
      <family val="2"/>
    </font>
    <font>
      <sz val="11"/>
      <name val="Arial"/>
      <family val="2"/>
    </font>
    <font>
      <b/>
      <sz val="10"/>
      <color indexed="10"/>
      <name val="Tahoma"/>
      <family val="2"/>
    </font>
    <font>
      <sz val="10"/>
      <color indexed="10"/>
      <name val="Tahoma"/>
      <family val="2"/>
    </font>
    <font>
      <i/>
      <sz val="12"/>
      <name val="Calibri"/>
      <family val="2"/>
    </font>
    <font>
      <i/>
      <u/>
      <sz val="12"/>
      <name val="Calibri"/>
      <family val="2"/>
    </font>
    <font>
      <u/>
      <sz val="10"/>
      <name val="Tahoma"/>
      <family val="2"/>
    </font>
    <font>
      <u/>
      <sz val="10"/>
      <name val="Arial"/>
      <family val="2"/>
    </font>
    <font>
      <b/>
      <sz val="10"/>
      <color rgb="FFFFFFFF"/>
      <name val="Tahoma"/>
      <family val="2"/>
    </font>
    <font>
      <b/>
      <sz val="11"/>
      <color rgb="FF000000"/>
      <name val="Arial"/>
      <family val="1"/>
    </font>
    <font>
      <b/>
      <sz val="10"/>
      <color rgb="FF000000"/>
      <name val="Arial"/>
      <family val="2"/>
    </font>
    <font>
      <b/>
      <sz val="11"/>
      <name val="Tahoma"/>
      <family val="2"/>
    </font>
    <font>
      <sz val="11"/>
      <name val="Tahoma"/>
      <family val="2"/>
    </font>
    <font>
      <sz val="11"/>
      <name val="Arial"/>
      <family val="1"/>
    </font>
    <font>
      <i/>
      <sz val="10"/>
      <color rgb="FF000000"/>
      <name val="Arial"/>
      <family val="2"/>
    </font>
    <font>
      <b/>
      <i/>
      <sz val="10"/>
      <color rgb="FF000000"/>
      <name val="Arial"/>
      <family val="2"/>
    </font>
    <font>
      <sz val="10"/>
      <color rgb="FF000000"/>
      <name val="Arial"/>
      <family val="2"/>
    </font>
    <font>
      <b/>
      <sz val="11"/>
      <name val="Arial"/>
      <family val="2"/>
    </font>
    <font>
      <b/>
      <i/>
      <sz val="10"/>
      <name val="Arial"/>
      <family val="2"/>
    </font>
    <font>
      <b/>
      <sz val="10"/>
      <name val="Arial"/>
      <family val="2"/>
    </font>
    <font>
      <b/>
      <sz val="9"/>
      <name val="Tahoma"/>
      <family val="2"/>
    </font>
    <font>
      <sz val="9"/>
      <name val="Tahoma"/>
      <family val="2"/>
    </font>
    <font>
      <b/>
      <sz val="11"/>
      <color rgb="FFFF0000"/>
      <name val="Arial"/>
      <family val="2"/>
    </font>
  </fonts>
  <fills count="24">
    <fill>
      <patternFill patternType="none"/>
    </fill>
    <fill>
      <patternFill patternType="gray125"/>
    </fill>
    <fill>
      <patternFill patternType="solid">
        <fgColor rgb="FFD8ECF6"/>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theme="8" tint="0.79998168889431442"/>
        <bgColor indexed="64"/>
      </patternFill>
    </fill>
    <fill>
      <patternFill patternType="solid">
        <fgColor rgb="FFDFF0D8"/>
      </patternFill>
    </fill>
    <fill>
      <patternFill patternType="solid">
        <fgColor theme="9" tint="0.79998168889431442"/>
        <bgColor indexed="64"/>
      </patternFill>
    </fill>
    <fill>
      <patternFill patternType="solid">
        <fgColor rgb="FFD6D6D6"/>
      </patternFill>
    </fill>
    <fill>
      <patternFill patternType="solid">
        <fgColor rgb="FFEFEFEF"/>
      </patternFill>
    </fill>
    <fill>
      <patternFill patternType="solid">
        <fgColor theme="4" tint="0.59999389629810485"/>
        <bgColor indexed="26"/>
      </patternFill>
    </fill>
    <fill>
      <patternFill patternType="solid">
        <fgColor theme="4" tint="0.59999389629810485"/>
        <bgColor indexed="64"/>
      </patternFill>
    </fill>
    <fill>
      <patternFill patternType="solid">
        <fgColor indexed="22"/>
        <bgColor indexed="44"/>
      </patternFill>
    </fill>
    <fill>
      <patternFill patternType="solid">
        <fgColor indexed="43"/>
        <bgColor indexed="26"/>
      </patternFill>
    </fill>
    <fill>
      <patternFill patternType="solid">
        <fgColor rgb="FFF7F3DF"/>
      </patternFill>
    </fill>
    <fill>
      <patternFill patternType="solid">
        <fgColor theme="3" tint="0.79998168889431442"/>
        <bgColor indexed="64"/>
      </patternFill>
    </fill>
    <fill>
      <patternFill patternType="solid">
        <fgColor indexed="9"/>
        <bgColor indexed="64"/>
      </patternFill>
    </fill>
    <fill>
      <patternFill patternType="solid">
        <fgColor indexed="2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538DD4"/>
      </patternFill>
    </fill>
    <fill>
      <patternFill patternType="solid">
        <fgColor rgb="FFFFFF00"/>
        <bgColor indexed="64"/>
      </patternFill>
    </fill>
  </fills>
  <borders count="48">
    <border>
      <left/>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CCCCCC"/>
      </top>
      <bottom/>
      <diagonal/>
    </border>
    <border>
      <left/>
      <right/>
      <top/>
      <bottom style="thin">
        <color rgb="FFCCCCCC"/>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medium">
        <color indexed="64"/>
      </left>
      <right style="thin">
        <color theme="6" tint="0.39994506668294322"/>
      </right>
      <top style="thin">
        <color theme="6" tint="0.39994506668294322"/>
      </top>
      <bottom style="thin">
        <color theme="6" tint="0.39994506668294322"/>
      </bottom>
      <diagonal/>
    </border>
    <border>
      <left style="thin">
        <color theme="6" tint="0.39994506668294322"/>
      </left>
      <right style="thin">
        <color theme="6" tint="0.39994506668294322"/>
      </right>
      <top style="thin">
        <color theme="6" tint="0.39994506668294322"/>
      </top>
      <bottom style="thin">
        <color theme="6" tint="0.39994506668294322"/>
      </bottom>
      <diagonal/>
    </border>
    <border>
      <left style="thin">
        <color theme="6" tint="0.39994506668294322"/>
      </left>
      <right style="medium">
        <color indexed="64"/>
      </right>
      <top style="thin">
        <color theme="6" tint="0.39994506668294322"/>
      </top>
      <bottom style="thin">
        <color theme="6" tint="0.39994506668294322"/>
      </bottom>
      <diagonal/>
    </border>
    <border>
      <left style="medium">
        <color indexed="64"/>
      </left>
      <right style="thin">
        <color theme="6" tint="0.39994506668294322"/>
      </right>
      <top style="thin">
        <color theme="6" tint="0.39994506668294322"/>
      </top>
      <bottom/>
      <diagonal/>
    </border>
    <border>
      <left style="thin">
        <color theme="6" tint="0.39994506668294322"/>
      </left>
      <right style="thin">
        <color theme="6" tint="0.39994506668294322"/>
      </right>
      <top style="thin">
        <color theme="6" tint="0.39994506668294322"/>
      </top>
      <bottom/>
      <diagonal/>
    </border>
    <border>
      <left style="thin">
        <color theme="6" tint="0.39994506668294322"/>
      </left>
      <right style="medium">
        <color indexed="64"/>
      </right>
      <top style="thin">
        <color theme="6" tint="0.39994506668294322"/>
      </top>
      <bottom/>
      <diagonal/>
    </border>
    <border>
      <left style="medium">
        <color indexed="64"/>
      </left>
      <right style="thin">
        <color theme="6" tint="0.39991454817346722"/>
      </right>
      <top style="thin">
        <color theme="6" tint="0.39991454817346722"/>
      </top>
      <bottom style="thin">
        <color theme="6" tint="0.39991454817346722"/>
      </bottom>
      <diagonal/>
    </border>
    <border>
      <left style="thin">
        <color theme="6" tint="0.39991454817346722"/>
      </left>
      <right style="thin">
        <color theme="6" tint="0.39991454817346722"/>
      </right>
      <top style="thin">
        <color theme="6" tint="0.39991454817346722"/>
      </top>
      <bottom style="thin">
        <color theme="6" tint="0.39991454817346722"/>
      </bottom>
      <diagonal/>
    </border>
    <border>
      <left style="thin">
        <color theme="6" tint="0.39991454817346722"/>
      </left>
      <right style="medium">
        <color indexed="64"/>
      </right>
      <top style="thin">
        <color theme="6" tint="0.39991454817346722"/>
      </top>
      <bottom style="thin">
        <color theme="6" tint="0.39991454817346722"/>
      </bottom>
      <diagonal/>
    </border>
    <border>
      <left style="medium">
        <color indexed="64"/>
      </left>
      <right style="thin">
        <color theme="6" tint="0.39994506668294322"/>
      </right>
      <top/>
      <bottom style="thin">
        <color theme="6" tint="0.39994506668294322"/>
      </bottom>
      <diagonal/>
    </border>
    <border>
      <left style="thin">
        <color theme="6" tint="0.39994506668294322"/>
      </left>
      <right style="thin">
        <color theme="6" tint="0.39994506668294322"/>
      </right>
      <top/>
      <bottom style="thin">
        <color theme="6" tint="0.39994506668294322"/>
      </bottom>
      <diagonal/>
    </border>
    <border>
      <left style="thin">
        <color theme="6" tint="0.39994506668294322"/>
      </left>
      <right style="medium">
        <color indexed="64"/>
      </right>
      <top/>
      <bottom style="thin">
        <color theme="6" tint="0.39994506668294322"/>
      </bottom>
      <diagonal/>
    </border>
    <border>
      <left style="medium">
        <color indexed="64"/>
      </left>
      <right style="thin">
        <color theme="6" tint="0.39991454817346722"/>
      </right>
      <top style="thin">
        <color theme="6" tint="0.39991454817346722"/>
      </top>
      <bottom style="medium">
        <color indexed="64"/>
      </bottom>
      <diagonal/>
    </border>
    <border>
      <left style="thin">
        <color theme="6" tint="0.39991454817346722"/>
      </left>
      <right style="thin">
        <color theme="6" tint="0.39991454817346722"/>
      </right>
      <top style="thin">
        <color theme="6" tint="0.39991454817346722"/>
      </top>
      <bottom style="medium">
        <color indexed="64"/>
      </bottom>
      <diagonal/>
    </border>
    <border>
      <left style="thin">
        <color theme="6" tint="0.39991454817346722"/>
      </left>
      <right style="medium">
        <color indexed="64"/>
      </right>
      <top style="thin">
        <color theme="6" tint="0.39991454817346722"/>
      </top>
      <bottom style="medium">
        <color indexed="64"/>
      </bottom>
      <diagonal/>
    </border>
    <border>
      <left style="thin">
        <color rgb="FFCCCCCC"/>
      </left>
      <right style="thin">
        <color rgb="FFCCCCCC"/>
      </right>
      <top/>
      <bottom/>
      <diagonal/>
    </border>
  </borders>
  <cellStyleXfs count="7">
    <xf numFmtId="0" fontId="0" fillId="0" borderId="0"/>
    <xf numFmtId="0" fontId="9" fillId="0" borderId="0"/>
    <xf numFmtId="0" fontId="13" fillId="0" borderId="0"/>
    <xf numFmtId="166" fontId="9" fillId="0" borderId="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9" fillId="0" borderId="0"/>
  </cellStyleXfs>
  <cellXfs count="344">
    <xf numFmtId="0" fontId="0" fillId="0" borderId="0" xfId="0"/>
    <xf numFmtId="0" fontId="4" fillId="3" borderId="0" xfId="0" applyFont="1" applyFill="1" applyAlignment="1">
      <alignment horizontal="center" vertical="top" wrapText="1"/>
    </xf>
    <xf numFmtId="0" fontId="0" fillId="0" borderId="0" xfId="0"/>
    <xf numFmtId="0" fontId="5" fillId="4" borderId="0" xfId="0" applyFont="1" applyFill="1" applyAlignment="1">
      <alignment horizontal="right" vertical="top" wrapText="1"/>
    </xf>
    <xf numFmtId="4" fontId="6" fillId="5" borderId="0" xfId="0" applyNumberFormat="1" applyFont="1" applyFill="1" applyAlignment="1">
      <alignment horizontal="right" vertical="top" wrapText="1"/>
    </xf>
    <xf numFmtId="0" fontId="0" fillId="0" borderId="0" xfId="0"/>
    <xf numFmtId="0" fontId="3" fillId="6" borderId="0" xfId="0" applyFont="1" applyFill="1" applyAlignment="1">
      <alignment horizontal="left" vertical="top" wrapText="1"/>
    </xf>
    <xf numFmtId="0" fontId="2" fillId="2" borderId="1" xfId="0" applyFont="1" applyFill="1" applyBorder="1" applyAlignment="1">
      <alignment horizontal="right" vertical="top" wrapText="1"/>
    </xf>
    <xf numFmtId="4" fontId="2" fillId="2" borderId="1" xfId="0" applyNumberFormat="1" applyFont="1" applyFill="1" applyBorder="1" applyAlignment="1">
      <alignment horizontal="right" vertical="top" wrapText="1"/>
    </xf>
    <xf numFmtId="164" fontId="2" fillId="2" borderId="1" xfId="0" applyNumberFormat="1" applyFont="1" applyFill="1" applyBorder="1" applyAlignment="1">
      <alignment horizontal="right" vertical="top" wrapText="1"/>
    </xf>
    <xf numFmtId="0" fontId="8" fillId="8" borderId="1" xfId="0" applyFont="1" applyFill="1" applyBorder="1" applyAlignment="1">
      <alignment horizontal="right" vertical="top" wrapText="1"/>
    </xf>
    <xf numFmtId="0" fontId="8" fillId="8" borderId="1" xfId="0" applyFont="1" applyFill="1" applyBorder="1" applyAlignment="1">
      <alignment horizontal="center" vertical="top" wrapText="1"/>
    </xf>
    <xf numFmtId="4" fontId="8" fillId="8" borderId="1" xfId="0" applyNumberFormat="1" applyFont="1" applyFill="1" applyBorder="1" applyAlignment="1">
      <alignment horizontal="right" vertical="top" wrapText="1"/>
    </xf>
    <xf numFmtId="0" fontId="7" fillId="6" borderId="0" xfId="0" applyFont="1" applyFill="1" applyAlignment="1">
      <alignment horizontal="left" vertical="top" wrapText="1"/>
    </xf>
    <xf numFmtId="0" fontId="3" fillId="6" borderId="0" xfId="0" applyFont="1" applyFill="1" applyAlignment="1">
      <alignment vertical="top"/>
    </xf>
    <xf numFmtId="0" fontId="3" fillId="6" borderId="0" xfId="0" applyFont="1" applyFill="1" applyAlignment="1">
      <alignment vertical="top" wrapText="1"/>
    </xf>
    <xf numFmtId="0" fontId="5" fillId="4" borderId="0" xfId="0" applyFont="1" applyFill="1" applyAlignment="1">
      <alignment horizontal="left" vertical="top" wrapText="1"/>
    </xf>
    <xf numFmtId="0" fontId="0" fillId="0" borderId="0" xfId="0" applyAlignment="1">
      <alignment horizontal="left"/>
    </xf>
    <xf numFmtId="0" fontId="4" fillId="3" borderId="0" xfId="0" applyFont="1" applyFill="1" applyAlignment="1">
      <alignment horizontal="left" vertical="top" wrapText="1"/>
    </xf>
    <xf numFmtId="165" fontId="8" fillId="8" borderId="1" xfId="0" applyNumberFormat="1" applyFont="1" applyFill="1" applyBorder="1" applyAlignment="1">
      <alignment horizontal="right" vertical="top" wrapText="1"/>
    </xf>
    <xf numFmtId="0" fontId="7" fillId="10" borderId="1" xfId="0" applyFont="1" applyFill="1" applyBorder="1" applyAlignment="1">
      <alignment horizontal="right" vertical="top" wrapText="1"/>
    </xf>
    <xf numFmtId="0" fontId="7" fillId="10" borderId="1" xfId="0" applyFont="1" applyFill="1" applyBorder="1" applyAlignment="1">
      <alignment horizontal="center" vertical="top" wrapText="1"/>
    </xf>
    <xf numFmtId="165" fontId="7" fillId="10" borderId="1" xfId="0" applyNumberFormat="1" applyFont="1" applyFill="1" applyBorder="1" applyAlignment="1">
      <alignment horizontal="right" vertical="top" wrapText="1"/>
    </xf>
    <xf numFmtId="4" fontId="7" fillId="10" borderId="1" xfId="0" applyNumberFormat="1" applyFont="1" applyFill="1" applyBorder="1" applyAlignment="1">
      <alignment horizontal="right" vertical="top" wrapText="1"/>
    </xf>
    <xf numFmtId="0" fontId="7" fillId="11" borderId="1" xfId="0" applyFont="1" applyFill="1" applyBorder="1" applyAlignment="1">
      <alignment horizontal="right" vertical="top" wrapText="1"/>
    </xf>
    <xf numFmtId="0" fontId="7" fillId="11" borderId="1" xfId="0" applyFont="1" applyFill="1" applyBorder="1" applyAlignment="1">
      <alignment horizontal="center" vertical="top" wrapText="1"/>
    </xf>
    <xf numFmtId="165" fontId="7" fillId="11" borderId="1" xfId="0" applyNumberFormat="1" applyFont="1" applyFill="1" applyBorder="1" applyAlignment="1">
      <alignment horizontal="right" vertical="top" wrapText="1"/>
    </xf>
    <xf numFmtId="4" fontId="7" fillId="11" borderId="1" xfId="0" applyNumberFormat="1" applyFont="1" applyFill="1" applyBorder="1" applyAlignment="1">
      <alignment horizontal="right" vertical="top" wrapText="1"/>
    </xf>
    <xf numFmtId="4" fontId="7" fillId="6" borderId="0" xfId="0" applyNumberFormat="1" applyFont="1" applyFill="1" applyAlignment="1">
      <alignment horizontal="right" vertical="top" wrapText="1"/>
    </xf>
    <xf numFmtId="165" fontId="3" fillId="6" borderId="0" xfId="0" applyNumberFormat="1" applyFont="1" applyFill="1" applyAlignment="1">
      <alignment horizontal="right" vertical="top" wrapText="1"/>
    </xf>
    <xf numFmtId="0" fontId="8" fillId="8" borderId="2" xfId="0" applyFont="1" applyFill="1" applyBorder="1" applyAlignment="1">
      <alignment horizontal="left" vertical="top" wrapText="1"/>
    </xf>
    <xf numFmtId="0" fontId="3" fillId="6" borderId="0" xfId="0" applyFont="1" applyFill="1" applyAlignment="1">
      <alignment horizontal="center" vertical="top" wrapText="1"/>
    </xf>
    <xf numFmtId="0" fontId="10" fillId="0" borderId="0" xfId="1" applyFont="1"/>
    <xf numFmtId="0" fontId="10" fillId="0" borderId="0" xfId="0" applyFont="1"/>
    <xf numFmtId="0" fontId="11" fillId="0" borderId="3" xfId="1" applyFont="1" applyBorder="1"/>
    <xf numFmtId="0" fontId="11" fillId="0" borderId="4" xfId="1" applyFont="1" applyBorder="1"/>
    <xf numFmtId="0" fontId="11" fillId="0" borderId="5" xfId="1" applyFont="1" applyBorder="1"/>
    <xf numFmtId="0" fontId="11" fillId="0" borderId="6" xfId="1" applyFont="1" applyBorder="1"/>
    <xf numFmtId="0" fontId="11" fillId="0" borderId="0" xfId="1" applyFont="1"/>
    <xf numFmtId="0" fontId="11" fillId="0" borderId="7" xfId="1" applyFont="1" applyBorder="1"/>
    <xf numFmtId="0" fontId="11" fillId="0" borderId="8" xfId="1" applyFont="1" applyBorder="1"/>
    <xf numFmtId="0" fontId="11" fillId="0" borderId="9" xfId="1" applyFont="1" applyBorder="1"/>
    <xf numFmtId="0" fontId="11" fillId="0" borderId="10" xfId="1" applyFont="1" applyBorder="1"/>
    <xf numFmtId="0" fontId="11" fillId="0" borderId="11" xfId="1" applyFont="1" applyBorder="1" applyAlignment="1">
      <alignment horizontal="center"/>
    </xf>
    <xf numFmtId="10" fontId="12" fillId="0" borderId="11" xfId="1" applyNumberFormat="1" applyFont="1" applyBorder="1" applyAlignment="1">
      <alignment horizontal="center"/>
    </xf>
    <xf numFmtId="0" fontId="10" fillId="0" borderId="0" xfId="0" applyFont="1" applyAlignment="1">
      <alignment horizontal="center" textRotation="90"/>
    </xf>
    <xf numFmtId="1" fontId="10" fillId="0" borderId="0" xfId="0" applyNumberFormat="1" applyFont="1" applyAlignment="1">
      <alignment horizontal="center" vertical="center"/>
    </xf>
    <xf numFmtId="0" fontId="10" fillId="0" borderId="0" xfId="1" applyFont="1" applyAlignment="1">
      <alignment horizontal="left"/>
    </xf>
    <xf numFmtId="0" fontId="11" fillId="0" borderId="11" xfId="1" applyFont="1" applyBorder="1" applyAlignment="1">
      <alignment horizontal="center" vertical="center" wrapText="1"/>
    </xf>
    <xf numFmtId="0" fontId="14" fillId="0" borderId="11" xfId="1" applyFont="1" applyBorder="1" applyAlignment="1">
      <alignment horizontal="center" vertical="center"/>
    </xf>
    <xf numFmtId="10" fontId="11" fillId="12" borderId="11" xfId="1" applyNumberFormat="1" applyFont="1" applyFill="1" applyBorder="1" applyAlignment="1" applyProtection="1">
      <alignment horizontal="center" vertical="center"/>
      <protection locked="0"/>
    </xf>
    <xf numFmtId="10" fontId="11" fillId="0" borderId="11" xfId="1" applyNumberFormat="1" applyFont="1" applyBorder="1" applyAlignment="1">
      <alignment horizontal="center" vertical="center"/>
    </xf>
    <xf numFmtId="0" fontId="14" fillId="0" borderId="11" xfId="1" applyFont="1" applyBorder="1" applyAlignment="1">
      <alignment horizontal="center" vertical="center" wrapText="1"/>
    </xf>
    <xf numFmtId="0" fontId="10" fillId="14" borderId="11" xfId="1" applyFont="1" applyFill="1" applyBorder="1" applyAlignment="1">
      <alignment horizontal="center" vertical="center" wrapText="1"/>
    </xf>
    <xf numFmtId="10" fontId="11" fillId="14" borderId="11" xfId="1" applyNumberFormat="1" applyFont="1" applyFill="1" applyBorder="1" applyAlignment="1">
      <alignment horizontal="center" vertical="center"/>
    </xf>
    <xf numFmtId="0" fontId="15" fillId="0" borderId="0" xfId="1" applyFont="1" applyAlignment="1">
      <alignment horizontal="right" vertical="center"/>
    </xf>
    <xf numFmtId="0" fontId="10" fillId="0" borderId="0" xfId="1" applyFont="1" applyAlignment="1">
      <alignment horizontal="center" vertical="top"/>
    </xf>
    <xf numFmtId="0" fontId="0" fillId="0" borderId="0" xfId="1" applyFont="1" applyAlignment="1">
      <alignment horizontal="center" vertical="top"/>
    </xf>
    <xf numFmtId="0" fontId="19" fillId="0" borderId="0" xfId="1" applyFont="1" applyAlignment="1">
      <alignment horizontal="center" vertical="top"/>
    </xf>
    <xf numFmtId="0" fontId="20" fillId="0" borderId="0" xfId="1" applyFont="1" applyAlignment="1">
      <alignment horizontal="center" vertical="top"/>
    </xf>
    <xf numFmtId="0" fontId="11" fillId="0" borderId="0" xfId="2" applyFont="1" applyAlignment="1">
      <alignment horizontal="left" vertical="top"/>
    </xf>
    <xf numFmtId="0" fontId="10" fillId="0" borderId="0" xfId="1" applyFont="1" applyAlignment="1">
      <alignment vertical="top"/>
    </xf>
    <xf numFmtId="167" fontId="10" fillId="0" borderId="0" xfId="1" applyNumberFormat="1" applyFont="1"/>
    <xf numFmtId="167" fontId="10" fillId="0" borderId="0" xfId="1" applyNumberFormat="1" applyFont="1" applyAlignment="1">
      <alignment vertical="top"/>
    </xf>
    <xf numFmtId="0" fontId="11" fillId="0" borderId="14" xfId="0" applyFont="1" applyBorder="1"/>
    <xf numFmtId="0" fontId="10" fillId="0" borderId="15" xfId="0" applyFont="1" applyBorder="1"/>
    <xf numFmtId="0" fontId="10" fillId="0" borderId="16" xfId="0" applyFont="1" applyBorder="1"/>
    <xf numFmtId="0" fontId="11" fillId="0" borderId="17" xfId="0" applyFont="1" applyBorder="1"/>
    <xf numFmtId="0" fontId="10" fillId="0" borderId="18" xfId="0" applyFont="1" applyBorder="1"/>
    <xf numFmtId="0" fontId="11" fillId="0" borderId="0" xfId="0" applyFont="1"/>
    <xf numFmtId="0" fontId="11" fillId="0" borderId="18" xfId="0" applyFont="1" applyBorder="1"/>
    <xf numFmtId="0" fontId="0" fillId="0" borderId="0" xfId="0"/>
    <xf numFmtId="0" fontId="3" fillId="6" borderId="0" xfId="0" applyFont="1" applyFill="1" applyAlignment="1">
      <alignment horizontal="left" vertical="top" wrapText="1"/>
    </xf>
    <xf numFmtId="0" fontId="3" fillId="6" borderId="0" xfId="0" applyFont="1" applyFill="1" applyAlignment="1">
      <alignment horizontal="right" vertical="top" wrapText="1"/>
    </xf>
    <xf numFmtId="0" fontId="1" fillId="6" borderId="0" xfId="0" applyFont="1" applyFill="1" applyAlignment="1">
      <alignment horizontal="left" vertical="top" wrapText="1"/>
    </xf>
    <xf numFmtId="0" fontId="7" fillId="10" borderId="1" xfId="0" applyFont="1" applyFill="1" applyBorder="1" applyAlignment="1">
      <alignment horizontal="left" vertical="top" wrapText="1"/>
    </xf>
    <xf numFmtId="0" fontId="7" fillId="6" borderId="0" xfId="0" applyFont="1" applyFill="1" applyAlignment="1">
      <alignment horizontal="right" vertical="top" wrapText="1"/>
    </xf>
    <xf numFmtId="0" fontId="7" fillId="11" borderId="1" xfId="0" applyFont="1" applyFill="1" applyBorder="1" applyAlignment="1">
      <alignment horizontal="left" vertical="top" wrapText="1"/>
    </xf>
    <xf numFmtId="0" fontId="1" fillId="6" borderId="1" xfId="0" applyFont="1" applyFill="1" applyBorder="1" applyAlignment="1">
      <alignment horizontal="right" vertical="top" wrapText="1"/>
    </xf>
    <xf numFmtId="0" fontId="7" fillId="6" borderId="0" xfId="0" applyFont="1" applyFill="1" applyAlignment="1">
      <alignment horizontal="center" vertical="top" wrapText="1"/>
    </xf>
    <xf numFmtId="0" fontId="8" fillId="16" borderId="1" xfId="0" applyFont="1" applyFill="1" applyBorder="1" applyAlignment="1">
      <alignment horizontal="right" vertical="top" wrapText="1"/>
    </xf>
    <xf numFmtId="0" fontId="8" fillId="16" borderId="1" xfId="0" applyFont="1" applyFill="1" applyBorder="1" applyAlignment="1">
      <alignment horizontal="left" vertical="top" wrapText="1"/>
    </xf>
    <xf numFmtId="0" fontId="8" fillId="16" borderId="1" xfId="0" applyFont="1" applyFill="1" applyBorder="1" applyAlignment="1">
      <alignment horizontal="center" vertical="top" wrapText="1"/>
    </xf>
    <xf numFmtId="4" fontId="8" fillId="16" borderId="1" xfId="0" applyNumberFormat="1" applyFont="1" applyFill="1" applyBorder="1" applyAlignment="1">
      <alignment horizontal="right" vertical="top" wrapText="1"/>
    </xf>
    <xf numFmtId="0" fontId="0" fillId="0" borderId="0" xfId="0" applyAlignment="1"/>
    <xf numFmtId="0" fontId="0" fillId="0" borderId="0" xfId="0"/>
    <xf numFmtId="0" fontId="0" fillId="0" borderId="0" xfId="0"/>
    <xf numFmtId="0" fontId="3" fillId="6" borderId="0" xfId="0" applyFont="1" applyFill="1" applyAlignment="1">
      <alignment horizontal="left" vertical="top" wrapText="1"/>
    </xf>
    <xf numFmtId="0" fontId="1" fillId="6" borderId="0" xfId="0" applyFont="1" applyFill="1" applyAlignment="1">
      <alignment horizontal="left" vertical="top" wrapText="1"/>
    </xf>
    <xf numFmtId="0" fontId="2" fillId="2" borderId="1" xfId="0" applyFont="1" applyFill="1" applyBorder="1" applyAlignment="1">
      <alignment horizontal="left" vertical="top" wrapText="1"/>
    </xf>
    <xf numFmtId="0" fontId="1" fillId="6" borderId="1" xfId="0" applyFont="1" applyFill="1" applyBorder="1" applyAlignment="1">
      <alignment horizontal="left" vertical="top" wrapText="1"/>
    </xf>
    <xf numFmtId="0" fontId="1" fillId="4" borderId="0" xfId="0" applyFont="1" applyFill="1" applyAlignment="1">
      <alignment horizontal="left" vertical="top"/>
    </xf>
    <xf numFmtId="4" fontId="22" fillId="2" borderId="1" xfId="0" applyNumberFormat="1" applyFont="1" applyFill="1" applyBorder="1" applyAlignment="1">
      <alignment horizontal="right" vertical="top" wrapText="1"/>
    </xf>
    <xf numFmtId="0" fontId="0" fillId="0" borderId="0" xfId="0"/>
    <xf numFmtId="164" fontId="22" fillId="2" borderId="1" xfId="0" applyNumberFormat="1" applyFont="1" applyFill="1" applyBorder="1" applyAlignment="1">
      <alignment horizontal="right" vertical="top" wrapText="1"/>
    </xf>
    <xf numFmtId="165" fontId="8" fillId="16" borderId="1" xfId="0" applyNumberFormat="1" applyFont="1" applyFill="1" applyBorder="1" applyAlignment="1">
      <alignment horizontal="right" vertical="top" wrapText="1"/>
    </xf>
    <xf numFmtId="0" fontId="24" fillId="0" borderId="0" xfId="0" applyFont="1"/>
    <xf numFmtId="0" fontId="25" fillId="0" borderId="0" xfId="0" applyFont="1"/>
    <xf numFmtId="4" fontId="25" fillId="0" borderId="0" xfId="0" applyNumberFormat="1" applyFont="1" applyAlignment="1">
      <alignment horizontal="center" vertical="center"/>
    </xf>
    <xf numFmtId="0" fontId="1" fillId="6" borderId="0" xfId="0" applyFont="1" applyFill="1" applyAlignment="1">
      <alignment horizontal="left" vertical="top" wrapText="1"/>
    </xf>
    <xf numFmtId="0" fontId="1" fillId="6" borderId="0" xfId="0" applyFont="1" applyFill="1" applyAlignment="1">
      <alignment horizontal="right" vertical="top" wrapText="1"/>
    </xf>
    <xf numFmtId="0" fontId="22" fillId="2" borderId="1" xfId="0" applyFont="1" applyFill="1" applyBorder="1" applyAlignment="1">
      <alignment horizontal="left" vertical="top" wrapText="1"/>
    </xf>
    <xf numFmtId="0" fontId="3" fillId="6" borderId="0" xfId="0" applyFont="1" applyFill="1" applyAlignment="1">
      <alignment horizontal="left" vertical="top" wrapText="1"/>
    </xf>
    <xf numFmtId="0" fontId="1" fillId="6" borderId="1" xfId="0" applyFont="1" applyFill="1" applyBorder="1" applyAlignment="1">
      <alignment horizontal="left" vertical="top" wrapText="1"/>
    </xf>
    <xf numFmtId="0" fontId="3" fillId="6" borderId="0" xfId="0" applyFont="1" applyFill="1" applyAlignment="1">
      <alignment horizontal="right" vertical="top" wrapText="1"/>
    </xf>
    <xf numFmtId="4" fontId="3" fillId="6" borderId="0" xfId="0" applyNumberFormat="1" applyFont="1" applyFill="1" applyAlignment="1">
      <alignment horizontal="right" vertical="top" wrapText="1"/>
    </xf>
    <xf numFmtId="0" fontId="7" fillId="6" borderId="0" xfId="0" applyFont="1" applyFill="1" applyAlignment="1">
      <alignment horizontal="right" vertical="top" wrapText="1"/>
    </xf>
    <xf numFmtId="0" fontId="7" fillId="10" borderId="1" xfId="0" applyFont="1" applyFill="1" applyBorder="1" applyAlignment="1">
      <alignment horizontal="left" vertical="top" wrapText="1"/>
    </xf>
    <xf numFmtId="0" fontId="7" fillId="11" borderId="1" xfId="0" applyFont="1" applyFill="1" applyBorder="1" applyAlignment="1">
      <alignment horizontal="left" vertical="top" wrapText="1"/>
    </xf>
    <xf numFmtId="0" fontId="8" fillId="8"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8" fillId="16" borderId="1" xfId="0" applyFont="1" applyFill="1" applyBorder="1" applyAlignment="1">
      <alignment horizontal="left" vertical="top" wrapText="1"/>
    </xf>
    <xf numFmtId="0" fontId="1" fillId="6" borderId="1" xfId="0" applyFont="1" applyFill="1" applyBorder="1" applyAlignment="1">
      <alignment horizontal="right" vertical="top" wrapText="1"/>
    </xf>
    <xf numFmtId="0" fontId="1" fillId="6" borderId="1" xfId="0" applyFont="1" applyFill="1" applyBorder="1" applyAlignment="1">
      <alignment horizontal="center" vertical="top" wrapText="1"/>
    </xf>
    <xf numFmtId="0" fontId="7" fillId="6" borderId="0" xfId="0" applyFont="1" applyFill="1" applyAlignment="1">
      <alignment horizontal="center" vertical="top" wrapText="1"/>
    </xf>
    <xf numFmtId="0" fontId="0" fillId="6" borderId="0" xfId="0" applyFont="1" applyFill="1" applyAlignment="1">
      <alignment horizontal="center" vertical="top" wrapText="1"/>
    </xf>
    <xf numFmtId="0" fontId="0" fillId="6" borderId="0" xfId="0" applyFont="1" applyFill="1" applyAlignment="1">
      <alignment horizontal="left" vertical="top" wrapText="1"/>
    </xf>
    <xf numFmtId="0" fontId="3" fillId="6" borderId="0" xfId="0" applyFont="1" applyFill="1" applyAlignment="1">
      <alignment horizontal="left" vertical="top" wrapText="1"/>
    </xf>
    <xf numFmtId="0" fontId="0" fillId="0" borderId="0" xfId="0"/>
    <xf numFmtId="0" fontId="1" fillId="6" borderId="1" xfId="0" applyFont="1" applyFill="1" applyBorder="1" applyAlignment="1">
      <alignment horizontal="right" vertical="top" wrapText="1"/>
    </xf>
    <xf numFmtId="0" fontId="1" fillId="6" borderId="1" xfId="0" applyFont="1" applyFill="1" applyBorder="1" applyAlignment="1">
      <alignment horizontal="center" vertical="top" wrapText="1"/>
    </xf>
    <xf numFmtId="0" fontId="23" fillId="8" borderId="1" xfId="0" applyFont="1" applyFill="1" applyBorder="1" applyAlignment="1">
      <alignment horizontal="right" vertical="top" wrapText="1"/>
    </xf>
    <xf numFmtId="4" fontId="23" fillId="8" borderId="1" xfId="0" applyNumberFormat="1" applyFont="1" applyFill="1" applyBorder="1" applyAlignment="1">
      <alignment horizontal="right" vertical="top" wrapText="1"/>
    </xf>
    <xf numFmtId="0" fontId="30" fillId="0" borderId="0" xfId="0" applyFont="1"/>
    <xf numFmtId="0" fontId="30" fillId="0" borderId="0" xfId="0" applyFont="1" applyAlignment="1">
      <alignment horizontal="center"/>
    </xf>
    <xf numFmtId="2" fontId="2" fillId="2" borderId="1" xfId="0" applyNumberFormat="1" applyFont="1" applyFill="1" applyBorder="1" applyAlignment="1">
      <alignment horizontal="right" vertical="top" wrapText="1"/>
    </xf>
    <xf numFmtId="0" fontId="23" fillId="2" borderId="1" xfId="0" applyFont="1" applyFill="1" applyBorder="1" applyAlignment="1">
      <alignment horizontal="left" vertical="top" wrapText="1"/>
    </xf>
    <xf numFmtId="0" fontId="23" fillId="2" borderId="1" xfId="0" applyFont="1" applyFill="1" applyBorder="1" applyAlignment="1">
      <alignment horizontal="right" vertical="top" wrapText="1"/>
    </xf>
    <xf numFmtId="4" fontId="23" fillId="2" borderId="1" xfId="0" applyNumberFormat="1" applyFont="1" applyFill="1" applyBorder="1" applyAlignment="1">
      <alignment horizontal="right" vertical="top" wrapText="1"/>
    </xf>
    <xf numFmtId="168" fontId="30" fillId="6" borderId="0" xfId="0" applyNumberFormat="1" applyFont="1" applyFill="1" applyAlignment="1">
      <alignment horizontal="right" vertical="top" wrapText="1"/>
    </xf>
    <xf numFmtId="17" fontId="0" fillId="0" borderId="0" xfId="0" applyNumberFormat="1"/>
    <xf numFmtId="17" fontId="30" fillId="0" borderId="0" xfId="0" applyNumberFormat="1" applyFont="1"/>
    <xf numFmtId="0" fontId="30" fillId="6" borderId="1" xfId="0" applyFont="1" applyFill="1" applyBorder="1" applyAlignment="1">
      <alignment horizontal="left" vertical="top" wrapText="1"/>
    </xf>
    <xf numFmtId="0" fontId="30" fillId="6" borderId="1" xfId="0" applyFont="1" applyFill="1" applyBorder="1" applyAlignment="1">
      <alignment horizontal="center" vertical="top" wrapText="1"/>
    </xf>
    <xf numFmtId="0" fontId="30" fillId="6" borderId="1" xfId="0" applyFont="1" applyFill="1" applyBorder="1" applyAlignment="1">
      <alignment horizontal="right" vertical="top" wrapText="1"/>
    </xf>
    <xf numFmtId="10" fontId="23" fillId="8" borderId="1" xfId="5" applyNumberFormat="1" applyFont="1" applyFill="1" applyBorder="1" applyAlignment="1">
      <alignment horizontal="right" vertical="top" wrapText="1"/>
    </xf>
    <xf numFmtId="9" fontId="23" fillId="8" borderId="1" xfId="5" applyFont="1" applyFill="1" applyBorder="1" applyAlignment="1">
      <alignment horizontal="right" vertical="top" wrapText="1"/>
    </xf>
    <xf numFmtId="0" fontId="0" fillId="0" borderId="27" xfId="0" applyBorder="1"/>
    <xf numFmtId="0" fontId="30" fillId="0" borderId="27" xfId="0" applyFont="1" applyBorder="1"/>
    <xf numFmtId="2" fontId="7" fillId="6" borderId="0" xfId="0" applyNumberFormat="1" applyFont="1" applyFill="1" applyAlignment="1">
      <alignment horizontal="center" vertical="top" wrapText="1"/>
    </xf>
    <xf numFmtId="0" fontId="0" fillId="0" borderId="0" xfId="0"/>
    <xf numFmtId="0" fontId="0" fillId="0" borderId="0" xfId="0"/>
    <xf numFmtId="0" fontId="22"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left" vertical="top" wrapText="1"/>
    </xf>
    <xf numFmtId="0" fontId="1" fillId="6" borderId="1" xfId="0" applyFont="1" applyFill="1" applyBorder="1" applyAlignment="1">
      <alignment horizontal="right" vertical="top" wrapText="1"/>
    </xf>
    <xf numFmtId="0" fontId="23" fillId="0" borderId="1" xfId="0" applyFont="1" applyFill="1" applyBorder="1" applyAlignment="1">
      <alignment horizontal="left" vertical="top" wrapText="1"/>
    </xf>
    <xf numFmtId="0" fontId="23" fillId="0" borderId="1" xfId="0" applyFont="1" applyFill="1" applyBorder="1" applyAlignment="1">
      <alignment horizontal="right" vertical="top" wrapText="1"/>
    </xf>
    <xf numFmtId="0" fontId="23" fillId="0" borderId="1" xfId="0" applyFont="1" applyFill="1" applyBorder="1" applyAlignment="1">
      <alignment horizontal="center" vertical="top" wrapText="1"/>
    </xf>
    <xf numFmtId="2" fontId="23" fillId="0" borderId="1" xfId="0" applyNumberFormat="1" applyFont="1" applyFill="1" applyBorder="1" applyAlignment="1">
      <alignment horizontal="right" vertical="top" wrapText="1"/>
    </xf>
    <xf numFmtId="4" fontId="23" fillId="0" borderId="1" xfId="0" applyNumberFormat="1" applyFont="1" applyFill="1" applyBorder="1" applyAlignment="1">
      <alignment horizontal="right" vertical="top" wrapText="1"/>
    </xf>
    <xf numFmtId="4" fontId="28" fillId="0" borderId="1" xfId="0" applyNumberFormat="1" applyFont="1" applyFill="1" applyBorder="1" applyAlignment="1">
      <alignment horizontal="right" vertical="top" wrapText="1"/>
    </xf>
    <xf numFmtId="164" fontId="23" fillId="0" borderId="1" xfId="0" applyNumberFormat="1" applyFont="1" applyFill="1" applyBorder="1" applyAlignment="1">
      <alignment horizontal="right" vertical="top" wrapText="1"/>
    </xf>
    <xf numFmtId="2" fontId="32" fillId="0" borderId="1" xfId="0" applyNumberFormat="1" applyFont="1" applyFill="1" applyBorder="1" applyAlignment="1">
      <alignment horizontal="right" vertical="top" wrapText="1"/>
    </xf>
    <xf numFmtId="0" fontId="29" fillId="0" borderId="1" xfId="0" applyFont="1" applyFill="1" applyBorder="1" applyAlignment="1">
      <alignment horizontal="right" vertical="top" wrapText="1"/>
    </xf>
    <xf numFmtId="0" fontId="29" fillId="0" borderId="1" xfId="0" applyFont="1" applyFill="1" applyBorder="1" applyAlignment="1">
      <alignment horizontal="left" vertical="top" wrapText="1"/>
    </xf>
    <xf numFmtId="0" fontId="29" fillId="0" borderId="1" xfId="0" applyFont="1" applyFill="1" applyBorder="1" applyAlignment="1">
      <alignment horizontal="center" vertical="top" wrapText="1"/>
    </xf>
    <xf numFmtId="4" fontId="27" fillId="0" borderId="1" xfId="0" applyNumberFormat="1" applyFont="1" applyFill="1" applyBorder="1" applyAlignment="1">
      <alignment horizontal="right" vertical="top" wrapText="1"/>
    </xf>
    <xf numFmtId="0" fontId="8" fillId="0" borderId="1" xfId="0" applyFont="1" applyFill="1" applyBorder="1" applyAlignment="1">
      <alignment horizontal="right" vertical="top" wrapText="1"/>
    </xf>
    <xf numFmtId="0" fontId="8" fillId="0" borderId="1" xfId="0" applyFont="1" applyFill="1" applyBorder="1" applyAlignment="1">
      <alignment horizontal="center" vertical="top" wrapText="1"/>
    </xf>
    <xf numFmtId="4" fontId="30" fillId="0" borderId="0" xfId="0" applyNumberFormat="1" applyFont="1"/>
    <xf numFmtId="0" fontId="0" fillId="17" borderId="0" xfId="0" applyFill="1"/>
    <xf numFmtId="0" fontId="30" fillId="17" borderId="0" xfId="0" applyFont="1" applyFill="1"/>
    <xf numFmtId="0" fontId="23" fillId="17" borderId="1" xfId="0" applyFont="1" applyFill="1" applyBorder="1" applyAlignment="1">
      <alignment horizontal="left" vertical="top" wrapText="1"/>
    </xf>
    <xf numFmtId="9" fontId="30" fillId="0" borderId="0" xfId="5" applyFont="1"/>
    <xf numFmtId="43" fontId="32" fillId="0" borderId="1" xfId="4" applyNumberFormat="1" applyFont="1" applyFill="1" applyBorder="1" applyAlignment="1">
      <alignment horizontal="right" vertical="top" wrapText="1"/>
    </xf>
    <xf numFmtId="0" fontId="32" fillId="0" borderId="1" xfId="0" applyFont="1" applyFill="1" applyBorder="1" applyAlignment="1">
      <alignment horizontal="right" vertical="top" wrapText="1"/>
    </xf>
    <xf numFmtId="0" fontId="0" fillId="17" borderId="0" xfId="0" applyFill="1" applyAlignment="1">
      <alignment horizontal="center"/>
    </xf>
    <xf numFmtId="0" fontId="2" fillId="0" borderId="1" xfId="0" applyFont="1" applyFill="1" applyBorder="1" applyAlignment="1">
      <alignment horizontal="right"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2" fontId="2" fillId="0" borderId="1" xfId="0" applyNumberFormat="1" applyFont="1" applyFill="1" applyBorder="1" applyAlignment="1">
      <alignment horizontal="right" vertical="top" wrapText="1"/>
    </xf>
    <xf numFmtId="0" fontId="1" fillId="2" borderId="1" xfId="0" applyFont="1" applyFill="1" applyBorder="1" applyAlignment="1">
      <alignment horizontal="left" vertical="top" wrapText="1"/>
    </xf>
    <xf numFmtId="4" fontId="1" fillId="2" borderId="1" xfId="0" applyNumberFormat="1" applyFont="1" applyFill="1" applyBorder="1" applyAlignment="1">
      <alignment horizontal="left" vertical="top" wrapText="1"/>
    </xf>
    <xf numFmtId="0" fontId="30" fillId="0" borderId="27" xfId="0" applyFont="1" applyFill="1" applyBorder="1" applyAlignment="1">
      <alignment horizontal="center" vertical="center"/>
    </xf>
    <xf numFmtId="0" fontId="30" fillId="0" borderId="27" xfId="0" applyFont="1" applyFill="1" applyBorder="1" applyAlignment="1">
      <alignment horizontal="center"/>
    </xf>
    <xf numFmtId="2" fontId="30" fillId="0" borderId="27" xfId="0" applyNumberFormat="1" applyFont="1" applyFill="1" applyBorder="1"/>
    <xf numFmtId="0" fontId="30" fillId="0" borderId="27" xfId="0" applyFont="1" applyFill="1" applyBorder="1"/>
    <xf numFmtId="0" fontId="0" fillId="0" borderId="27" xfId="0" applyFill="1" applyBorder="1"/>
    <xf numFmtId="0" fontId="0" fillId="0" borderId="0" xfId="0" applyFill="1"/>
    <xf numFmtId="0" fontId="0" fillId="0" borderId="0" xfId="0" applyFill="1" applyAlignment="1">
      <alignment horizontal="center"/>
    </xf>
    <xf numFmtId="0" fontId="30" fillId="0" borderId="28" xfId="0" applyFont="1" applyFill="1" applyBorder="1"/>
    <xf numFmtId="2" fontId="30" fillId="0" borderId="28" xfId="0" applyNumberFormat="1" applyFont="1" applyFill="1" applyBorder="1"/>
    <xf numFmtId="0" fontId="11" fillId="0" borderId="29" xfId="0" applyFont="1" applyBorder="1"/>
    <xf numFmtId="0" fontId="11" fillId="18" borderId="0" xfId="0" applyFont="1" applyFill="1" applyBorder="1" applyAlignment="1">
      <alignment vertical="center"/>
    </xf>
    <xf numFmtId="0" fontId="11" fillId="18" borderId="30" xfId="0" applyFont="1" applyFill="1" applyBorder="1" applyAlignment="1">
      <alignment vertical="center"/>
    </xf>
    <xf numFmtId="0" fontId="11" fillId="18" borderId="31" xfId="0" applyFont="1" applyFill="1" applyBorder="1" applyAlignment="1">
      <alignment vertical="center"/>
    </xf>
    <xf numFmtId="0" fontId="10" fillId="0" borderId="0" xfId="0" applyFont="1" applyBorder="1"/>
    <xf numFmtId="49" fontId="33" fillId="19" borderId="0" xfId="6" applyNumberFormat="1" applyFont="1" applyFill="1" applyBorder="1" applyAlignment="1">
      <alignment horizontal="center" vertical="center"/>
    </xf>
    <xf numFmtId="169" fontId="11" fillId="0" borderId="0" xfId="0" applyNumberFormat="1" applyFont="1" applyBorder="1"/>
    <xf numFmtId="0" fontId="11" fillId="0" borderId="36" xfId="0" applyFont="1" applyBorder="1" applyAlignment="1">
      <alignment horizontal="center" vertical="top" wrapText="1"/>
    </xf>
    <xf numFmtId="0" fontId="11" fillId="0" borderId="37" xfId="0" applyFont="1" applyBorder="1" applyAlignment="1">
      <alignment horizontal="center" vertical="top" wrapText="1"/>
    </xf>
    <xf numFmtId="49" fontId="33" fillId="0" borderId="0" xfId="0" applyNumberFormat="1" applyFont="1" applyBorder="1" applyAlignment="1">
      <alignment vertical="top"/>
    </xf>
    <xf numFmtId="4" fontId="11" fillId="0" borderId="0" xfId="0" applyNumberFormat="1" applyFont="1" applyBorder="1"/>
    <xf numFmtId="4" fontId="33" fillId="19" borderId="0" xfId="0" applyNumberFormat="1" applyFont="1" applyFill="1" applyBorder="1" applyAlignment="1">
      <alignment horizontal="right"/>
    </xf>
    <xf numFmtId="0" fontId="10" fillId="0" borderId="38" xfId="0" applyFont="1" applyBorder="1" applyAlignment="1">
      <alignment horizontal="center" vertical="top"/>
    </xf>
    <xf numFmtId="0" fontId="10" fillId="0" borderId="39" xfId="0" applyFont="1" applyBorder="1" applyAlignment="1">
      <alignment horizontal="left" vertical="top"/>
    </xf>
    <xf numFmtId="10" fontId="10" fillId="0" borderId="39" xfId="5" applyNumberFormat="1" applyFont="1" applyBorder="1" applyAlignment="1">
      <alignment horizontal="center" vertical="top"/>
    </xf>
    <xf numFmtId="10" fontId="10" fillId="0" borderId="40" xfId="5" applyNumberFormat="1" applyFont="1" applyBorder="1" applyAlignment="1">
      <alignment horizontal="center" vertical="top"/>
    </xf>
    <xf numFmtId="4" fontId="34" fillId="0" borderId="0" xfId="0" applyNumberFormat="1" applyFont="1" applyBorder="1" applyAlignment="1">
      <alignment horizontal="right"/>
    </xf>
    <xf numFmtId="0" fontId="10" fillId="20" borderId="41" xfId="0" applyFont="1" applyFill="1" applyBorder="1" applyAlignment="1">
      <alignment horizontal="center" vertical="top"/>
    </xf>
    <xf numFmtId="0" fontId="10" fillId="20" borderId="42" xfId="0" applyFont="1" applyFill="1" applyBorder="1" applyAlignment="1">
      <alignment horizontal="left" vertical="top"/>
    </xf>
    <xf numFmtId="10" fontId="10" fillId="20" borderId="42" xfId="5" applyNumberFormat="1" applyFont="1" applyFill="1" applyBorder="1" applyAlignment="1">
      <alignment horizontal="center" vertical="top"/>
    </xf>
    <xf numFmtId="10" fontId="10" fillId="20" borderId="43" xfId="5" applyNumberFormat="1" applyFont="1" applyFill="1" applyBorder="1" applyAlignment="1">
      <alignment horizontal="center" vertical="top"/>
    </xf>
    <xf numFmtId="4" fontId="10" fillId="0" borderId="0" xfId="0" applyNumberFormat="1" applyFont="1" applyBorder="1"/>
    <xf numFmtId="0" fontId="10" fillId="0" borderId="32" xfId="0" applyFont="1" applyBorder="1" applyAlignment="1">
      <alignment horizontal="center" vertical="top"/>
    </xf>
    <xf numFmtId="0" fontId="10" fillId="0" borderId="33" xfId="0" applyFont="1" applyBorder="1" applyAlignment="1">
      <alignment horizontal="left" vertical="top"/>
    </xf>
    <xf numFmtId="10" fontId="10" fillId="0" borderId="33" xfId="5" applyNumberFormat="1" applyFont="1" applyBorder="1" applyAlignment="1">
      <alignment horizontal="center" vertical="top"/>
    </xf>
    <xf numFmtId="10" fontId="10" fillId="0" borderId="34" xfId="5" applyNumberFormat="1" applyFont="1" applyBorder="1" applyAlignment="1">
      <alignment horizontal="center" vertical="top"/>
    </xf>
    <xf numFmtId="0" fontId="10" fillId="20" borderId="32" xfId="0" applyFont="1" applyFill="1" applyBorder="1" applyAlignment="1">
      <alignment horizontal="center" vertical="top"/>
    </xf>
    <xf numFmtId="0" fontId="10" fillId="20" borderId="33" xfId="0" applyFont="1" applyFill="1" applyBorder="1" applyAlignment="1">
      <alignment horizontal="left" vertical="top"/>
    </xf>
    <xf numFmtId="10" fontId="10" fillId="20" borderId="33" xfId="5" applyNumberFormat="1" applyFont="1" applyFill="1" applyBorder="1" applyAlignment="1">
      <alignment horizontal="center" vertical="top"/>
    </xf>
    <xf numFmtId="10" fontId="10" fillId="20" borderId="34" xfId="5" applyNumberFormat="1" applyFont="1" applyFill="1" applyBorder="1" applyAlignment="1">
      <alignment horizontal="center" vertical="top"/>
    </xf>
    <xf numFmtId="0" fontId="11" fillId="13" borderId="32" xfId="0" applyFont="1" applyFill="1" applyBorder="1" applyAlignment="1">
      <alignment horizontal="center" vertical="top"/>
    </xf>
    <xf numFmtId="0" fontId="11" fillId="13" borderId="33" xfId="0" applyFont="1" applyFill="1" applyBorder="1" applyAlignment="1">
      <alignment horizontal="center" vertical="top"/>
    </xf>
    <xf numFmtId="10" fontId="11" fillId="13" borderId="33" xfId="0" applyNumberFormat="1" applyFont="1" applyFill="1" applyBorder="1" applyAlignment="1">
      <alignment horizontal="center" vertical="top"/>
    </xf>
    <xf numFmtId="10" fontId="11" fillId="13" borderId="34" xfId="0" applyNumberFormat="1" applyFont="1" applyFill="1" applyBorder="1" applyAlignment="1">
      <alignment horizontal="center" vertical="top"/>
    </xf>
    <xf numFmtId="4" fontId="10" fillId="0" borderId="0" xfId="0" applyNumberFormat="1" applyFont="1"/>
    <xf numFmtId="4" fontId="33" fillId="21" borderId="0" xfId="0" applyNumberFormat="1" applyFont="1" applyFill="1" applyBorder="1" applyAlignment="1">
      <alignment horizontal="right"/>
    </xf>
    <xf numFmtId="4" fontId="11" fillId="0" borderId="0" xfId="0" applyNumberFormat="1" applyFont="1" applyFill="1" applyBorder="1"/>
    <xf numFmtId="4" fontId="10" fillId="0" borderId="0" xfId="0" applyNumberFormat="1" applyFont="1" applyFill="1" applyBorder="1"/>
    <xf numFmtId="0" fontId="10" fillId="0" borderId="0" xfId="0" applyFont="1" applyFill="1" applyBorder="1"/>
    <xf numFmtId="0" fontId="10" fillId="0" borderId="0" xfId="0" applyFont="1" applyFill="1"/>
    <xf numFmtId="4" fontId="33" fillId="0" borderId="0" xfId="0" applyNumberFormat="1" applyFont="1" applyFill="1" applyBorder="1" applyAlignment="1">
      <alignment horizontal="right"/>
    </xf>
    <xf numFmtId="0" fontId="10" fillId="20" borderId="33" xfId="0" applyFont="1" applyFill="1" applyBorder="1" applyAlignment="1">
      <alignment horizontal="left" vertical="top" wrapText="1"/>
    </xf>
    <xf numFmtId="0" fontId="11" fillId="13" borderId="35" xfId="0" applyFont="1" applyFill="1" applyBorder="1" applyAlignment="1">
      <alignment horizontal="center" vertical="top"/>
    </xf>
    <xf numFmtId="0" fontId="11" fillId="13" borderId="36" xfId="0" applyFont="1" applyFill="1" applyBorder="1" applyAlignment="1">
      <alignment horizontal="center" vertical="top"/>
    </xf>
    <xf numFmtId="10" fontId="11" fillId="13" borderId="36" xfId="0" applyNumberFormat="1" applyFont="1" applyFill="1" applyBorder="1" applyAlignment="1">
      <alignment horizontal="center" vertical="top"/>
    </xf>
    <xf numFmtId="10" fontId="11" fillId="13" borderId="37" xfId="0" applyNumberFormat="1" applyFont="1" applyFill="1" applyBorder="1" applyAlignment="1">
      <alignment horizontal="center" vertical="top"/>
    </xf>
    <xf numFmtId="10" fontId="21" fillId="22" borderId="45" xfId="0" applyNumberFormat="1" applyFont="1" applyFill="1" applyBorder="1" applyAlignment="1">
      <alignment horizontal="center" vertical="top"/>
    </xf>
    <xf numFmtId="10" fontId="21" fillId="22" borderId="46" xfId="0" applyNumberFormat="1" applyFont="1" applyFill="1" applyBorder="1" applyAlignment="1">
      <alignment horizontal="center" vertical="top"/>
    </xf>
    <xf numFmtId="4" fontId="33" fillId="0" borderId="0" xfId="0" applyNumberFormat="1" applyFont="1" applyBorder="1" applyAlignment="1">
      <alignment horizontal="right"/>
    </xf>
    <xf numFmtId="0" fontId="2" fillId="2" borderId="22" xfId="0" applyFont="1" applyFill="1" applyBorder="1" applyAlignment="1">
      <alignment horizontal="left" vertical="top" wrapText="1"/>
    </xf>
    <xf numFmtId="4" fontId="2" fillId="2" borderId="22" xfId="0" applyNumberFormat="1" applyFont="1" applyFill="1" applyBorder="1" applyAlignment="1">
      <alignment horizontal="right" vertical="top" wrapText="1"/>
    </xf>
    <xf numFmtId="0" fontId="2" fillId="2" borderId="0" xfId="0" applyFont="1" applyFill="1" applyBorder="1" applyAlignment="1">
      <alignment horizontal="right" vertical="top" wrapText="1"/>
    </xf>
    <xf numFmtId="0" fontId="3" fillId="6" borderId="0" xfId="0" applyFont="1" applyFill="1" applyBorder="1" applyAlignment="1">
      <alignment horizontal="right" vertical="top" wrapText="1"/>
    </xf>
    <xf numFmtId="43" fontId="23" fillId="8" borderId="1" xfId="4" applyFont="1" applyFill="1" applyBorder="1" applyAlignment="1">
      <alignment horizontal="right" vertical="top" wrapText="1"/>
    </xf>
    <xf numFmtId="43" fontId="23" fillId="0" borderId="1" xfId="4" applyFont="1" applyFill="1" applyBorder="1" applyAlignment="1">
      <alignment horizontal="center" vertical="top" wrapText="1"/>
    </xf>
    <xf numFmtId="0" fontId="1" fillId="6" borderId="47" xfId="0" applyFont="1" applyFill="1" applyBorder="1" applyAlignment="1">
      <alignment horizontal="right" vertical="top" wrapText="1"/>
    </xf>
    <xf numFmtId="4" fontId="0" fillId="0" borderId="0" xfId="0" applyNumberFormat="1"/>
    <xf numFmtId="0" fontId="3" fillId="6" borderId="22" xfId="0" applyFont="1" applyFill="1" applyBorder="1" applyAlignment="1">
      <alignment vertical="top"/>
    </xf>
    <xf numFmtId="10" fontId="3" fillId="6" borderId="22" xfId="5" applyNumberFormat="1" applyFont="1" applyFill="1" applyBorder="1" applyAlignment="1">
      <alignment vertical="top"/>
    </xf>
    <xf numFmtId="0" fontId="3" fillId="6" borderId="22" xfId="0" applyFont="1" applyFill="1" applyBorder="1" applyAlignment="1">
      <alignment vertical="top" wrapText="1"/>
    </xf>
    <xf numFmtId="4" fontId="3" fillId="6" borderId="22" xfId="0" applyNumberFormat="1" applyFont="1" applyFill="1" applyBorder="1" applyAlignment="1">
      <alignment vertical="top" wrapText="1"/>
    </xf>
    <xf numFmtId="4" fontId="3" fillId="6" borderId="0" xfId="0" applyNumberFormat="1" applyFont="1" applyFill="1" applyBorder="1" applyAlignment="1">
      <alignment horizontal="right" vertical="top" wrapText="1"/>
    </xf>
    <xf numFmtId="10" fontId="3" fillId="6" borderId="22" xfId="0" applyNumberFormat="1" applyFont="1" applyFill="1" applyBorder="1" applyAlignment="1">
      <alignment vertical="top" wrapText="1"/>
    </xf>
    <xf numFmtId="10" fontId="3" fillId="6" borderId="0" xfId="0" applyNumberFormat="1" applyFont="1" applyFill="1" applyBorder="1" applyAlignment="1">
      <alignment horizontal="right" vertical="top" wrapText="1"/>
    </xf>
    <xf numFmtId="2" fontId="23" fillId="13" borderId="1" xfId="0" applyNumberFormat="1" applyFont="1" applyFill="1" applyBorder="1" applyAlignment="1">
      <alignment horizontal="right" vertical="top" wrapText="1"/>
    </xf>
    <xf numFmtId="0" fontId="23" fillId="13" borderId="1" xfId="0" applyFont="1" applyFill="1" applyBorder="1" applyAlignment="1">
      <alignment horizontal="right" vertical="top" wrapText="1"/>
    </xf>
    <xf numFmtId="43" fontId="23" fillId="13" borderId="1" xfId="4" applyNumberFormat="1" applyFont="1" applyFill="1" applyBorder="1" applyAlignment="1">
      <alignment horizontal="right" vertical="top" wrapText="1"/>
    </xf>
    <xf numFmtId="0" fontId="2" fillId="2" borderId="1" xfId="0" applyFont="1" applyFill="1" applyBorder="1" applyAlignment="1">
      <alignment horizontal="left" vertical="top" wrapText="1"/>
    </xf>
    <xf numFmtId="43" fontId="23" fillId="0" borderId="1" xfId="4" applyFont="1" applyFill="1" applyBorder="1" applyAlignment="1">
      <alignment horizontal="right" vertical="top" wrapText="1"/>
    </xf>
    <xf numFmtId="10" fontId="23" fillId="0" borderId="1" xfId="5" applyNumberFormat="1" applyFont="1" applyFill="1" applyBorder="1" applyAlignment="1">
      <alignment horizontal="right" vertical="top" wrapText="1"/>
    </xf>
    <xf numFmtId="10" fontId="23" fillId="0" borderId="1" xfId="0" applyNumberFormat="1" applyFont="1" applyFill="1" applyBorder="1" applyAlignment="1">
      <alignment horizontal="right" vertical="top"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left" vertical="top" wrapText="1"/>
    </xf>
    <xf numFmtId="0" fontId="23" fillId="0" borderId="1" xfId="0" applyFont="1" applyFill="1" applyBorder="1" applyAlignment="1">
      <alignment vertical="top" wrapText="1"/>
    </xf>
    <xf numFmtId="0" fontId="35" fillId="0" borderId="27" xfId="0" applyFont="1" applyFill="1" applyBorder="1"/>
    <xf numFmtId="0" fontId="22" fillId="2" borderId="0" xfId="0" applyFont="1" applyFill="1" applyBorder="1" applyAlignment="1">
      <alignment horizontal="left" vertical="top" wrapText="1"/>
    </xf>
    <xf numFmtId="4" fontId="1" fillId="2" borderId="0" xfId="0" applyNumberFormat="1" applyFont="1" applyFill="1" applyBorder="1" applyAlignment="1">
      <alignment horizontal="left" vertical="top" wrapText="1"/>
    </xf>
    <xf numFmtId="0" fontId="1" fillId="2" borderId="0" xfId="0" applyFont="1" applyFill="1" applyBorder="1" applyAlignment="1">
      <alignment horizontal="left" vertical="top" wrapText="1"/>
    </xf>
    <xf numFmtId="4" fontId="22" fillId="2" borderId="0" xfId="0" applyNumberFormat="1" applyFont="1" applyFill="1" applyBorder="1" applyAlignment="1">
      <alignment horizontal="right" vertical="top" wrapText="1"/>
    </xf>
    <xf numFmtId="0" fontId="0" fillId="0" borderId="0" xfId="0"/>
    <xf numFmtId="0" fontId="0" fillId="0" borderId="0" xfId="0"/>
    <xf numFmtId="0" fontId="30" fillId="23" borderId="27" xfId="0" applyFont="1" applyFill="1" applyBorder="1"/>
    <xf numFmtId="0" fontId="30" fillId="23" borderId="27" xfId="0" applyFont="1" applyFill="1" applyBorder="1" applyAlignment="1">
      <alignment horizontal="center"/>
    </xf>
    <xf numFmtId="2" fontId="30" fillId="23" borderId="27" xfId="0" applyNumberFormat="1" applyFont="1" applyFill="1" applyBorder="1"/>
    <xf numFmtId="0" fontId="30" fillId="23" borderId="27" xfId="0" applyFont="1" applyFill="1" applyBorder="1" applyAlignment="1">
      <alignment horizontal="center" vertical="center"/>
    </xf>
    <xf numFmtId="0" fontId="30" fillId="23" borderId="27" xfId="0" applyFont="1" applyFill="1" applyBorder="1" applyAlignment="1">
      <alignment horizontal="left" vertical="center"/>
    </xf>
    <xf numFmtId="0" fontId="30" fillId="23" borderId="27" xfId="0" applyFont="1" applyFill="1" applyBorder="1" applyAlignment="1">
      <alignment horizontal="left"/>
    </xf>
    <xf numFmtId="0" fontId="22" fillId="2" borderId="24" xfId="0" applyFont="1" applyFill="1" applyBorder="1" applyAlignment="1">
      <alignment horizontal="center" vertical="top" wrapText="1"/>
    </xf>
    <xf numFmtId="0" fontId="22" fillId="2" borderId="25" xfId="0" applyFont="1" applyFill="1" applyBorder="1" applyAlignment="1">
      <alignment horizontal="center" vertical="top" wrapText="1"/>
    </xf>
    <xf numFmtId="0" fontId="22" fillId="2" borderId="26" xfId="0" applyFont="1" applyFill="1" applyBorder="1" applyAlignment="1">
      <alignment horizontal="center" vertical="top" wrapText="1"/>
    </xf>
    <xf numFmtId="0" fontId="1" fillId="6" borderId="0" xfId="0" applyFont="1" applyFill="1" applyAlignment="1">
      <alignment horizontal="left" vertical="top" wrapText="1"/>
    </xf>
    <xf numFmtId="0" fontId="1" fillId="6" borderId="0" xfId="0" applyFont="1" applyFill="1" applyAlignment="1">
      <alignment horizontal="right" vertical="top" wrapText="1"/>
    </xf>
    <xf numFmtId="4" fontId="1" fillId="6" borderId="0" xfId="0" applyNumberFormat="1" applyFont="1" applyFill="1" applyAlignment="1">
      <alignment horizontal="right" vertical="top" wrapText="1"/>
    </xf>
    <xf numFmtId="4" fontId="1" fillId="6" borderId="0" xfId="0" applyNumberFormat="1" applyFont="1" applyFill="1" applyAlignment="1">
      <alignment horizontal="left" vertical="top" wrapText="1"/>
    </xf>
    <xf numFmtId="0" fontId="1" fillId="6" borderId="1" xfId="0" applyFont="1" applyFill="1" applyBorder="1" applyAlignment="1">
      <alignment horizontal="left" vertical="top" wrapText="1"/>
    </xf>
    <xf numFmtId="0" fontId="22" fillId="2" borderId="1" xfId="0" applyFont="1" applyFill="1" applyBorder="1" applyAlignment="1">
      <alignment horizontal="left" vertical="top" wrapText="1"/>
    </xf>
    <xf numFmtId="0" fontId="1" fillId="6" borderId="0" xfId="0" applyFont="1" applyFill="1" applyAlignment="1">
      <alignment horizontal="center" wrapText="1"/>
    </xf>
    <xf numFmtId="0" fontId="0" fillId="0" borderId="0" xfId="0" applyFont="1"/>
    <xf numFmtId="0" fontId="0" fillId="0" borderId="0" xfId="0"/>
    <xf numFmtId="0" fontId="3" fillId="9" borderId="0" xfId="0" applyFont="1" applyFill="1" applyAlignment="1">
      <alignment horizontal="center" vertical="top" wrapText="1"/>
    </xf>
    <xf numFmtId="0" fontId="3" fillId="6" borderId="0" xfId="0" applyFont="1" applyFill="1" applyAlignment="1">
      <alignment horizontal="left" vertical="top" wrapText="1"/>
    </xf>
    <xf numFmtId="4" fontId="3" fillId="6" borderId="0" xfId="0" applyNumberFormat="1" applyFont="1" applyFill="1" applyAlignment="1">
      <alignment horizontal="left" vertical="top" wrapText="1"/>
    </xf>
    <xf numFmtId="0" fontId="31" fillId="6" borderId="0" xfId="0" applyFont="1" applyFill="1" applyAlignment="1">
      <alignment horizontal="left" vertical="top" wrapText="1"/>
    </xf>
    <xf numFmtId="0" fontId="3" fillId="6" borderId="0" xfId="0" applyFont="1" applyFill="1" applyAlignment="1">
      <alignment horizontal="right" vertical="top" wrapText="1"/>
    </xf>
    <xf numFmtId="4" fontId="3" fillId="6" borderId="0" xfId="0" applyNumberFormat="1" applyFont="1" applyFill="1" applyAlignment="1">
      <alignment horizontal="right" vertical="top" wrapText="1"/>
    </xf>
    <xf numFmtId="0" fontId="23" fillId="8" borderId="24" xfId="0" applyFont="1" applyFill="1" applyBorder="1" applyAlignment="1">
      <alignment horizontal="center" vertical="top" wrapText="1"/>
    </xf>
    <xf numFmtId="0" fontId="23" fillId="8" borderId="25" xfId="0" applyFont="1" applyFill="1" applyBorder="1" applyAlignment="1">
      <alignment horizontal="center" vertical="top" wrapText="1"/>
    </xf>
    <xf numFmtId="0" fontId="23" fillId="8" borderId="26" xfId="0" applyFont="1" applyFill="1" applyBorder="1" applyAlignment="1">
      <alignment horizontal="center" vertical="top" wrapText="1"/>
    </xf>
    <xf numFmtId="0" fontId="3" fillId="7" borderId="0" xfId="0" applyFont="1" applyFill="1" applyAlignment="1">
      <alignment horizontal="center" vertical="top" wrapText="1"/>
    </xf>
    <xf numFmtId="0" fontId="3" fillId="6" borderId="22" xfId="0" applyFont="1" applyFill="1" applyBorder="1" applyAlignment="1">
      <alignment horizontal="right" vertical="top" wrapText="1"/>
    </xf>
    <xf numFmtId="0" fontId="7" fillId="6" borderId="0" xfId="0" applyFont="1" applyFill="1" applyAlignment="1">
      <alignment horizontal="right" vertical="top" wrapText="1"/>
    </xf>
    <xf numFmtId="0" fontId="7" fillId="10" borderId="1" xfId="0" applyFont="1" applyFill="1" applyBorder="1" applyAlignment="1">
      <alignment horizontal="left" vertical="top" wrapText="1"/>
    </xf>
    <xf numFmtId="0" fontId="7" fillId="11" borderId="1" xfId="0" applyFont="1" applyFill="1" applyBorder="1" applyAlignment="1">
      <alignment horizontal="left" vertical="top" wrapText="1"/>
    </xf>
    <xf numFmtId="0" fontId="8" fillId="8"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8" fillId="16" borderId="1" xfId="0" applyFont="1" applyFill="1" applyBorder="1" applyAlignment="1">
      <alignment horizontal="left" vertical="top" wrapText="1"/>
    </xf>
    <xf numFmtId="0" fontId="1" fillId="6" borderId="1" xfId="0" applyFont="1" applyFill="1" applyBorder="1" applyAlignment="1">
      <alignment horizontal="right" vertical="top" wrapText="1"/>
    </xf>
    <xf numFmtId="0" fontId="1" fillId="6" borderId="1" xfId="0" applyFont="1" applyFill="1" applyBorder="1" applyAlignment="1">
      <alignment horizontal="center" vertical="top" wrapText="1"/>
    </xf>
    <xf numFmtId="0" fontId="7" fillId="6" borderId="0" xfId="0" applyFont="1" applyFill="1" applyAlignment="1">
      <alignment horizontal="center" vertical="top" wrapText="1"/>
    </xf>
    <xf numFmtId="0" fontId="1" fillId="6" borderId="23" xfId="0" applyFont="1" applyFill="1" applyBorder="1" applyAlignment="1">
      <alignment horizontal="center" wrapText="1"/>
    </xf>
    <xf numFmtId="0" fontId="11" fillId="0" borderId="12" xfId="2" applyFont="1" applyBorder="1" applyAlignment="1">
      <alignment horizontal="left" vertical="top"/>
    </xf>
    <xf numFmtId="0" fontId="10" fillId="0" borderId="11" xfId="1" applyFont="1" applyBorder="1" applyAlignment="1">
      <alignment horizontal="left" wrapText="1"/>
    </xf>
    <xf numFmtId="10" fontId="11" fillId="12" borderId="11" xfId="1" applyNumberFormat="1" applyFont="1" applyFill="1" applyBorder="1" applyAlignment="1" applyProtection="1">
      <alignment horizontal="center"/>
      <protection locked="0"/>
    </xf>
    <xf numFmtId="0" fontId="10" fillId="0" borderId="11" xfId="1" applyFont="1" applyBorder="1" applyAlignment="1">
      <alignment horizontal="left"/>
    </xf>
    <xf numFmtId="0" fontId="11" fillId="0" borderId="11" xfId="1" applyFont="1" applyBorder="1" applyAlignment="1">
      <alignment horizontal="center"/>
    </xf>
    <xf numFmtId="0" fontId="0" fillId="0" borderId="11" xfId="1" applyFont="1" applyBorder="1" applyAlignment="1">
      <alignment horizontal="center" vertical="center" wrapText="1"/>
    </xf>
    <xf numFmtId="166" fontId="11" fillId="13" borderId="13" xfId="3" applyFont="1" applyFill="1" applyBorder="1" applyAlignment="1" applyProtection="1">
      <alignment horizontal="left"/>
      <protection locked="0"/>
    </xf>
    <xf numFmtId="0" fontId="11" fillId="0" borderId="11" xfId="1" applyFont="1" applyBorder="1" applyAlignment="1">
      <alignment horizontal="center" vertical="center"/>
    </xf>
    <xf numFmtId="4" fontId="11" fillId="0" borderId="11" xfId="1" applyNumberFormat="1" applyFont="1" applyBorder="1" applyAlignment="1">
      <alignment horizontal="center" vertical="center" wrapText="1"/>
    </xf>
    <xf numFmtId="0" fontId="11" fillId="14" borderId="11" xfId="1" applyFont="1" applyFill="1" applyBorder="1" applyAlignment="1">
      <alignment horizontal="center" vertical="center" wrapText="1"/>
    </xf>
    <xf numFmtId="0" fontId="16" fillId="0" borderId="0" xfId="1" applyFont="1" applyAlignment="1">
      <alignment horizontal="left" vertical="center" indent="1"/>
    </xf>
    <xf numFmtId="0" fontId="10" fillId="0" borderId="0" xfId="1" applyFont="1" applyAlignment="1">
      <alignment horizontal="center" vertical="center"/>
    </xf>
    <xf numFmtId="0" fontId="17" fillId="0" borderId="0" xfId="0" applyFont="1" applyAlignment="1">
      <alignment horizontal="right" vertical="center"/>
    </xf>
    <xf numFmtId="0" fontId="18" fillId="0" borderId="0" xfId="0" applyFont="1" applyAlignment="1">
      <alignment horizontal="center"/>
    </xf>
    <xf numFmtId="0" fontId="17" fillId="0" borderId="0" xfId="0" applyFont="1" applyAlignment="1">
      <alignment horizontal="left" vertical="center"/>
    </xf>
    <xf numFmtId="0" fontId="17" fillId="0" borderId="0" xfId="0" applyFont="1" applyAlignment="1">
      <alignment horizontal="center" vertical="top"/>
    </xf>
    <xf numFmtId="0" fontId="10" fillId="0" borderId="11" xfId="1" applyFont="1" applyBorder="1" applyAlignment="1">
      <alignment horizontal="left" vertical="center" wrapText="1"/>
    </xf>
    <xf numFmtId="49" fontId="10" fillId="15" borderId="11" xfId="1" applyNumberFormat="1" applyFont="1" applyFill="1" applyBorder="1" applyAlignment="1" applyProtection="1">
      <alignment horizontal="left" vertical="top" wrapText="1"/>
      <protection locked="0"/>
    </xf>
    <xf numFmtId="0" fontId="11" fillId="0" borderId="0" xfId="1" applyFont="1" applyAlignment="1">
      <alignment horizontal="left" vertical="center"/>
    </xf>
    <xf numFmtId="0" fontId="10" fillId="0" borderId="4" xfId="1" applyFont="1" applyBorder="1" applyAlignment="1">
      <alignment horizontal="left" vertical="center"/>
    </xf>
    <xf numFmtId="0" fontId="11" fillId="0" borderId="19" xfId="0" applyFont="1" applyBorder="1" applyAlignment="1">
      <alignment horizontal="left"/>
    </xf>
    <xf numFmtId="0" fontId="11" fillId="0" borderId="20" xfId="0" applyFont="1" applyBorder="1" applyAlignment="1">
      <alignment horizontal="left"/>
    </xf>
    <xf numFmtId="0" fontId="11" fillId="0" borderId="21" xfId="0" applyFont="1" applyBorder="1" applyAlignment="1">
      <alignment horizontal="left"/>
    </xf>
    <xf numFmtId="0" fontId="11" fillId="0" borderId="32" xfId="0" applyFont="1" applyBorder="1" applyAlignment="1">
      <alignment horizontal="left" wrapText="1"/>
    </xf>
    <xf numFmtId="0" fontId="11" fillId="0" borderId="35" xfId="0" applyFont="1" applyBorder="1" applyAlignment="1">
      <alignment horizontal="left" wrapText="1"/>
    </xf>
    <xf numFmtId="0" fontId="11" fillId="0" borderId="33" xfId="0" applyFont="1" applyBorder="1" applyAlignment="1">
      <alignment horizontal="left" wrapText="1"/>
    </xf>
    <xf numFmtId="0" fontId="11" fillId="0" borderId="36" xfId="0" applyFont="1" applyBorder="1" applyAlignment="1">
      <alignment horizontal="left" wrapText="1"/>
    </xf>
    <xf numFmtId="0" fontId="11" fillId="13" borderId="33" xfId="0" applyFont="1" applyFill="1" applyBorder="1" applyAlignment="1">
      <alignment horizontal="center" vertical="top"/>
    </xf>
    <xf numFmtId="0" fontId="11" fillId="13" borderId="34" xfId="0" applyFont="1" applyFill="1" applyBorder="1" applyAlignment="1">
      <alignment horizontal="center" vertical="top"/>
    </xf>
    <xf numFmtId="0" fontId="11" fillId="13" borderId="32" xfId="0" applyFont="1" applyFill="1" applyBorder="1" applyAlignment="1">
      <alignment horizontal="center" vertical="top"/>
    </xf>
    <xf numFmtId="0" fontId="21" fillId="22" borderId="44" xfId="0" applyFont="1" applyFill="1" applyBorder="1" applyAlignment="1">
      <alignment horizontal="center" vertical="top"/>
    </xf>
    <xf numFmtId="0" fontId="21" fillId="22" borderId="45" xfId="0" applyFont="1" applyFill="1" applyBorder="1" applyAlignment="1">
      <alignment horizontal="center" vertical="top"/>
    </xf>
    <xf numFmtId="0" fontId="11" fillId="13" borderId="38" xfId="0" applyFont="1" applyFill="1" applyBorder="1" applyAlignment="1">
      <alignment horizontal="center" vertical="top"/>
    </xf>
    <xf numFmtId="0" fontId="11" fillId="13" borderId="39" xfId="0" applyFont="1" applyFill="1" applyBorder="1" applyAlignment="1">
      <alignment horizontal="center" vertical="top"/>
    </xf>
    <xf numFmtId="0" fontId="11" fillId="13" borderId="40" xfId="0" applyFont="1" applyFill="1" applyBorder="1" applyAlignment="1">
      <alignment horizontal="center" vertical="top"/>
    </xf>
  </cellXfs>
  <cellStyles count="7">
    <cellStyle name="Moeda_Composicao BDI v2.1" xfId="3"/>
    <cellStyle name="Normal" xfId="0" builtinId="0"/>
    <cellStyle name="Normal 2" xfId="1"/>
    <cellStyle name="Normal_FICHA DE VERIFICAÇÃO PRELIMINAR - Plano R" xfId="2"/>
    <cellStyle name="Normal_RESUMO REDE DE DISTRIBUIÇÃO 4" xfId="6"/>
    <cellStyle name="Porcentagem" xfId="5" builtinId="5"/>
    <cellStyle name="Vírgula" xfId="4" builtinId="3"/>
  </cellStyles>
  <dxfs count="2">
    <dxf>
      <font>
        <b/>
        <i val="0"/>
        <condense val="0"/>
        <extend val="0"/>
      </font>
    </dxf>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0</xdr:colOff>
      <xdr:row>4</xdr:row>
      <xdr:rowOff>0</xdr:rowOff>
    </xdr:from>
    <xdr:ext cx="1333500" cy="695325"/>
    <xdr:pic>
      <xdr:nvPicPr>
        <xdr:cNvPr id="2" name="Imagem 1">
          <a:extLst>
            <a:ext uri="{FF2B5EF4-FFF2-40B4-BE49-F238E27FC236}">
              <a16:creationId xmlns:a16="http://schemas.microsoft.com/office/drawing/2014/main" xmlns=""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idraserver\Server-Dados\PROJETOS\PROJETOS%202019\SES-Magalh&#227;es%20de%20Almeida%20-%20Acervo%20Codevasf\BD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idraserver\Dados\Users\Thiago\AppData\Roaming\Microsoft\Suplementos\VExtenso.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efreshError="1"/>
      <sheetData sheetId="2" refreshError="1"/>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VExtenso"/>
    </sheetNames>
    <definedNames>
      <definedName name="VExtenso"/>
    </definedNames>
    <sheetDataSet>
      <sheetData sheetId="0"/>
      <sheetData sheetId="1"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20"/>
  <sheetViews>
    <sheetView tabSelected="1" showOutlineSymbols="0" view="pageBreakPreview" zoomScaleNormal="100" zoomScaleSheetLayoutView="100" workbookViewId="0">
      <selection activeCell="A7" sqref="A7:I7"/>
    </sheetView>
  </sheetViews>
  <sheetFormatPr defaultRowHeight="14.25" x14ac:dyDescent="0.2"/>
  <cols>
    <col min="1" max="1" width="19.25" customWidth="1"/>
    <col min="2" max="2" width="69.125" customWidth="1"/>
    <col min="3" max="3" width="30" customWidth="1"/>
    <col min="4" max="4" width="5" customWidth="1"/>
    <col min="5" max="7" width="10" bestFit="1" customWidth="1"/>
    <col min="8" max="8" width="14.125" customWidth="1"/>
    <col min="9" max="9" width="34.5" customWidth="1"/>
  </cols>
  <sheetData>
    <row r="1" spans="1:9" s="2" customFormat="1" ht="15" x14ac:dyDescent="0.2">
      <c r="A1" s="91" t="str">
        <f>'PO-Sintético'!A1</f>
        <v>EMPREENDEDOR: PREFEITURA MUNICIPAL DE CENTRO DO GUILHERME-MA</v>
      </c>
      <c r="B1" s="17"/>
      <c r="C1" s="1"/>
      <c r="D1" s="3"/>
      <c r="E1" s="3"/>
      <c r="F1" s="3"/>
      <c r="G1" s="3"/>
      <c r="I1" s="4"/>
    </row>
    <row r="2" spans="1:9" s="2" customFormat="1" ht="14.25" customHeight="1" x14ac:dyDescent="0.2">
      <c r="A2" s="91" t="str">
        <f>'PO-Sintético'!A2</f>
        <v>OBJETO : ESTRADAS VICINAIS-RECUPERAÇÃO</v>
      </c>
      <c r="B2" s="18"/>
      <c r="C2" s="1"/>
      <c r="D2" s="1"/>
      <c r="E2" s="1"/>
      <c r="F2" s="1"/>
      <c r="G2" s="1"/>
      <c r="H2" s="1"/>
      <c r="I2" s="4"/>
    </row>
    <row r="3" spans="1:9" s="2" customFormat="1" ht="14.25" customHeight="1" x14ac:dyDescent="0.2">
      <c r="A3" s="91" t="str">
        <f>'PO-Sintético'!A3</f>
        <v>LOCAL:   ESTRADA VICINAL 45 ASSENTAMENTO - CENTRO DO GUILHERME -MA-2,88 KM</v>
      </c>
      <c r="B3" s="91"/>
      <c r="C3" s="91"/>
      <c r="D3" s="91"/>
      <c r="E3" s="91"/>
      <c r="F3" s="91"/>
      <c r="G3" s="91"/>
      <c r="H3" s="91"/>
      <c r="I3" s="4"/>
    </row>
    <row r="4" spans="1:9" s="2" customFormat="1" x14ac:dyDescent="0.2">
      <c r="A4" s="16"/>
      <c r="B4" s="16"/>
      <c r="C4" s="16"/>
      <c r="D4" s="16"/>
      <c r="E4" s="16"/>
      <c r="F4" s="16"/>
      <c r="G4" s="16"/>
      <c r="H4" s="16"/>
      <c r="I4" s="4"/>
    </row>
    <row r="5" spans="1:9" ht="15" customHeight="1" x14ac:dyDescent="0.2">
      <c r="A5" s="99"/>
      <c r="B5" s="99" t="s">
        <v>0</v>
      </c>
      <c r="C5" s="99" t="s">
        <v>1</v>
      </c>
      <c r="D5" s="279" t="s">
        <v>2</v>
      </c>
      <c r="E5" s="279"/>
      <c r="F5" s="279"/>
      <c r="G5" s="279" t="s">
        <v>3</v>
      </c>
      <c r="H5" s="279"/>
      <c r="I5" s="279"/>
    </row>
    <row r="6" spans="1:9" ht="79.5" customHeight="1" x14ac:dyDescent="0.2">
      <c r="A6" s="99"/>
      <c r="B6" s="99" t="s">
        <v>1401</v>
      </c>
      <c r="C6" s="99" t="s">
        <v>1397</v>
      </c>
      <c r="D6" s="279" t="s">
        <v>6</v>
      </c>
      <c r="E6" s="279"/>
      <c r="F6" s="279"/>
      <c r="G6" s="279" t="s">
        <v>1377</v>
      </c>
      <c r="H6" s="279"/>
      <c r="I6" s="279"/>
    </row>
    <row r="7" spans="1:9" ht="15" customHeight="1" x14ac:dyDescent="0.25">
      <c r="A7" s="285" t="s">
        <v>8</v>
      </c>
      <c r="B7" s="286"/>
      <c r="C7" s="286"/>
      <c r="D7" s="286"/>
      <c r="E7" s="286"/>
      <c r="F7" s="286"/>
      <c r="G7" s="286"/>
      <c r="H7" s="286"/>
      <c r="I7" s="286"/>
    </row>
    <row r="8" spans="1:9" ht="30" customHeight="1" x14ac:dyDescent="0.2">
      <c r="A8" s="103" t="s">
        <v>9</v>
      </c>
      <c r="B8" s="283" t="s">
        <v>10</v>
      </c>
      <c r="C8" s="283"/>
      <c r="D8" s="283"/>
      <c r="E8" s="283"/>
      <c r="F8" s="283"/>
      <c r="G8" s="283"/>
      <c r="H8" s="112" t="s">
        <v>11</v>
      </c>
      <c r="I8" s="112" t="s">
        <v>12</v>
      </c>
    </row>
    <row r="9" spans="1:9" ht="24" customHeight="1" x14ac:dyDescent="0.2">
      <c r="A9" s="101" t="s">
        <v>13</v>
      </c>
      <c r="B9" s="284" t="s">
        <v>14</v>
      </c>
      <c r="C9" s="284"/>
      <c r="D9" s="284"/>
      <c r="E9" s="284"/>
      <c r="F9" s="284"/>
      <c r="G9" s="284"/>
      <c r="H9" s="92">
        <f>'PO-Sintético'!I9</f>
        <v>58748.078748431421</v>
      </c>
      <c r="I9" s="94">
        <f>H9/$G$17</f>
        <v>7.3712274034670844E-2</v>
      </c>
    </row>
    <row r="10" spans="1:9" ht="24" customHeight="1" x14ac:dyDescent="0.2">
      <c r="A10" s="101" t="s">
        <v>15</v>
      </c>
      <c r="B10" s="284" t="s">
        <v>16</v>
      </c>
      <c r="C10" s="284"/>
      <c r="D10" s="284"/>
      <c r="E10" s="284"/>
      <c r="F10" s="284"/>
      <c r="G10" s="284"/>
      <c r="H10" s="92">
        <f>'PO-Sintético'!I13</f>
        <v>45934.539420000001</v>
      </c>
      <c r="I10" s="94">
        <f>H10/$G$17</f>
        <v>5.763489512367815E-2</v>
      </c>
    </row>
    <row r="11" spans="1:9" s="143" customFormat="1" ht="14.25" customHeight="1" x14ac:dyDescent="0.2">
      <c r="A11" s="142">
        <v>3</v>
      </c>
      <c r="B11" s="177" t="str">
        <f>'PO-Sintético'!D18</f>
        <v>REVESTIMENTO PRIMARIO</v>
      </c>
      <c r="C11" s="176"/>
      <c r="D11" s="176"/>
      <c r="E11" s="176"/>
      <c r="F11" s="176"/>
      <c r="G11" s="176"/>
      <c r="H11" s="92">
        <f>'PO-Sintético'!I18</f>
        <v>124136.18150400001</v>
      </c>
      <c r="I11" s="94">
        <f>H11/$G$17</f>
        <v>0.15575590595607011</v>
      </c>
    </row>
    <row r="12" spans="1:9" s="260" customFormat="1" ht="14.25" customHeight="1" x14ac:dyDescent="0.2">
      <c r="A12" s="264">
        <v>4</v>
      </c>
      <c r="B12" s="265" t="str">
        <f>'PO-Sintético'!D22</f>
        <v>TERRAPLENAGEM</v>
      </c>
      <c r="C12" s="266"/>
      <c r="D12" s="266"/>
      <c r="E12" s="266"/>
      <c r="F12" s="266"/>
      <c r="G12" s="266"/>
      <c r="H12" s="267">
        <f>'PO-Sintético'!I22</f>
        <v>173689.04390400002</v>
      </c>
      <c r="I12" s="94">
        <f t="shared" ref="I12:I13" si="0">H12/$G$17</f>
        <v>0.2179307761858249</v>
      </c>
    </row>
    <row r="13" spans="1:9" s="260" customFormat="1" ht="14.25" customHeight="1" x14ac:dyDescent="0.2">
      <c r="A13" s="264">
        <v>5</v>
      </c>
      <c r="B13" s="265" t="str">
        <f>'PO-Sintético'!D26</f>
        <v>OBRAS DE ARTE CORRENTE</v>
      </c>
      <c r="C13" s="266"/>
      <c r="D13" s="266"/>
      <c r="E13" s="266"/>
      <c r="F13" s="266"/>
      <c r="G13" s="266"/>
      <c r="H13" s="267">
        <f>'PO-Sintético'!I26</f>
        <v>394483.96705199993</v>
      </c>
      <c r="I13" s="94">
        <f t="shared" si="0"/>
        <v>0.49496614869975597</v>
      </c>
    </row>
    <row r="14" spans="1:9" ht="15" x14ac:dyDescent="0.2">
      <c r="A14" s="115"/>
      <c r="B14" s="115"/>
      <c r="C14" s="115"/>
      <c r="D14" s="115"/>
      <c r="E14" s="115"/>
      <c r="F14" s="115"/>
      <c r="G14" s="115"/>
      <c r="H14" s="115"/>
      <c r="I14" s="129">
        <f>SUM(I9:I13)</f>
        <v>1</v>
      </c>
    </row>
    <row r="15" spans="1:9" ht="24.75" customHeight="1" x14ac:dyDescent="0.2">
      <c r="A15" s="100"/>
      <c r="B15" s="116"/>
      <c r="C15" s="100"/>
      <c r="D15" s="100"/>
      <c r="E15" s="279"/>
      <c r="F15" s="280"/>
      <c r="G15" s="281"/>
      <c r="H15" s="280"/>
      <c r="I15" s="280"/>
    </row>
    <row r="16" spans="1:9" ht="14.25" customHeight="1" x14ac:dyDescent="0.2">
      <c r="A16" s="100"/>
      <c r="B16" s="116"/>
      <c r="C16" s="100"/>
      <c r="D16" s="100"/>
      <c r="E16" s="279"/>
      <c r="F16" s="280"/>
      <c r="G16" s="281"/>
      <c r="H16" s="280"/>
      <c r="I16" s="280"/>
    </row>
    <row r="17" spans="1:9" ht="15" customHeight="1" x14ac:dyDescent="0.2">
      <c r="A17" s="100"/>
      <c r="B17" s="116"/>
      <c r="C17" s="100"/>
      <c r="D17" s="100"/>
      <c r="E17" s="279" t="s">
        <v>1326</v>
      </c>
      <c r="F17" s="280"/>
      <c r="G17" s="282">
        <f>SUM(H9:H13)</f>
        <v>796991.81062843138</v>
      </c>
      <c r="H17" s="279"/>
      <c r="I17" s="279"/>
    </row>
    <row r="18" spans="1:9" ht="15" customHeight="1" x14ac:dyDescent="0.2">
      <c r="A18" s="276" t="s">
        <v>1045</v>
      </c>
      <c r="B18" s="277"/>
      <c r="C18" s="277"/>
      <c r="D18" s="277"/>
      <c r="E18" s="277"/>
      <c r="F18" s="277"/>
      <c r="G18" s="277"/>
      <c r="H18" s="277"/>
      <c r="I18" s="278"/>
    </row>
    <row r="19" spans="1:9" ht="14.25" customHeight="1" x14ac:dyDescent="0.2">
      <c r="A19" s="276" t="str">
        <f>'PO-Sintético'!A32:J32</f>
        <v>SETECENTOS E NOVENTA E SEIS MIL,NOVECENTOS E NOVENTA E UM REAIS E OITENTA E UM CENTAVOS</v>
      </c>
      <c r="B19" s="277"/>
      <c r="C19" s="277"/>
      <c r="D19" s="277"/>
      <c r="E19" s="277"/>
      <c r="F19" s="277"/>
      <c r="G19" s="277"/>
      <c r="H19" s="277"/>
      <c r="I19" s="278"/>
    </row>
    <row r="20" spans="1:9" x14ac:dyDescent="0.2">
      <c r="C20" s="130">
        <f>'PO-Sintético'!E33</f>
        <v>45261</v>
      </c>
    </row>
  </sheetData>
  <mergeCells count="16">
    <mergeCell ref="B8:G8"/>
    <mergeCell ref="B9:G9"/>
    <mergeCell ref="B10:G10"/>
    <mergeCell ref="D5:F5"/>
    <mergeCell ref="G5:I5"/>
    <mergeCell ref="D6:F6"/>
    <mergeCell ref="G6:I6"/>
    <mergeCell ref="A7:I7"/>
    <mergeCell ref="A18:I18"/>
    <mergeCell ref="A19:I19"/>
    <mergeCell ref="E15:F15"/>
    <mergeCell ref="G15:I15"/>
    <mergeCell ref="E16:F16"/>
    <mergeCell ref="G16:I16"/>
    <mergeCell ref="E17:F17"/>
    <mergeCell ref="G17:I17"/>
  </mergeCells>
  <pageMargins left="0.51181102362204722" right="0.51181102362204722" top="1.6929133858267718" bottom="0.98425196850393704" header="0.51181102362204722" footer="0.51181102362204722"/>
  <pageSetup paperSize="9" scale="62" fitToHeight="0" orientation="landscape" r:id="rId1"/>
  <headerFooter>
    <oddHeader>&amp;L&amp;G</oddHeader>
    <oddFooter xml:space="preserve">&amp;L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6"/>
  <sheetViews>
    <sheetView tabSelected="1" view="pageBreakPreview" zoomScaleNormal="80" zoomScaleSheetLayoutView="100" workbookViewId="0">
      <selection activeCell="A7" sqref="A7:I7"/>
    </sheetView>
  </sheetViews>
  <sheetFormatPr defaultColWidth="9" defaultRowHeight="14.25" x14ac:dyDescent="0.2"/>
  <cols>
    <col min="1" max="2" width="10" style="2" bestFit="1" customWidth="1"/>
    <col min="3" max="3" width="13.25" style="2" bestFit="1" customWidth="1"/>
    <col min="4" max="4" width="61.875" style="2" customWidth="1"/>
    <col min="5" max="5" width="8" style="2" bestFit="1" customWidth="1"/>
    <col min="6" max="10" width="13" style="2" bestFit="1" customWidth="1"/>
    <col min="11" max="16384" width="9" style="2"/>
  </cols>
  <sheetData>
    <row r="1" spans="1:12" ht="13.5" customHeight="1" x14ac:dyDescent="0.2">
      <c r="A1" s="14" t="s">
        <v>1382</v>
      </c>
      <c r="B1" s="14"/>
      <c r="C1" s="14"/>
      <c r="D1" s="14"/>
      <c r="E1" s="14"/>
      <c r="F1" s="14"/>
      <c r="G1" s="14"/>
      <c r="H1" s="14"/>
      <c r="I1" s="14"/>
      <c r="J1" s="15"/>
    </row>
    <row r="2" spans="1:12" ht="14.25" customHeight="1" x14ac:dyDescent="0.2">
      <c r="A2" s="14" t="s">
        <v>1381</v>
      </c>
      <c r="B2" s="14"/>
      <c r="C2" s="14"/>
      <c r="D2" s="14"/>
      <c r="E2" s="14"/>
      <c r="F2" s="14"/>
      <c r="G2" s="14"/>
      <c r="H2" s="14"/>
      <c r="I2" s="14"/>
      <c r="J2" s="14"/>
    </row>
    <row r="3" spans="1:12" x14ac:dyDescent="0.2">
      <c r="A3" s="14" t="s">
        <v>1400</v>
      </c>
      <c r="B3" s="14"/>
      <c r="C3" s="14"/>
      <c r="D3" s="15"/>
      <c r="E3" s="15"/>
      <c r="F3" s="15"/>
      <c r="G3" s="289"/>
      <c r="H3" s="289"/>
      <c r="I3" s="289"/>
      <c r="J3" s="6"/>
    </row>
    <row r="4" spans="1:12" x14ac:dyDescent="0.2">
      <c r="A4" s="14"/>
      <c r="B4" s="14"/>
      <c r="C4" s="14"/>
      <c r="D4" s="15"/>
      <c r="E4" s="15"/>
      <c r="F4" s="15"/>
      <c r="G4" s="6"/>
      <c r="H4" s="6"/>
      <c r="I4" s="6"/>
      <c r="J4" s="6"/>
    </row>
    <row r="5" spans="1:12" s="85" customFormat="1" ht="15" customHeight="1" x14ac:dyDescent="0.2">
      <c r="A5" s="99"/>
      <c r="B5" s="99"/>
      <c r="C5" s="99"/>
      <c r="D5" s="99" t="s">
        <v>0</v>
      </c>
      <c r="E5" s="279" t="s">
        <v>1</v>
      </c>
      <c r="F5" s="279"/>
      <c r="G5" s="279" t="s">
        <v>2</v>
      </c>
      <c r="H5" s="279"/>
      <c r="I5" s="279" t="s">
        <v>3</v>
      </c>
      <c r="J5" s="279"/>
    </row>
    <row r="6" spans="1:12" s="85" customFormat="1" ht="77.25" customHeight="1" x14ac:dyDescent="0.2">
      <c r="A6" s="102"/>
      <c r="B6" s="102"/>
      <c r="C6" s="102"/>
      <c r="D6" s="102" t="s">
        <v>1401</v>
      </c>
      <c r="E6" s="289" t="s">
        <v>1398</v>
      </c>
      <c r="F6" s="289"/>
      <c r="G6" s="289" t="s">
        <v>6</v>
      </c>
      <c r="H6" s="289"/>
      <c r="I6" s="289" t="s">
        <v>1377</v>
      </c>
      <c r="J6" s="289"/>
      <c r="L6" s="85">
        <v>1.2423</v>
      </c>
    </row>
    <row r="7" spans="1:12" s="85" customFormat="1" ht="15" customHeight="1" x14ac:dyDescent="0.25">
      <c r="A7" s="285" t="s">
        <v>23</v>
      </c>
      <c r="B7" s="287"/>
      <c r="C7" s="287"/>
      <c r="D7" s="287"/>
      <c r="E7" s="287"/>
      <c r="F7" s="287"/>
      <c r="G7" s="287"/>
      <c r="H7" s="287"/>
      <c r="I7" s="287"/>
      <c r="J7" s="287"/>
    </row>
    <row r="8" spans="1:12" s="85" customFormat="1" ht="30" x14ac:dyDescent="0.2">
      <c r="A8" s="103" t="s">
        <v>9</v>
      </c>
      <c r="B8" s="112" t="s">
        <v>24</v>
      </c>
      <c r="C8" s="103" t="s">
        <v>25</v>
      </c>
      <c r="D8" s="103" t="s">
        <v>10</v>
      </c>
      <c r="E8" s="113" t="s">
        <v>26</v>
      </c>
      <c r="F8" s="112" t="s">
        <v>27</v>
      </c>
      <c r="G8" s="112" t="s">
        <v>28</v>
      </c>
      <c r="H8" s="112" t="s">
        <v>29</v>
      </c>
      <c r="I8" s="112" t="s">
        <v>11</v>
      </c>
      <c r="J8" s="112" t="s">
        <v>12</v>
      </c>
    </row>
    <row r="9" spans="1:12" s="85" customFormat="1" x14ac:dyDescent="0.2">
      <c r="A9" s="110" t="s">
        <v>13</v>
      </c>
      <c r="B9" s="110"/>
      <c r="C9" s="110"/>
      <c r="D9" s="110" t="s">
        <v>14</v>
      </c>
      <c r="E9" s="110"/>
      <c r="F9" s="7"/>
      <c r="G9" s="110"/>
      <c r="H9" s="110"/>
      <c r="I9" s="8">
        <f>SUM(I10:I12)</f>
        <v>58748.078748431421</v>
      </c>
      <c r="J9" s="9">
        <f>SUM(J10:J12)</f>
        <v>7.3712274034670844E-2</v>
      </c>
    </row>
    <row r="10" spans="1:12" s="85" customFormat="1" x14ac:dyDescent="0.2">
      <c r="A10" s="150" t="s">
        <v>30</v>
      </c>
      <c r="B10" s="151" t="s">
        <v>31</v>
      </c>
      <c r="C10" s="150" t="s">
        <v>32</v>
      </c>
      <c r="D10" s="150" t="s">
        <v>33</v>
      </c>
      <c r="E10" s="152" t="s">
        <v>34</v>
      </c>
      <c r="F10" s="153">
        <f>'Memoria de Calculo'!D10</f>
        <v>6</v>
      </c>
      <c r="G10" s="154">
        <f>K10</f>
        <v>345.13</v>
      </c>
      <c r="H10" s="154">
        <f>G10*$L$6</f>
        <v>428.754999</v>
      </c>
      <c r="I10" s="154">
        <f>H10*F10</f>
        <v>2572.529994</v>
      </c>
      <c r="J10" s="156">
        <f>I10/$H$30</f>
        <v>3.2277997837537997E-3</v>
      </c>
      <c r="K10" s="154">
        <v>345.13</v>
      </c>
    </row>
    <row r="11" spans="1:12" s="118" customFormat="1" ht="25.5" x14ac:dyDescent="0.2">
      <c r="A11" s="150" t="s">
        <v>1319</v>
      </c>
      <c r="B11" s="151" t="s">
        <v>1057</v>
      </c>
      <c r="C11" s="150" t="s">
        <v>72</v>
      </c>
      <c r="D11" s="150" t="s">
        <v>1058</v>
      </c>
      <c r="E11" s="152" t="s">
        <v>1281</v>
      </c>
      <c r="F11" s="153">
        <f>'Memoria de Calculo'!D11</f>
        <v>20</v>
      </c>
      <c r="G11" s="154">
        <f>K11</f>
        <v>962.65</v>
      </c>
      <c r="H11" s="154">
        <f t="shared" ref="H11:H16" si="0">G11*$L$6</f>
        <v>1195.900095</v>
      </c>
      <c r="I11" s="155">
        <f>H11*F11</f>
        <v>23918.001899999999</v>
      </c>
      <c r="J11" s="156">
        <f>I11/$H$30</f>
        <v>3.0010348388825419E-2</v>
      </c>
      <c r="K11" s="154">
        <v>962.65</v>
      </c>
    </row>
    <row r="12" spans="1:12" s="118" customFormat="1" x14ac:dyDescent="0.2">
      <c r="A12" s="150" t="s">
        <v>1320</v>
      </c>
      <c r="B12" s="151">
        <v>1</v>
      </c>
      <c r="C12" s="150" t="s">
        <v>1286</v>
      </c>
      <c r="D12" s="150" t="s">
        <v>38</v>
      </c>
      <c r="E12" s="152" t="s">
        <v>39</v>
      </c>
      <c r="F12" s="153">
        <f>'Memoria de Calculo'!D12</f>
        <v>2</v>
      </c>
      <c r="G12" s="154">
        <f>K12</f>
        <v>12982.993984718436</v>
      </c>
      <c r="H12" s="154">
        <f t="shared" si="0"/>
        <v>16128.773427215712</v>
      </c>
      <c r="I12" s="155">
        <f>H12*F12</f>
        <v>32257.546854431424</v>
      </c>
      <c r="J12" s="156">
        <f>I12/$H$30</f>
        <v>4.0474125862091627E-2</v>
      </c>
      <c r="K12" s="154">
        <f>COMP!G13</f>
        <v>12982.993984718436</v>
      </c>
    </row>
    <row r="13" spans="1:12" s="85" customFormat="1" x14ac:dyDescent="0.2">
      <c r="A13" s="126" t="s">
        <v>15</v>
      </c>
      <c r="B13" s="110"/>
      <c r="C13" s="110"/>
      <c r="D13" s="110" t="s">
        <v>16</v>
      </c>
      <c r="E13" s="110"/>
      <c r="F13" s="125"/>
      <c r="G13" s="110"/>
      <c r="H13" s="122"/>
      <c r="I13" s="8">
        <f>SUM(I14:I16)</f>
        <v>45934.539420000001</v>
      </c>
      <c r="J13" s="9">
        <f>SUM(J14:J16)</f>
        <v>5.7634895123678143E-2</v>
      </c>
      <c r="K13" s="254"/>
    </row>
    <row r="14" spans="1:12" s="85" customFormat="1" x14ac:dyDescent="0.2">
      <c r="A14" s="150" t="s">
        <v>47</v>
      </c>
      <c r="B14" s="151" t="s">
        <v>144</v>
      </c>
      <c r="C14" s="150" t="s">
        <v>72</v>
      </c>
      <c r="D14" s="150" t="s">
        <v>145</v>
      </c>
      <c r="E14" s="152" t="s">
        <v>75</v>
      </c>
      <c r="F14" s="153">
        <f>'Memoria de Calculo'!D14</f>
        <v>220</v>
      </c>
      <c r="G14" s="154">
        <f>K14</f>
        <v>112.95</v>
      </c>
      <c r="H14" s="154">
        <f t="shared" si="0"/>
        <v>140.31778499999999</v>
      </c>
      <c r="I14" s="155">
        <f>H14*F14</f>
        <v>30869.912699999997</v>
      </c>
      <c r="J14" s="156">
        <f>I14/$H$30</f>
        <v>3.8733036260007417E-2</v>
      </c>
      <c r="K14" s="154">
        <v>112.95</v>
      </c>
    </row>
    <row r="15" spans="1:12" s="85" customFormat="1" x14ac:dyDescent="0.2">
      <c r="A15" s="150" t="s">
        <v>1330</v>
      </c>
      <c r="B15" s="151" t="s">
        <v>148</v>
      </c>
      <c r="C15" s="150" t="s">
        <v>72</v>
      </c>
      <c r="D15" s="150" t="s">
        <v>149</v>
      </c>
      <c r="E15" s="152" t="s">
        <v>75</v>
      </c>
      <c r="F15" s="153">
        <f>'Memoria de Calculo'!D15</f>
        <v>220</v>
      </c>
      <c r="G15" s="154">
        <f>K15</f>
        <v>31</v>
      </c>
      <c r="H15" s="154">
        <f t="shared" si="0"/>
        <v>38.511299999999999</v>
      </c>
      <c r="I15" s="155">
        <f>H15*F15</f>
        <v>8472.485999999999</v>
      </c>
      <c r="J15" s="156">
        <f>I15/$H$30</f>
        <v>1.0630581000975917E-2</v>
      </c>
      <c r="K15" s="154">
        <v>31</v>
      </c>
    </row>
    <row r="16" spans="1:12" s="141" customFormat="1" x14ac:dyDescent="0.2">
      <c r="A16" s="150" t="s">
        <v>1331</v>
      </c>
      <c r="B16" s="151">
        <v>88326</v>
      </c>
      <c r="C16" s="150" t="s">
        <v>72</v>
      </c>
      <c r="D16" s="150" t="s">
        <v>1332</v>
      </c>
      <c r="E16" s="152" t="s">
        <v>75</v>
      </c>
      <c r="F16" s="153">
        <f>'Memoria de Calculo'!D16</f>
        <v>220</v>
      </c>
      <c r="G16" s="154">
        <f>K16</f>
        <v>24.12</v>
      </c>
      <c r="H16" s="154">
        <f t="shared" si="0"/>
        <v>29.964276000000002</v>
      </c>
      <c r="I16" s="155">
        <f>H16*F16</f>
        <v>6592.1407200000003</v>
      </c>
      <c r="J16" s="156">
        <f>I16/$H$30</f>
        <v>8.2712778626948119E-3</v>
      </c>
      <c r="K16" s="154">
        <v>24.12</v>
      </c>
    </row>
    <row r="17" spans="1:11" s="143" customFormat="1" x14ac:dyDescent="0.2">
      <c r="A17" s="150"/>
      <c r="B17" s="151"/>
      <c r="C17" s="150"/>
      <c r="D17" s="150"/>
      <c r="E17" s="152"/>
      <c r="F17" s="153"/>
      <c r="G17" s="154"/>
      <c r="H17" s="154"/>
      <c r="I17" s="155"/>
      <c r="J17" s="156"/>
      <c r="K17" s="154"/>
    </row>
    <row r="18" spans="1:11" s="143" customFormat="1" x14ac:dyDescent="0.2">
      <c r="A18" s="126">
        <v>3</v>
      </c>
      <c r="B18" s="144"/>
      <c r="C18" s="144"/>
      <c r="D18" s="261" t="s">
        <v>1338</v>
      </c>
      <c r="E18" s="144"/>
      <c r="F18" s="7"/>
      <c r="G18" s="144"/>
      <c r="H18" s="122"/>
      <c r="I18" s="122">
        <f>SUM(I19:I21)</f>
        <v>124136.18150400001</v>
      </c>
      <c r="J18" s="135">
        <f>I18/$H$30</f>
        <v>0.15575590595607011</v>
      </c>
      <c r="K18" s="254"/>
    </row>
    <row r="19" spans="1:11" s="143" customFormat="1" x14ac:dyDescent="0.2">
      <c r="A19" s="150" t="s">
        <v>1336</v>
      </c>
      <c r="B19" s="172">
        <v>99064</v>
      </c>
      <c r="C19" s="150" t="s">
        <v>72</v>
      </c>
      <c r="D19" s="173" t="s">
        <v>1335</v>
      </c>
      <c r="E19" s="174" t="s">
        <v>121</v>
      </c>
      <c r="F19" s="175">
        <f>'Memoria de Calculo'!D19</f>
        <v>2880</v>
      </c>
      <c r="G19" s="154">
        <f>K19</f>
        <v>0.43</v>
      </c>
      <c r="H19" s="154">
        <f t="shared" ref="H19:H27" si="1">G19*$L$6</f>
        <v>0.53418900000000002</v>
      </c>
      <c r="I19" s="155">
        <f>H19*F19</f>
        <v>1538.46432</v>
      </c>
      <c r="J19" s="156">
        <f>I19/$H$30</f>
        <v>1.9303389313209058E-3</v>
      </c>
      <c r="K19" s="172">
        <v>0.43</v>
      </c>
    </row>
    <row r="20" spans="1:11" s="143" customFormat="1" ht="63.75" x14ac:dyDescent="0.2">
      <c r="A20" s="150" t="s">
        <v>1337</v>
      </c>
      <c r="B20" s="151" t="s">
        <v>1334</v>
      </c>
      <c r="C20" s="150" t="s">
        <v>72</v>
      </c>
      <c r="D20" s="150" t="s">
        <v>1333</v>
      </c>
      <c r="E20" s="152" t="s">
        <v>1283</v>
      </c>
      <c r="F20" s="153">
        <f>'Memoria de Calculo'!D20</f>
        <v>3456</v>
      </c>
      <c r="G20" s="154">
        <f t="shared" ref="G20:G25" si="2">K20</f>
        <v>10.94</v>
      </c>
      <c r="H20" s="154">
        <f t="shared" si="1"/>
        <v>13.590762</v>
      </c>
      <c r="I20" s="155">
        <f>H20*F20</f>
        <v>46969.673472000002</v>
      </c>
      <c r="J20" s="156">
        <f>I20/$H$30</f>
        <v>5.8933696489257795E-2</v>
      </c>
      <c r="K20" s="154">
        <v>10.94</v>
      </c>
    </row>
    <row r="21" spans="1:11" s="143" customFormat="1" ht="25.5" x14ac:dyDescent="0.2">
      <c r="A21" s="150" t="s">
        <v>1383</v>
      </c>
      <c r="B21" s="151">
        <v>93589</v>
      </c>
      <c r="C21" s="150" t="s">
        <v>72</v>
      </c>
      <c r="D21" s="150" t="s">
        <v>1054</v>
      </c>
      <c r="E21" s="152" t="s">
        <v>1055</v>
      </c>
      <c r="F21" s="153">
        <f>'Memoria de Calculo'!D21</f>
        <v>22464</v>
      </c>
      <c r="G21" s="154">
        <f t="shared" si="2"/>
        <v>2.71</v>
      </c>
      <c r="H21" s="154">
        <f t="shared" si="1"/>
        <v>3.3666329999999998</v>
      </c>
      <c r="I21" s="155">
        <f>H21*F21</f>
        <v>75628.043711999999</v>
      </c>
      <c r="J21" s="156">
        <f>I21/$H$30</f>
        <v>9.4891870535491418E-2</v>
      </c>
      <c r="K21" s="154">
        <v>2.71</v>
      </c>
    </row>
    <row r="22" spans="1:11" s="143" customFormat="1" x14ac:dyDescent="0.2">
      <c r="A22" s="126">
        <v>4</v>
      </c>
      <c r="B22" s="144"/>
      <c r="C22" s="144"/>
      <c r="D22" s="144" t="s">
        <v>1339</v>
      </c>
      <c r="E22" s="144"/>
      <c r="F22" s="7"/>
      <c r="G22" s="144"/>
      <c r="H22" s="122"/>
      <c r="I22" s="8">
        <f>SUM(I23:I25)</f>
        <v>173689.04390400002</v>
      </c>
      <c r="J22" s="9">
        <f>SUM(J23:J25)</f>
        <v>0.21793077618582485</v>
      </c>
      <c r="K22" s="254"/>
    </row>
    <row r="23" spans="1:11" s="143" customFormat="1" ht="63.75" x14ac:dyDescent="0.2">
      <c r="A23" s="150" t="s">
        <v>1384</v>
      </c>
      <c r="B23" s="151" t="s">
        <v>1334</v>
      </c>
      <c r="C23" s="150" t="s">
        <v>72</v>
      </c>
      <c r="D23" s="150" t="s">
        <v>1333</v>
      </c>
      <c r="E23" s="152" t="s">
        <v>1283</v>
      </c>
      <c r="F23" s="153">
        <f>F20</f>
        <v>3456</v>
      </c>
      <c r="G23" s="154">
        <f t="shared" si="2"/>
        <v>10.94</v>
      </c>
      <c r="H23" s="154">
        <f t="shared" si="1"/>
        <v>13.590762</v>
      </c>
      <c r="I23" s="155">
        <f>H23*F23</f>
        <v>46969.673472000002</v>
      </c>
      <c r="J23" s="156">
        <f>I23/$H$30</f>
        <v>5.8933696489257795E-2</v>
      </c>
      <c r="K23" s="154">
        <f>K20</f>
        <v>10.94</v>
      </c>
    </row>
    <row r="24" spans="1:11" s="143" customFormat="1" ht="25.5" x14ac:dyDescent="0.2">
      <c r="A24" s="150" t="s">
        <v>1385</v>
      </c>
      <c r="B24" s="151">
        <v>93589</v>
      </c>
      <c r="C24" s="150" t="s">
        <v>72</v>
      </c>
      <c r="D24" s="150" t="s">
        <v>1054</v>
      </c>
      <c r="E24" s="152" t="s">
        <v>1055</v>
      </c>
      <c r="F24" s="153">
        <f>'Memoria de Calculo'!D24</f>
        <v>22464</v>
      </c>
      <c r="G24" s="154">
        <f t="shared" si="2"/>
        <v>2.71</v>
      </c>
      <c r="H24" s="154">
        <f t="shared" si="1"/>
        <v>3.3666329999999998</v>
      </c>
      <c r="I24" s="155">
        <f t="shared" ref="I24" si="3">H24*F24</f>
        <v>75628.043711999999</v>
      </c>
      <c r="J24" s="156">
        <f>I24/$H$30</f>
        <v>9.4891870535491418E-2</v>
      </c>
      <c r="K24" s="154">
        <f>K21</f>
        <v>2.71</v>
      </c>
    </row>
    <row r="25" spans="1:11" s="143" customFormat="1" ht="51" x14ac:dyDescent="0.2">
      <c r="A25" s="150" t="s">
        <v>1386</v>
      </c>
      <c r="B25" s="151" t="s">
        <v>1340</v>
      </c>
      <c r="C25" s="150" t="s">
        <v>72</v>
      </c>
      <c r="D25" s="150" t="s">
        <v>1341</v>
      </c>
      <c r="E25" s="152" t="s">
        <v>1283</v>
      </c>
      <c r="F25" s="153">
        <f>F23</f>
        <v>3456</v>
      </c>
      <c r="G25" s="154">
        <f t="shared" si="2"/>
        <v>11.9</v>
      </c>
      <c r="H25" s="154">
        <f t="shared" si="1"/>
        <v>14.78337</v>
      </c>
      <c r="I25" s="155">
        <f>H25*F25</f>
        <v>51091.326719999997</v>
      </c>
      <c r="J25" s="156">
        <f>I25/$H$30</f>
        <v>6.4105209161075663E-2</v>
      </c>
      <c r="K25" s="154">
        <v>11.9</v>
      </c>
    </row>
    <row r="26" spans="1:11" s="260" customFormat="1" x14ac:dyDescent="0.2">
      <c r="A26" s="126" t="s">
        <v>1387</v>
      </c>
      <c r="B26" s="261"/>
      <c r="C26" s="261"/>
      <c r="D26" s="261" t="s">
        <v>1388</v>
      </c>
      <c r="E26" s="261"/>
      <c r="F26" s="7"/>
      <c r="G26" s="261"/>
      <c r="H26" s="122"/>
      <c r="I26" s="8">
        <f>SUM(I27:I29)</f>
        <v>394483.96705199993</v>
      </c>
      <c r="J26" s="9">
        <f>SUM(J27:J29)</f>
        <v>0.49496614869975597</v>
      </c>
      <c r="K26" s="261"/>
    </row>
    <row r="27" spans="1:11" s="260" customFormat="1" ht="25.5" x14ac:dyDescent="0.2">
      <c r="A27" s="150" t="s">
        <v>1389</v>
      </c>
      <c r="B27" s="151">
        <v>102740</v>
      </c>
      <c r="C27" s="150" t="s">
        <v>72</v>
      </c>
      <c r="D27" s="150" t="s">
        <v>1392</v>
      </c>
      <c r="E27" s="152" t="s">
        <v>39</v>
      </c>
      <c r="F27" s="153">
        <f>'Memoria de Calculo'!D28</f>
        <v>46</v>
      </c>
      <c r="G27" s="154">
        <f>K27</f>
        <v>5465.57</v>
      </c>
      <c r="H27" s="154">
        <f t="shared" si="1"/>
        <v>6789.877610999999</v>
      </c>
      <c r="I27" s="155">
        <f>H27*F27</f>
        <v>312334.37010599993</v>
      </c>
      <c r="J27" s="156">
        <f>I27/$H$30</f>
        <v>0.39189156769342831</v>
      </c>
      <c r="K27" s="154">
        <v>5465.57</v>
      </c>
    </row>
    <row r="28" spans="1:11" s="269" customFormat="1" ht="25.5" x14ac:dyDescent="0.2">
      <c r="A28" s="150" t="s">
        <v>1391</v>
      </c>
      <c r="B28" s="151" t="s">
        <v>1394</v>
      </c>
      <c r="C28" s="150" t="s">
        <v>1073</v>
      </c>
      <c r="D28" s="150" t="s">
        <v>1395</v>
      </c>
      <c r="E28" s="152" t="s">
        <v>121</v>
      </c>
      <c r="F28" s="153">
        <f>'Memoria de Calculo'!D29</f>
        <v>18</v>
      </c>
      <c r="G28" s="154">
        <f t="shared" ref="G28:G29" si="4">K28</f>
        <v>18.989999999999998</v>
      </c>
      <c r="H28" s="154">
        <f t="shared" ref="H28:H29" si="5">G28*$L$6</f>
        <v>23.591276999999998</v>
      </c>
      <c r="I28" s="155">
        <f t="shared" ref="I28:I29" si="6">H28*F28</f>
        <v>424.64298599999995</v>
      </c>
      <c r="J28" s="156">
        <f t="shared" ref="J28:J29" si="7">I28/$H$30</f>
        <v>5.3280721374686043E-4</v>
      </c>
      <c r="K28" s="154">
        <v>18.989999999999998</v>
      </c>
    </row>
    <row r="29" spans="1:11" s="85" customFormat="1" x14ac:dyDescent="0.2">
      <c r="A29" s="150" t="s">
        <v>1393</v>
      </c>
      <c r="B29" s="262">
        <v>9</v>
      </c>
      <c r="C29" s="150" t="s">
        <v>1286</v>
      </c>
      <c r="D29" s="150" t="str">
        <f>COMP!C69</f>
        <v>CORPO DE BUEIRO BSTC CA1 DN 1,0 M</v>
      </c>
      <c r="E29" s="152" t="s">
        <v>121</v>
      </c>
      <c r="F29" s="153">
        <f>'Memoria de Calculo'!D30</f>
        <v>120</v>
      </c>
      <c r="G29" s="154">
        <f t="shared" si="4"/>
        <v>548.21</v>
      </c>
      <c r="H29" s="154">
        <f t="shared" si="5"/>
        <v>681.04128300000002</v>
      </c>
      <c r="I29" s="155">
        <f t="shared" si="6"/>
        <v>81724.953959999999</v>
      </c>
      <c r="J29" s="156">
        <f t="shared" si="7"/>
        <v>0.1025417737925808</v>
      </c>
      <c r="K29" s="154">
        <f>COMP!G72</f>
        <v>548.21</v>
      </c>
    </row>
    <row r="30" spans="1:11" s="85" customFormat="1" ht="14.25" customHeight="1" x14ac:dyDescent="0.2">
      <c r="A30" s="292"/>
      <c r="B30" s="292"/>
      <c r="C30" s="292"/>
      <c r="D30" s="13"/>
      <c r="E30" s="104"/>
      <c r="F30" s="291" t="s">
        <v>1326</v>
      </c>
      <c r="G30" s="291"/>
      <c r="H30" s="290">
        <f>I9+I13+I18+I22+I26</f>
        <v>796991.81062843138</v>
      </c>
      <c r="I30" s="290"/>
      <c r="J30" s="290"/>
    </row>
    <row r="31" spans="1:11" ht="15" customHeight="1" x14ac:dyDescent="0.2">
      <c r="A31" s="288" t="s">
        <v>51</v>
      </c>
      <c r="B31" s="288"/>
      <c r="C31" s="288"/>
      <c r="D31" s="288"/>
      <c r="E31" s="288"/>
      <c r="F31" s="288"/>
      <c r="G31" s="288"/>
      <c r="H31" s="288"/>
      <c r="I31" s="288"/>
      <c r="J31" s="288"/>
    </row>
    <row r="32" spans="1:11" ht="18.75" customHeight="1" x14ac:dyDescent="0.2">
      <c r="A32" s="288" t="s">
        <v>1396</v>
      </c>
      <c r="B32" s="288"/>
      <c r="C32" s="288"/>
      <c r="D32" s="288"/>
      <c r="E32" s="288"/>
      <c r="F32" s="288"/>
      <c r="G32" s="288"/>
      <c r="H32" s="288"/>
      <c r="I32" s="288"/>
      <c r="J32" s="288"/>
    </row>
    <row r="33" spans="5:6" ht="15" x14ac:dyDescent="0.25">
      <c r="E33" s="131">
        <v>45261</v>
      </c>
    </row>
    <row r="36" spans="5:6" x14ac:dyDescent="0.2">
      <c r="F36" s="2">
        <f>SUBTOTAL(9,F17:F25)</f>
        <v>58176</v>
      </c>
    </row>
  </sheetData>
  <autoFilter ref="A9:J25"/>
  <mergeCells count="13">
    <mergeCell ref="A7:J7"/>
    <mergeCell ref="A32:J32"/>
    <mergeCell ref="A31:J31"/>
    <mergeCell ref="G3:I3"/>
    <mergeCell ref="E5:F5"/>
    <mergeCell ref="G5:H5"/>
    <mergeCell ref="I5:J5"/>
    <mergeCell ref="E6:F6"/>
    <mergeCell ref="G6:H6"/>
    <mergeCell ref="I6:J6"/>
    <mergeCell ref="H30:J30"/>
    <mergeCell ref="F30:G30"/>
    <mergeCell ref="A30:C30"/>
  </mergeCells>
  <pageMargins left="0.51181102362204722" right="0.51181102362204722" top="1.4960629921259843" bottom="0.78740157480314965" header="0.31496062992125984" footer="0.31496062992125984"/>
  <pageSetup paperSize="9" scale="47" orientation="landscape" r:id="rId1"/>
  <headerFooter>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6"/>
  <sheetViews>
    <sheetView tabSelected="1" view="pageBreakPreview" zoomScaleNormal="120" zoomScaleSheetLayoutView="100" workbookViewId="0">
      <selection activeCell="A7" sqref="A7:I7"/>
    </sheetView>
  </sheetViews>
  <sheetFormatPr defaultRowHeight="14.25" x14ac:dyDescent="0.2"/>
  <cols>
    <col min="1" max="1" width="11.375" customWidth="1"/>
    <col min="3" max="3" width="38.375" customWidth="1"/>
  </cols>
  <sheetData>
    <row r="1" spans="1:7" s="118" customFormat="1" x14ac:dyDescent="0.2">
      <c r="A1" s="137"/>
      <c r="B1" s="137"/>
      <c r="C1" s="137"/>
      <c r="D1" s="137"/>
      <c r="E1" s="137"/>
      <c r="F1" s="137"/>
      <c r="G1" s="137"/>
    </row>
    <row r="2" spans="1:7" s="118" customFormat="1" ht="15" x14ac:dyDescent="0.25">
      <c r="A2" s="138" t="s">
        <v>1325</v>
      </c>
      <c r="B2" s="137"/>
      <c r="C2" s="137"/>
      <c r="D2" s="137"/>
      <c r="E2" s="137"/>
      <c r="F2" s="137"/>
      <c r="G2" s="137"/>
    </row>
    <row r="3" spans="1:7" s="118" customFormat="1" ht="15" x14ac:dyDescent="0.2">
      <c r="A3" s="273" t="s">
        <v>1288</v>
      </c>
      <c r="B3" s="273">
        <v>1</v>
      </c>
      <c r="C3" s="274" t="str">
        <f>'PO-Sintético'!D12</f>
        <v>MOBILIZAÇÃO E DESMOBILIZAÇÃO DE EQUIPAMENTOS</v>
      </c>
      <c r="D3" s="273" t="s">
        <v>1278</v>
      </c>
      <c r="E3" s="273" t="s">
        <v>1302</v>
      </c>
      <c r="F3" s="273" t="s">
        <v>1303</v>
      </c>
      <c r="G3" s="273" t="s">
        <v>1277</v>
      </c>
    </row>
    <row r="4" spans="1:7" s="118" customFormat="1" ht="15" x14ac:dyDescent="0.25">
      <c r="A4" s="271" t="s">
        <v>72</v>
      </c>
      <c r="B4" s="271" t="s">
        <v>1304</v>
      </c>
      <c r="C4" s="275" t="s">
        <v>102</v>
      </c>
      <c r="D4" s="271" t="s">
        <v>92</v>
      </c>
      <c r="E4" s="272">
        <v>7</v>
      </c>
      <c r="F4" s="270">
        <v>93.25</v>
      </c>
      <c r="G4" s="270">
        <f>E4*F4</f>
        <v>652.75</v>
      </c>
    </row>
    <row r="5" spans="1:7" s="118" customFormat="1" ht="15" x14ac:dyDescent="0.25">
      <c r="A5" s="271" t="s">
        <v>72</v>
      </c>
      <c r="B5" s="271" t="s">
        <v>1305</v>
      </c>
      <c r="C5" s="275" t="s">
        <v>1313</v>
      </c>
      <c r="D5" s="271" t="s">
        <v>92</v>
      </c>
      <c r="E5" s="272">
        <v>7</v>
      </c>
      <c r="F5" s="270">
        <v>71.62</v>
      </c>
      <c r="G5" s="270">
        <f t="shared" ref="G5:G12" si="0">E5*F5</f>
        <v>501.34000000000003</v>
      </c>
    </row>
    <row r="6" spans="1:7" s="118" customFormat="1" ht="15" x14ac:dyDescent="0.25">
      <c r="A6" s="271" t="s">
        <v>72</v>
      </c>
      <c r="B6" s="271" t="s">
        <v>1306</v>
      </c>
      <c r="C6" s="275" t="s">
        <v>1314</v>
      </c>
      <c r="D6" s="271" t="s">
        <v>92</v>
      </c>
      <c r="E6" s="272">
        <v>7</v>
      </c>
      <c r="F6" s="270">
        <v>77.25</v>
      </c>
      <c r="G6" s="270">
        <f t="shared" si="0"/>
        <v>540.75</v>
      </c>
    </row>
    <row r="7" spans="1:7" s="118" customFormat="1" ht="15" x14ac:dyDescent="0.25">
      <c r="A7" s="271" t="s">
        <v>72</v>
      </c>
      <c r="B7" s="271" t="s">
        <v>1307</v>
      </c>
      <c r="C7" s="275" t="s">
        <v>1315</v>
      </c>
      <c r="D7" s="271" t="s">
        <v>92</v>
      </c>
      <c r="E7" s="272">
        <v>7</v>
      </c>
      <c r="F7" s="270">
        <v>80.650000000000006</v>
      </c>
      <c r="G7" s="270">
        <f t="shared" si="0"/>
        <v>564.55000000000007</v>
      </c>
    </row>
    <row r="8" spans="1:7" s="118" customFormat="1" ht="15" x14ac:dyDescent="0.25">
      <c r="A8" s="271" t="s">
        <v>72</v>
      </c>
      <c r="B8" s="271" t="s">
        <v>1308</v>
      </c>
      <c r="C8" s="275" t="s">
        <v>1140</v>
      </c>
      <c r="D8" s="271" t="s">
        <v>92</v>
      </c>
      <c r="E8" s="272">
        <v>7</v>
      </c>
      <c r="F8" s="270">
        <v>81.94</v>
      </c>
      <c r="G8" s="270">
        <f t="shared" si="0"/>
        <v>573.57999999999993</v>
      </c>
    </row>
    <row r="9" spans="1:7" s="118" customFormat="1" ht="15" x14ac:dyDescent="0.25">
      <c r="A9" s="271" t="s">
        <v>72</v>
      </c>
      <c r="B9" s="271" t="s">
        <v>1309</v>
      </c>
      <c r="C9" s="275" t="s">
        <v>98</v>
      </c>
      <c r="D9" s="271" t="s">
        <v>92</v>
      </c>
      <c r="E9" s="272">
        <v>7</v>
      </c>
      <c r="F9" s="270">
        <v>68.400000000000006</v>
      </c>
      <c r="G9" s="270">
        <f t="shared" si="0"/>
        <v>478.80000000000007</v>
      </c>
    </row>
    <row r="10" spans="1:7" s="118" customFormat="1" ht="15" x14ac:dyDescent="0.25">
      <c r="A10" s="271" t="s">
        <v>72</v>
      </c>
      <c r="B10" s="271" t="s">
        <v>1310</v>
      </c>
      <c r="C10" s="275" t="s">
        <v>1316</v>
      </c>
      <c r="D10" s="271" t="s">
        <v>92</v>
      </c>
      <c r="E10" s="272">
        <v>7</v>
      </c>
      <c r="F10" s="270">
        <v>21.43</v>
      </c>
      <c r="G10" s="270">
        <f t="shared" si="0"/>
        <v>150.01</v>
      </c>
    </row>
    <row r="11" spans="1:7" s="118" customFormat="1" ht="15" x14ac:dyDescent="0.25">
      <c r="A11" s="271" t="s">
        <v>72</v>
      </c>
      <c r="B11" s="271" t="s">
        <v>1311</v>
      </c>
      <c r="C11" s="275" t="s">
        <v>1317</v>
      </c>
      <c r="D11" s="271" t="s">
        <v>92</v>
      </c>
      <c r="E11" s="272">
        <v>7</v>
      </c>
      <c r="F11" s="270">
        <v>7.8</v>
      </c>
      <c r="G11" s="270">
        <f t="shared" si="0"/>
        <v>54.6</v>
      </c>
    </row>
    <row r="12" spans="1:7" s="118" customFormat="1" ht="15" x14ac:dyDescent="0.25">
      <c r="A12" s="271" t="s">
        <v>72</v>
      </c>
      <c r="B12" s="271" t="s">
        <v>1312</v>
      </c>
      <c r="C12" s="275" t="s">
        <v>1318</v>
      </c>
      <c r="D12" s="271" t="s">
        <v>105</v>
      </c>
      <c r="E12" s="272">
        <v>29.007550129365512</v>
      </c>
      <c r="F12" s="270">
        <v>326.35000000000002</v>
      </c>
      <c r="G12" s="272">
        <f t="shared" si="0"/>
        <v>9466.6139847184349</v>
      </c>
    </row>
    <row r="13" spans="1:7" ht="15" x14ac:dyDescent="0.25">
      <c r="A13" s="182"/>
      <c r="B13" s="182"/>
      <c r="C13" s="182"/>
      <c r="D13" s="182"/>
      <c r="E13" s="182"/>
      <c r="F13" s="182" t="s">
        <v>1277</v>
      </c>
      <c r="G13" s="263">
        <f>SUM(G4:G12)</f>
        <v>12982.993984718436</v>
      </c>
    </row>
    <row r="14" spans="1:7" x14ac:dyDescent="0.2">
      <c r="A14" s="182"/>
      <c r="B14" s="182"/>
      <c r="C14" s="182"/>
      <c r="D14" s="182"/>
      <c r="E14" s="182"/>
      <c r="F14" s="182"/>
      <c r="G14" s="182"/>
    </row>
    <row r="15" spans="1:7" ht="15" x14ac:dyDescent="0.25">
      <c r="A15" s="179" t="s">
        <v>1288</v>
      </c>
      <c r="B15" s="179">
        <v>2</v>
      </c>
      <c r="C15" s="179" t="s">
        <v>1289</v>
      </c>
      <c r="D15" s="179" t="s">
        <v>1283</v>
      </c>
      <c r="E15" s="179" t="s">
        <v>1302</v>
      </c>
      <c r="F15" s="178" t="s">
        <v>1303</v>
      </c>
      <c r="G15" s="178" t="s">
        <v>1277</v>
      </c>
    </row>
    <row r="16" spans="1:7" ht="15" x14ac:dyDescent="0.25">
      <c r="A16" s="181" t="s">
        <v>72</v>
      </c>
      <c r="B16" s="179" t="s">
        <v>1290</v>
      </c>
      <c r="C16" s="181" t="s">
        <v>1291</v>
      </c>
      <c r="D16" s="179" t="s">
        <v>75</v>
      </c>
      <c r="E16" s="180">
        <v>6</v>
      </c>
      <c r="F16" s="180">
        <v>23.98</v>
      </c>
      <c r="G16" s="180">
        <f t="shared" ref="G16:G21" si="1">E16*F16</f>
        <v>143.88</v>
      </c>
    </row>
    <row r="17" spans="1:7" ht="15" x14ac:dyDescent="0.25">
      <c r="A17" s="181" t="s">
        <v>72</v>
      </c>
      <c r="B17" s="179" t="s">
        <v>1292</v>
      </c>
      <c r="C17" s="181" t="s">
        <v>153</v>
      </c>
      <c r="D17" s="179" t="s">
        <v>75</v>
      </c>
      <c r="E17" s="180">
        <v>4</v>
      </c>
      <c r="F17" s="180">
        <f>F35</f>
        <v>19.940000000000001</v>
      </c>
      <c r="G17" s="180">
        <f t="shared" si="1"/>
        <v>79.760000000000005</v>
      </c>
    </row>
    <row r="18" spans="1:7" ht="15" x14ac:dyDescent="0.25">
      <c r="A18" s="181" t="s">
        <v>1293</v>
      </c>
      <c r="B18" s="179" t="s">
        <v>1294</v>
      </c>
      <c r="C18" s="181" t="s">
        <v>1295</v>
      </c>
      <c r="D18" s="179" t="s">
        <v>1296</v>
      </c>
      <c r="E18" s="180">
        <v>1</v>
      </c>
      <c r="F18" s="180">
        <f>F36</f>
        <v>2640.18</v>
      </c>
      <c r="G18" s="180">
        <f t="shared" si="1"/>
        <v>2640.18</v>
      </c>
    </row>
    <row r="19" spans="1:7" ht="15" x14ac:dyDescent="0.25">
      <c r="A19" s="181" t="s">
        <v>1293</v>
      </c>
      <c r="B19" s="179" t="s">
        <v>1297</v>
      </c>
      <c r="C19" s="181" t="s">
        <v>1122</v>
      </c>
      <c r="D19" s="179" t="s">
        <v>1298</v>
      </c>
      <c r="E19" s="180">
        <v>160</v>
      </c>
      <c r="F19" s="180">
        <f>F37</f>
        <v>19.350000000000001</v>
      </c>
      <c r="G19" s="180">
        <f t="shared" si="1"/>
        <v>3096</v>
      </c>
    </row>
    <row r="20" spans="1:7" ht="15" x14ac:dyDescent="0.25">
      <c r="A20" s="181" t="s">
        <v>1293</v>
      </c>
      <c r="B20" s="179" t="s">
        <v>1299</v>
      </c>
      <c r="C20" s="181" t="s">
        <v>161</v>
      </c>
      <c r="D20" s="179" t="s">
        <v>1300</v>
      </c>
      <c r="E20" s="180">
        <v>40</v>
      </c>
      <c r="F20" s="180">
        <f>F38</f>
        <v>38.200000000000003</v>
      </c>
      <c r="G20" s="180">
        <f t="shared" si="1"/>
        <v>1528</v>
      </c>
    </row>
    <row r="21" spans="1:7" ht="15" x14ac:dyDescent="0.25">
      <c r="A21" s="181" t="s">
        <v>1369</v>
      </c>
      <c r="B21" s="179">
        <v>4652</v>
      </c>
      <c r="C21" s="181" t="s">
        <v>1301</v>
      </c>
      <c r="D21" s="179" t="s">
        <v>75</v>
      </c>
      <c r="E21" s="180">
        <v>1</v>
      </c>
      <c r="F21" s="180">
        <f>F30</f>
        <v>1214.3699999999999</v>
      </c>
      <c r="G21" s="180">
        <f t="shared" si="1"/>
        <v>1214.3699999999999</v>
      </c>
    </row>
    <row r="22" spans="1:7" ht="15" x14ac:dyDescent="0.25">
      <c r="A22" s="182"/>
      <c r="B22" s="182"/>
      <c r="C22" s="182"/>
      <c r="D22" s="182"/>
      <c r="E22" s="182"/>
      <c r="F22" s="182" t="s">
        <v>1277</v>
      </c>
      <c r="G22" s="180">
        <f>SUM(G16:G21)</f>
        <v>8702.1899999999987</v>
      </c>
    </row>
    <row r="23" spans="1:7" x14ac:dyDescent="0.2">
      <c r="A23" s="182"/>
      <c r="B23" s="182"/>
      <c r="C23" s="182"/>
      <c r="D23" s="182"/>
      <c r="E23" s="182"/>
      <c r="F23" s="182"/>
      <c r="G23" s="182"/>
    </row>
    <row r="24" spans="1:7" ht="15" x14ac:dyDescent="0.25">
      <c r="A24" s="179" t="s">
        <v>1288</v>
      </c>
      <c r="B24" s="179">
        <v>3</v>
      </c>
      <c r="C24" s="179" t="s">
        <v>1321</v>
      </c>
      <c r="D24" s="179" t="s">
        <v>1283</v>
      </c>
      <c r="E24" s="179" t="s">
        <v>1302</v>
      </c>
      <c r="F24" s="178" t="s">
        <v>1303</v>
      </c>
      <c r="G24" s="178" t="s">
        <v>1277</v>
      </c>
    </row>
    <row r="25" spans="1:7" ht="15" x14ac:dyDescent="0.25">
      <c r="A25" s="181" t="s">
        <v>72</v>
      </c>
      <c r="B25" s="179" t="s">
        <v>1290</v>
      </c>
      <c r="C25" s="181" t="s">
        <v>1291</v>
      </c>
      <c r="D25" s="179" t="s">
        <v>75</v>
      </c>
      <c r="E25" s="180">
        <v>6</v>
      </c>
      <c r="F25" s="180">
        <f>F16</f>
        <v>23.98</v>
      </c>
      <c r="G25" s="180">
        <f t="shared" ref="G25:G30" si="2">E25*F25</f>
        <v>143.88</v>
      </c>
    </row>
    <row r="26" spans="1:7" ht="15" x14ac:dyDescent="0.25">
      <c r="A26" s="181" t="s">
        <v>72</v>
      </c>
      <c r="B26" s="179" t="s">
        <v>1292</v>
      </c>
      <c r="C26" s="181" t="s">
        <v>153</v>
      </c>
      <c r="D26" s="179" t="s">
        <v>75</v>
      </c>
      <c r="E26" s="180">
        <v>4</v>
      </c>
      <c r="F26" s="180">
        <f>F35</f>
        <v>19.940000000000001</v>
      </c>
      <c r="G26" s="180">
        <f t="shared" si="2"/>
        <v>79.760000000000005</v>
      </c>
    </row>
    <row r="27" spans="1:7" ht="15" x14ac:dyDescent="0.25">
      <c r="A27" s="181" t="s">
        <v>1293</v>
      </c>
      <c r="B27" s="179" t="s">
        <v>1294</v>
      </c>
      <c r="C27" s="181" t="s">
        <v>1295</v>
      </c>
      <c r="D27" s="179" t="s">
        <v>1296</v>
      </c>
      <c r="E27" s="180">
        <v>1</v>
      </c>
      <c r="F27" s="180">
        <f>F18</f>
        <v>2640.18</v>
      </c>
      <c r="G27" s="180">
        <f t="shared" si="2"/>
        <v>2640.18</v>
      </c>
    </row>
    <row r="28" spans="1:7" ht="15" x14ac:dyDescent="0.25">
      <c r="A28" s="181" t="s">
        <v>1293</v>
      </c>
      <c r="B28" s="179" t="s">
        <v>1297</v>
      </c>
      <c r="C28" s="181" t="s">
        <v>1122</v>
      </c>
      <c r="D28" s="179" t="s">
        <v>1298</v>
      </c>
      <c r="E28" s="180">
        <v>160</v>
      </c>
      <c r="F28" s="180">
        <f>F19</f>
        <v>19.350000000000001</v>
      </c>
      <c r="G28" s="180">
        <f t="shared" si="2"/>
        <v>3096</v>
      </c>
    </row>
    <row r="29" spans="1:7" ht="15" x14ac:dyDescent="0.25">
      <c r="A29" s="181" t="s">
        <v>1293</v>
      </c>
      <c r="B29" s="179" t="s">
        <v>1299</v>
      </c>
      <c r="C29" s="181" t="s">
        <v>161</v>
      </c>
      <c r="D29" s="179" t="s">
        <v>1300</v>
      </c>
      <c r="E29" s="180">
        <v>40</v>
      </c>
      <c r="F29" s="180">
        <f>F20</f>
        <v>38.200000000000003</v>
      </c>
      <c r="G29" s="180">
        <f t="shared" si="2"/>
        <v>1528</v>
      </c>
    </row>
    <row r="30" spans="1:7" ht="15" x14ac:dyDescent="0.25">
      <c r="A30" s="181" t="s">
        <v>1369</v>
      </c>
      <c r="B30" s="179">
        <v>4652</v>
      </c>
      <c r="C30" s="181" t="s">
        <v>1301</v>
      </c>
      <c r="D30" s="179" t="s">
        <v>1278</v>
      </c>
      <c r="E30" s="180">
        <v>1</v>
      </c>
      <c r="F30" s="180">
        <f>F39</f>
        <v>1214.3699999999999</v>
      </c>
      <c r="G30" s="180">
        <f t="shared" si="2"/>
        <v>1214.3699999999999</v>
      </c>
    </row>
    <row r="31" spans="1:7" ht="15" x14ac:dyDescent="0.25">
      <c r="A31" s="182"/>
      <c r="B31" s="182"/>
      <c r="C31" s="182"/>
      <c r="D31" s="182"/>
      <c r="E31" s="182"/>
      <c r="F31" s="182" t="s">
        <v>1277</v>
      </c>
      <c r="G31" s="180">
        <f>SUM(G25:G30)</f>
        <v>8702.1899999999987</v>
      </c>
    </row>
    <row r="32" spans="1:7" x14ac:dyDescent="0.2">
      <c r="A32" s="182"/>
      <c r="B32" s="182"/>
      <c r="C32" s="182"/>
      <c r="D32" s="182"/>
      <c r="E32" s="182"/>
      <c r="F32" s="182"/>
      <c r="G32" s="182"/>
    </row>
    <row r="33" spans="1:7" ht="15" x14ac:dyDescent="0.25">
      <c r="A33" s="179" t="s">
        <v>1288</v>
      </c>
      <c r="B33" s="179">
        <v>4</v>
      </c>
      <c r="C33" s="179" t="s">
        <v>1322</v>
      </c>
      <c r="D33" s="179" t="s">
        <v>1283</v>
      </c>
      <c r="E33" s="179" t="s">
        <v>1302</v>
      </c>
      <c r="F33" s="178" t="s">
        <v>1303</v>
      </c>
      <c r="G33" s="178" t="s">
        <v>1277</v>
      </c>
    </row>
    <row r="34" spans="1:7" ht="15" x14ac:dyDescent="0.25">
      <c r="A34" s="181" t="s">
        <v>72</v>
      </c>
      <c r="B34" s="179" t="s">
        <v>1290</v>
      </c>
      <c r="C34" s="181" t="s">
        <v>1291</v>
      </c>
      <c r="D34" s="179" t="s">
        <v>75</v>
      </c>
      <c r="E34" s="180">
        <v>6</v>
      </c>
      <c r="F34" s="180">
        <f>F25</f>
        <v>23.98</v>
      </c>
      <c r="G34" s="180">
        <f t="shared" ref="G34:G39" si="3">E34*F34</f>
        <v>143.88</v>
      </c>
    </row>
    <row r="35" spans="1:7" ht="15" x14ac:dyDescent="0.25">
      <c r="A35" s="181" t="s">
        <v>72</v>
      </c>
      <c r="B35" s="179" t="s">
        <v>1292</v>
      </c>
      <c r="C35" s="181" t="s">
        <v>153</v>
      </c>
      <c r="D35" s="179" t="s">
        <v>75</v>
      </c>
      <c r="E35" s="180">
        <v>4</v>
      </c>
      <c r="F35" s="180">
        <v>19.940000000000001</v>
      </c>
      <c r="G35" s="180">
        <f t="shared" si="3"/>
        <v>79.760000000000005</v>
      </c>
    </row>
    <row r="36" spans="1:7" ht="15" x14ac:dyDescent="0.25">
      <c r="A36" s="181" t="s">
        <v>1293</v>
      </c>
      <c r="B36" s="179" t="s">
        <v>1294</v>
      </c>
      <c r="C36" s="181" t="s">
        <v>1295</v>
      </c>
      <c r="D36" s="179" t="s">
        <v>1296</v>
      </c>
      <c r="E36" s="180">
        <v>1</v>
      </c>
      <c r="F36" s="180">
        <v>2640.18</v>
      </c>
      <c r="G36" s="180">
        <f t="shared" si="3"/>
        <v>2640.18</v>
      </c>
    </row>
    <row r="37" spans="1:7" ht="15" x14ac:dyDescent="0.25">
      <c r="A37" s="181" t="s">
        <v>1293</v>
      </c>
      <c r="B37" s="179" t="s">
        <v>1297</v>
      </c>
      <c r="C37" s="181" t="s">
        <v>1122</v>
      </c>
      <c r="D37" s="179" t="s">
        <v>1298</v>
      </c>
      <c r="E37" s="180">
        <v>160</v>
      </c>
      <c r="F37" s="180">
        <v>19.350000000000001</v>
      </c>
      <c r="G37" s="180">
        <f t="shared" si="3"/>
        <v>3096</v>
      </c>
    </row>
    <row r="38" spans="1:7" ht="15" x14ac:dyDescent="0.25">
      <c r="A38" s="181" t="s">
        <v>1293</v>
      </c>
      <c r="B38" s="179" t="s">
        <v>1299</v>
      </c>
      <c r="C38" s="181" t="s">
        <v>161</v>
      </c>
      <c r="D38" s="179" t="s">
        <v>1300</v>
      </c>
      <c r="E38" s="180">
        <v>40</v>
      </c>
      <c r="F38" s="180">
        <v>38.200000000000003</v>
      </c>
      <c r="G38" s="180">
        <f t="shared" si="3"/>
        <v>1528</v>
      </c>
    </row>
    <row r="39" spans="1:7" ht="15" x14ac:dyDescent="0.25">
      <c r="A39" s="181" t="s">
        <v>1369</v>
      </c>
      <c r="B39" s="179">
        <v>4652</v>
      </c>
      <c r="C39" s="181" t="s">
        <v>1301</v>
      </c>
      <c r="D39" s="179" t="s">
        <v>1278</v>
      </c>
      <c r="E39" s="180">
        <v>1</v>
      </c>
      <c r="F39" s="180">
        <v>1214.3699999999999</v>
      </c>
      <c r="G39" s="180">
        <f t="shared" si="3"/>
        <v>1214.3699999999999</v>
      </c>
    </row>
    <row r="40" spans="1:7" ht="15" x14ac:dyDescent="0.25">
      <c r="A40" s="182"/>
      <c r="B40" s="182"/>
      <c r="C40" s="182"/>
      <c r="D40" s="182"/>
      <c r="E40" s="182"/>
      <c r="F40" s="182" t="s">
        <v>1277</v>
      </c>
      <c r="G40" s="180">
        <f>SUM(G34:G39)</f>
        <v>8702.1899999999987</v>
      </c>
    </row>
    <row r="41" spans="1:7" ht="15" x14ac:dyDescent="0.25">
      <c r="A41" s="179" t="s">
        <v>1288</v>
      </c>
      <c r="B41" s="179">
        <v>5</v>
      </c>
      <c r="C41" s="179" t="s">
        <v>1323</v>
      </c>
      <c r="D41" s="179" t="s">
        <v>1283</v>
      </c>
      <c r="E41" s="179" t="s">
        <v>1302</v>
      </c>
      <c r="F41" s="178" t="s">
        <v>1303</v>
      </c>
      <c r="G41" s="178" t="s">
        <v>1277</v>
      </c>
    </row>
    <row r="42" spans="1:7" ht="15" x14ac:dyDescent="0.25">
      <c r="A42" s="181" t="s">
        <v>72</v>
      </c>
      <c r="B42" s="179" t="s">
        <v>1290</v>
      </c>
      <c r="C42" s="181" t="s">
        <v>1291</v>
      </c>
      <c r="D42" s="179" t="s">
        <v>75</v>
      </c>
      <c r="E42" s="180">
        <v>6</v>
      </c>
      <c r="F42" s="180">
        <f t="shared" ref="F42:F47" si="4">F34</f>
        <v>23.98</v>
      </c>
      <c r="G42" s="180">
        <f t="shared" ref="G42:G47" si="5">E42*F42</f>
        <v>143.88</v>
      </c>
    </row>
    <row r="43" spans="1:7" ht="15" x14ac:dyDescent="0.25">
      <c r="A43" s="181" t="s">
        <v>72</v>
      </c>
      <c r="B43" s="179" t="s">
        <v>1292</v>
      </c>
      <c r="C43" s="181" t="s">
        <v>153</v>
      </c>
      <c r="D43" s="179" t="s">
        <v>75</v>
      </c>
      <c r="E43" s="180">
        <v>4</v>
      </c>
      <c r="F43" s="180">
        <f t="shared" si="4"/>
        <v>19.940000000000001</v>
      </c>
      <c r="G43" s="180">
        <f t="shared" si="5"/>
        <v>79.760000000000005</v>
      </c>
    </row>
    <row r="44" spans="1:7" ht="15" x14ac:dyDescent="0.25">
      <c r="A44" s="181" t="s">
        <v>1293</v>
      </c>
      <c r="B44" s="179" t="s">
        <v>1294</v>
      </c>
      <c r="C44" s="181" t="s">
        <v>1295</v>
      </c>
      <c r="D44" s="179" t="s">
        <v>1296</v>
      </c>
      <c r="E44" s="180">
        <v>1</v>
      </c>
      <c r="F44" s="180">
        <f t="shared" si="4"/>
        <v>2640.18</v>
      </c>
      <c r="G44" s="180">
        <f t="shared" si="5"/>
        <v>2640.18</v>
      </c>
    </row>
    <row r="45" spans="1:7" ht="15" x14ac:dyDescent="0.25">
      <c r="A45" s="181" t="s">
        <v>1293</v>
      </c>
      <c r="B45" s="179" t="s">
        <v>1297</v>
      </c>
      <c r="C45" s="181" t="s">
        <v>1122</v>
      </c>
      <c r="D45" s="179" t="s">
        <v>1298</v>
      </c>
      <c r="E45" s="180">
        <v>100</v>
      </c>
      <c r="F45" s="180">
        <f t="shared" si="4"/>
        <v>19.350000000000001</v>
      </c>
      <c r="G45" s="180">
        <f t="shared" si="5"/>
        <v>1935.0000000000002</v>
      </c>
    </row>
    <row r="46" spans="1:7" ht="15" x14ac:dyDescent="0.25">
      <c r="A46" s="181" t="s">
        <v>1293</v>
      </c>
      <c r="B46" s="179" t="s">
        <v>1299</v>
      </c>
      <c r="C46" s="181" t="s">
        <v>161</v>
      </c>
      <c r="D46" s="179" t="s">
        <v>1300</v>
      </c>
      <c r="E46" s="180">
        <v>40</v>
      </c>
      <c r="F46" s="180">
        <f t="shared" si="4"/>
        <v>38.200000000000003</v>
      </c>
      <c r="G46" s="180">
        <f t="shared" si="5"/>
        <v>1528</v>
      </c>
    </row>
    <row r="47" spans="1:7" ht="15" x14ac:dyDescent="0.25">
      <c r="A47" s="181" t="s">
        <v>1369</v>
      </c>
      <c r="B47" s="179">
        <v>4652</v>
      </c>
      <c r="C47" s="181" t="s">
        <v>1301</v>
      </c>
      <c r="D47" s="179" t="s">
        <v>1300</v>
      </c>
      <c r="E47" s="180">
        <v>1</v>
      </c>
      <c r="F47" s="180">
        <f t="shared" si="4"/>
        <v>1214.3699999999999</v>
      </c>
      <c r="G47" s="180">
        <f t="shared" si="5"/>
        <v>1214.3699999999999</v>
      </c>
    </row>
    <row r="48" spans="1:7" ht="15" x14ac:dyDescent="0.25">
      <c r="A48" s="182"/>
      <c r="B48" s="182"/>
      <c r="C48" s="182"/>
      <c r="D48" s="182"/>
      <c r="E48" s="182"/>
      <c r="F48" s="182" t="s">
        <v>1277</v>
      </c>
      <c r="G48" s="180">
        <f>SUM(G42:G47)</f>
        <v>7541.19</v>
      </c>
    </row>
    <row r="49" spans="1:7" x14ac:dyDescent="0.2">
      <c r="A49" s="182"/>
      <c r="B49" s="182"/>
      <c r="C49" s="182"/>
      <c r="D49" s="182"/>
      <c r="E49" s="182"/>
      <c r="F49" s="182"/>
      <c r="G49" s="182"/>
    </row>
    <row r="50" spans="1:7" ht="15" x14ac:dyDescent="0.25">
      <c r="A50" s="179" t="s">
        <v>1288</v>
      </c>
      <c r="B50" s="179">
        <v>6</v>
      </c>
      <c r="C50" s="179" t="s">
        <v>1324</v>
      </c>
      <c r="D50" s="179" t="s">
        <v>1283</v>
      </c>
      <c r="E50" s="179" t="s">
        <v>1302</v>
      </c>
      <c r="F50" s="178" t="s">
        <v>1303</v>
      </c>
      <c r="G50" s="178" t="s">
        <v>1277</v>
      </c>
    </row>
    <row r="51" spans="1:7" ht="15" x14ac:dyDescent="0.25">
      <c r="A51" s="181" t="s">
        <v>72</v>
      </c>
      <c r="B51" s="179" t="s">
        <v>1290</v>
      </c>
      <c r="C51" s="181" t="s">
        <v>1291</v>
      </c>
      <c r="D51" s="179" t="s">
        <v>75</v>
      </c>
      <c r="E51" s="180">
        <v>6</v>
      </c>
      <c r="F51" s="180">
        <f>F42</f>
        <v>23.98</v>
      </c>
      <c r="G51" s="180">
        <f t="shared" ref="G51:G56" si="6">E51*F51</f>
        <v>143.88</v>
      </c>
    </row>
    <row r="52" spans="1:7" ht="15" x14ac:dyDescent="0.25">
      <c r="A52" s="181" t="s">
        <v>72</v>
      </c>
      <c r="B52" s="179" t="s">
        <v>1292</v>
      </c>
      <c r="C52" s="181" t="s">
        <v>153</v>
      </c>
      <c r="D52" s="179" t="s">
        <v>75</v>
      </c>
      <c r="E52" s="180">
        <v>4</v>
      </c>
      <c r="F52" s="180">
        <f>F43</f>
        <v>19.940000000000001</v>
      </c>
      <c r="G52" s="180">
        <f t="shared" si="6"/>
        <v>79.760000000000005</v>
      </c>
    </row>
    <row r="53" spans="1:7" ht="15" x14ac:dyDescent="0.25">
      <c r="A53" s="181" t="s">
        <v>1293</v>
      </c>
      <c r="B53" s="179" t="s">
        <v>1294</v>
      </c>
      <c r="C53" s="181" t="s">
        <v>1295</v>
      </c>
      <c r="D53" s="179" t="s">
        <v>1296</v>
      </c>
      <c r="E53" s="180">
        <v>1</v>
      </c>
      <c r="F53" s="180">
        <f>F44</f>
        <v>2640.18</v>
      </c>
      <c r="G53" s="180">
        <f t="shared" si="6"/>
        <v>2640.18</v>
      </c>
    </row>
    <row r="54" spans="1:7" ht="15" x14ac:dyDescent="0.25">
      <c r="A54" s="181" t="s">
        <v>1293</v>
      </c>
      <c r="B54" s="179" t="s">
        <v>1297</v>
      </c>
      <c r="C54" s="181" t="s">
        <v>1122</v>
      </c>
      <c r="D54" s="179" t="s">
        <v>1298</v>
      </c>
      <c r="E54" s="180">
        <v>160</v>
      </c>
      <c r="F54" s="180">
        <f>F37</f>
        <v>19.350000000000001</v>
      </c>
      <c r="G54" s="180">
        <f t="shared" si="6"/>
        <v>3096</v>
      </c>
    </row>
    <row r="55" spans="1:7" ht="15" x14ac:dyDescent="0.25">
      <c r="A55" s="181" t="s">
        <v>1293</v>
      </c>
      <c r="B55" s="179" t="s">
        <v>1299</v>
      </c>
      <c r="C55" s="181" t="s">
        <v>161</v>
      </c>
      <c r="D55" s="179" t="s">
        <v>1300</v>
      </c>
      <c r="E55" s="180">
        <v>40</v>
      </c>
      <c r="F55" s="180">
        <f>F46</f>
        <v>38.200000000000003</v>
      </c>
      <c r="G55" s="180">
        <f t="shared" si="6"/>
        <v>1528</v>
      </c>
    </row>
    <row r="56" spans="1:7" ht="15" x14ac:dyDescent="0.25">
      <c r="A56" s="181" t="s">
        <v>1369</v>
      </c>
      <c r="B56" s="179">
        <v>4652</v>
      </c>
      <c r="C56" s="181" t="s">
        <v>1301</v>
      </c>
      <c r="D56" s="179" t="s">
        <v>1300</v>
      </c>
      <c r="E56" s="180">
        <v>1</v>
      </c>
      <c r="F56" s="180">
        <f>F47</f>
        <v>1214.3699999999999</v>
      </c>
      <c r="G56" s="180">
        <f t="shared" si="6"/>
        <v>1214.3699999999999</v>
      </c>
    </row>
    <row r="57" spans="1:7" ht="15" x14ac:dyDescent="0.25">
      <c r="A57" s="182"/>
      <c r="B57" s="182"/>
      <c r="C57" s="182"/>
      <c r="D57" s="182"/>
      <c r="E57" s="182"/>
      <c r="F57" s="182" t="s">
        <v>1277</v>
      </c>
      <c r="G57" s="180">
        <f>SUM(G51:G56)</f>
        <v>8702.1899999999987</v>
      </c>
    </row>
    <row r="58" spans="1:7" x14ac:dyDescent="0.2">
      <c r="A58" s="183"/>
      <c r="B58" s="183"/>
      <c r="C58" s="183"/>
      <c r="D58" s="183"/>
      <c r="E58" s="183"/>
      <c r="F58" s="183"/>
      <c r="G58" s="183"/>
    </row>
    <row r="59" spans="1:7" ht="15" x14ac:dyDescent="0.25">
      <c r="A59" s="181" t="s">
        <v>1286</v>
      </c>
      <c r="B59" s="179">
        <v>7</v>
      </c>
      <c r="C59" s="181" t="s">
        <v>1342</v>
      </c>
      <c r="D59" s="179" t="s">
        <v>121</v>
      </c>
      <c r="E59" s="181"/>
      <c r="F59" s="181"/>
      <c r="G59" s="181"/>
    </row>
    <row r="60" spans="1:7" ht="15" x14ac:dyDescent="0.25">
      <c r="A60" s="181" t="s">
        <v>72</v>
      </c>
      <c r="B60" s="179" t="s">
        <v>1344</v>
      </c>
      <c r="C60" s="181" t="s">
        <v>157</v>
      </c>
      <c r="D60" s="179" t="s">
        <v>75</v>
      </c>
      <c r="E60" s="181">
        <v>3</v>
      </c>
      <c r="F60" s="181">
        <v>19.3</v>
      </c>
      <c r="G60" s="180">
        <f t="shared" ref="G60:G61" si="7">E60*F60</f>
        <v>57.900000000000006</v>
      </c>
    </row>
    <row r="61" spans="1:7" ht="15" x14ac:dyDescent="0.25">
      <c r="A61" s="181" t="s">
        <v>1293</v>
      </c>
      <c r="B61" s="179" t="s">
        <v>1345</v>
      </c>
      <c r="C61" s="181" t="s">
        <v>1346</v>
      </c>
      <c r="D61" s="179" t="s">
        <v>1347</v>
      </c>
      <c r="E61" s="181">
        <v>1</v>
      </c>
      <c r="F61" s="181">
        <v>227.5</v>
      </c>
      <c r="G61" s="180">
        <f t="shared" si="7"/>
        <v>227.5</v>
      </c>
    </row>
    <row r="62" spans="1:7" ht="15" x14ac:dyDescent="0.25">
      <c r="A62" s="181"/>
      <c r="B62" s="179"/>
      <c r="C62" s="181"/>
      <c r="D62" s="181"/>
      <c r="E62" s="181"/>
      <c r="F62" s="181" t="s">
        <v>1277</v>
      </c>
      <c r="G62" s="180">
        <f>SUM(G60:G61)</f>
        <v>285.39999999999998</v>
      </c>
    </row>
    <row r="63" spans="1:7" x14ac:dyDescent="0.2">
      <c r="A63" s="183"/>
      <c r="B63" s="184"/>
      <c r="C63" s="183"/>
      <c r="D63" s="183"/>
      <c r="E63" s="183"/>
      <c r="F63" s="183"/>
      <c r="G63" s="183"/>
    </row>
    <row r="64" spans="1:7" ht="15" x14ac:dyDescent="0.25">
      <c r="A64" s="181" t="s">
        <v>1288</v>
      </c>
      <c r="B64" s="179">
        <v>8</v>
      </c>
      <c r="C64" s="181" t="s">
        <v>1348</v>
      </c>
      <c r="D64" s="179" t="s">
        <v>121</v>
      </c>
      <c r="E64" s="181"/>
      <c r="F64" s="181"/>
      <c r="G64" s="181"/>
    </row>
    <row r="65" spans="1:9" ht="15" x14ac:dyDescent="0.25">
      <c r="A65" s="181" t="s">
        <v>72</v>
      </c>
      <c r="B65" s="179" t="s">
        <v>1344</v>
      </c>
      <c r="C65" s="181" t="s">
        <v>157</v>
      </c>
      <c r="D65" s="179" t="s">
        <v>75</v>
      </c>
      <c r="E65" s="181">
        <v>3</v>
      </c>
      <c r="F65" s="181">
        <v>19.3</v>
      </c>
      <c r="G65" s="180">
        <f t="shared" ref="G65:G66" si="8">E65*F65</f>
        <v>57.900000000000006</v>
      </c>
    </row>
    <row r="66" spans="1:9" ht="15" x14ac:dyDescent="0.25">
      <c r="A66" s="181" t="s">
        <v>1293</v>
      </c>
      <c r="B66" s="179" t="s">
        <v>1349</v>
      </c>
      <c r="C66" s="181" t="s">
        <v>1350</v>
      </c>
      <c r="D66" s="179" t="s">
        <v>1347</v>
      </c>
      <c r="E66" s="181">
        <v>2</v>
      </c>
      <c r="F66" s="181">
        <v>443.52</v>
      </c>
      <c r="G66" s="180">
        <f t="shared" si="8"/>
        <v>887.04</v>
      </c>
    </row>
    <row r="67" spans="1:9" ht="15" x14ac:dyDescent="0.25">
      <c r="A67" s="181"/>
      <c r="B67" s="179"/>
      <c r="C67" s="181" t="s">
        <v>122</v>
      </c>
      <c r="D67" s="181" t="s">
        <v>122</v>
      </c>
      <c r="E67" s="181"/>
      <c r="F67" s="181" t="s">
        <v>1277</v>
      </c>
      <c r="G67" s="180">
        <f>SUM(G65:G66)</f>
        <v>944.93999999999994</v>
      </c>
    </row>
    <row r="68" spans="1:9" x14ac:dyDescent="0.2">
      <c r="A68" s="183"/>
      <c r="B68" s="184"/>
      <c r="C68" s="183"/>
      <c r="D68" s="183"/>
      <c r="E68" s="183"/>
      <c r="F68" s="183"/>
      <c r="G68" s="183"/>
    </row>
    <row r="69" spans="1:9" ht="15" x14ac:dyDescent="0.25">
      <c r="A69" s="270" t="s">
        <v>1286</v>
      </c>
      <c r="B69" s="271">
        <v>9</v>
      </c>
      <c r="C69" s="270" t="s">
        <v>1343</v>
      </c>
      <c r="D69" s="270" t="s">
        <v>1283</v>
      </c>
      <c r="E69" s="270"/>
      <c r="F69" s="270"/>
      <c r="G69" s="272"/>
      <c r="H69" s="123">
        <v>0</v>
      </c>
      <c r="I69" s="123">
        <v>501.41999999999996</v>
      </c>
    </row>
    <row r="70" spans="1:9" ht="15" x14ac:dyDescent="0.25">
      <c r="A70" s="270" t="s">
        <v>1293</v>
      </c>
      <c r="B70" s="271" t="s">
        <v>1349</v>
      </c>
      <c r="C70" s="270" t="s">
        <v>1350</v>
      </c>
      <c r="D70" s="270" t="s">
        <v>1347</v>
      </c>
      <c r="E70" s="270">
        <v>1</v>
      </c>
      <c r="F70" s="270">
        <v>490.31</v>
      </c>
      <c r="G70" s="272">
        <f t="shared" ref="G70:G71" si="9">E70*F70</f>
        <v>490.31</v>
      </c>
      <c r="H70" s="123">
        <v>0</v>
      </c>
      <c r="I70" s="123">
        <v>443.52</v>
      </c>
    </row>
    <row r="71" spans="1:9" ht="15" x14ac:dyDescent="0.25">
      <c r="A71" s="270" t="s">
        <v>72</v>
      </c>
      <c r="B71" s="271" t="s">
        <v>1344</v>
      </c>
      <c r="C71" s="270" t="s">
        <v>157</v>
      </c>
      <c r="D71" s="270" t="s">
        <v>75</v>
      </c>
      <c r="E71" s="270">
        <v>3</v>
      </c>
      <c r="F71" s="270">
        <v>19.3</v>
      </c>
      <c r="G71" s="272">
        <f t="shared" si="9"/>
        <v>57.900000000000006</v>
      </c>
      <c r="H71" s="123">
        <v>0</v>
      </c>
      <c r="I71" s="123">
        <v>19.3</v>
      </c>
    </row>
    <row r="72" spans="1:9" ht="15" x14ac:dyDescent="0.25">
      <c r="A72" s="183"/>
      <c r="B72" s="183"/>
      <c r="C72" s="183"/>
      <c r="D72" s="183"/>
      <c r="E72" s="183"/>
      <c r="F72" s="185" t="s">
        <v>1277</v>
      </c>
      <c r="G72" s="186">
        <f>SUM(G70:G71)</f>
        <v>548.21</v>
      </c>
    </row>
    <row r="73" spans="1:9" ht="15" x14ac:dyDescent="0.25">
      <c r="A73" s="181" t="s">
        <v>1286</v>
      </c>
      <c r="B73" s="179">
        <v>10</v>
      </c>
      <c r="C73" s="181" t="s">
        <v>1360</v>
      </c>
      <c r="D73" s="181"/>
      <c r="E73" s="181"/>
      <c r="F73" s="181"/>
      <c r="G73" s="181"/>
      <c r="H73" s="123">
        <v>0</v>
      </c>
      <c r="I73" s="123">
        <v>436.41999999999996</v>
      </c>
    </row>
    <row r="74" spans="1:9" ht="15" x14ac:dyDescent="0.25">
      <c r="A74" s="181" t="s">
        <v>72</v>
      </c>
      <c r="B74" s="181" t="s">
        <v>1344</v>
      </c>
      <c r="C74" s="181" t="s">
        <v>157</v>
      </c>
      <c r="D74" s="181" t="s">
        <v>75</v>
      </c>
      <c r="E74" s="181">
        <v>3</v>
      </c>
      <c r="F74" s="181">
        <v>19.3</v>
      </c>
      <c r="G74" s="180">
        <f t="shared" ref="G74:G75" si="10">E74*F74</f>
        <v>57.900000000000006</v>
      </c>
      <c r="H74" s="123">
        <v>0</v>
      </c>
      <c r="I74" s="123">
        <v>19.3</v>
      </c>
    </row>
    <row r="75" spans="1:9" ht="15" x14ac:dyDescent="0.25">
      <c r="A75" s="181" t="s">
        <v>1293</v>
      </c>
      <c r="B75" s="181" t="s">
        <v>1361</v>
      </c>
      <c r="C75" s="181" t="s">
        <v>1362</v>
      </c>
      <c r="D75" s="181" t="s">
        <v>1347</v>
      </c>
      <c r="E75" s="181">
        <v>1</v>
      </c>
      <c r="F75" s="181">
        <v>378.52</v>
      </c>
      <c r="G75" s="180">
        <f t="shared" si="10"/>
        <v>378.52</v>
      </c>
      <c r="H75" s="123">
        <v>0</v>
      </c>
      <c r="I75" s="123">
        <v>378.52</v>
      </c>
    </row>
    <row r="76" spans="1:9" ht="15" x14ac:dyDescent="0.25">
      <c r="A76" s="182"/>
      <c r="B76" s="182"/>
      <c r="C76" s="182"/>
      <c r="D76" s="182"/>
      <c r="E76" s="182"/>
      <c r="F76" s="181" t="s">
        <v>1277</v>
      </c>
      <c r="G76" s="186">
        <f>SUM(G74:G75)</f>
        <v>436.41999999999996</v>
      </c>
    </row>
  </sheetData>
  <pageMargins left="0.51181102362204722" right="0.51181102362204722" top="1.1811023622047245" bottom="0.78740157480314965" header="0.31496062992125984" footer="0.31496062992125984"/>
  <pageSetup paperSize="9" scale="83" orientation="portrait"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K271"/>
  <sheetViews>
    <sheetView view="pageBreakPreview" zoomScale="80" zoomScaleNormal="100" zoomScaleSheetLayoutView="80" workbookViewId="0">
      <selection activeCell="E14" sqref="E14"/>
    </sheetView>
  </sheetViews>
  <sheetFormatPr defaultRowHeight="14.25" x14ac:dyDescent="0.2"/>
  <cols>
    <col min="3" max="3" width="38.75" customWidth="1"/>
    <col min="8" max="8" width="12.875" customWidth="1"/>
    <col min="9" max="9" width="10.75" customWidth="1"/>
  </cols>
  <sheetData>
    <row r="2" spans="1:9" ht="15" x14ac:dyDescent="0.25">
      <c r="A2" s="165"/>
      <c r="B2" s="165"/>
      <c r="C2" s="166" t="s">
        <v>1351</v>
      </c>
      <c r="D2" s="165"/>
      <c r="E2" s="165"/>
      <c r="F2" s="165"/>
      <c r="G2" s="165"/>
      <c r="H2" s="165"/>
      <c r="I2" s="165"/>
    </row>
    <row r="3" spans="1:9" x14ac:dyDescent="0.2">
      <c r="A3" s="171" t="s">
        <v>1288</v>
      </c>
      <c r="B3" s="171">
        <v>11</v>
      </c>
      <c r="C3" s="167" t="s">
        <v>1352</v>
      </c>
      <c r="D3" s="165"/>
      <c r="E3" s="165"/>
      <c r="F3" s="165"/>
      <c r="G3" s="165"/>
      <c r="H3" s="165"/>
      <c r="I3" s="165"/>
    </row>
    <row r="4" spans="1:9" x14ac:dyDescent="0.2">
      <c r="A4" s="146"/>
      <c r="B4" s="146"/>
      <c r="C4" s="146" t="s">
        <v>1037</v>
      </c>
      <c r="D4" s="146"/>
      <c r="E4" s="7"/>
      <c r="F4" s="146"/>
      <c r="G4" s="122"/>
      <c r="H4" s="8">
        <f>SUM(H5:H8)</f>
        <v>5333.7838682699994</v>
      </c>
      <c r="I4" s="9">
        <f>SUM(I5:I8)</f>
        <v>4.1751389393723644E-2</v>
      </c>
    </row>
    <row r="5" spans="1:9" ht="63.75" x14ac:dyDescent="0.2">
      <c r="A5" s="151" t="s">
        <v>1067</v>
      </c>
      <c r="B5" s="150" t="s">
        <v>72</v>
      </c>
      <c r="C5" s="150" t="s">
        <v>1068</v>
      </c>
      <c r="D5" s="152" t="s">
        <v>1283</v>
      </c>
      <c r="E5" s="157">
        <f>9*1.5*1.5*1.5+5*0.8*0.8*3</f>
        <v>39.975000000000001</v>
      </c>
      <c r="F5" s="154">
        <v>38.15</v>
      </c>
      <c r="G5" s="154">
        <f t="shared" ref="G5:G27" si="0">F5*1.2423</f>
        <v>47.393744999999996</v>
      </c>
      <c r="H5" s="155">
        <f>G5*E5</f>
        <v>1894.5649563749998</v>
      </c>
      <c r="I5" s="156">
        <f>H5/$H$28</f>
        <v>1.4830132074881356E-2</v>
      </c>
    </row>
    <row r="6" spans="1:9" ht="38.25" x14ac:dyDescent="0.2">
      <c r="A6" s="151" t="s">
        <v>1069</v>
      </c>
      <c r="B6" s="150" t="s">
        <v>72</v>
      </c>
      <c r="C6" s="150" t="s">
        <v>1070</v>
      </c>
      <c r="D6" s="152" t="s">
        <v>1283</v>
      </c>
      <c r="E6" s="157">
        <f>E5*0.9</f>
        <v>35.977499999999999</v>
      </c>
      <c r="F6" s="154">
        <v>72.069999999999993</v>
      </c>
      <c r="G6" s="154">
        <f t="shared" si="0"/>
        <v>89.532560999999987</v>
      </c>
      <c r="H6" s="155">
        <f>G6*E6</f>
        <v>3221.1577133774995</v>
      </c>
      <c r="I6" s="156">
        <f t="shared" ref="I6:I27" si="1">H6/$H$28</f>
        <v>2.5214334384614137E-2</v>
      </c>
    </row>
    <row r="7" spans="1:9" ht="63.75" x14ac:dyDescent="0.2">
      <c r="A7" s="151" t="s">
        <v>1050</v>
      </c>
      <c r="B7" s="150" t="s">
        <v>72</v>
      </c>
      <c r="C7" s="150" t="s">
        <v>1051</v>
      </c>
      <c r="D7" s="152" t="s">
        <v>1283</v>
      </c>
      <c r="E7" s="157">
        <f>E5-E6</f>
        <v>3.9975000000000023</v>
      </c>
      <c r="F7" s="154">
        <v>7.9</v>
      </c>
      <c r="G7" s="154">
        <f t="shared" si="0"/>
        <v>9.8141700000000007</v>
      </c>
      <c r="H7" s="155">
        <f>G7*E7</f>
        <v>39.232144575000028</v>
      </c>
      <c r="I7" s="156">
        <f t="shared" si="1"/>
        <v>3.0709840993856568E-4</v>
      </c>
    </row>
    <row r="8" spans="1:9" ht="38.25" x14ac:dyDescent="0.2">
      <c r="A8" s="151" t="s">
        <v>1053</v>
      </c>
      <c r="B8" s="150" t="s">
        <v>72</v>
      </c>
      <c r="C8" s="150" t="s">
        <v>1054</v>
      </c>
      <c r="D8" s="152" t="s">
        <v>1055</v>
      </c>
      <c r="E8" s="169">
        <f>E7*10*1.3</f>
        <v>51.96750000000003</v>
      </c>
      <c r="F8" s="154">
        <v>2.77</v>
      </c>
      <c r="G8" s="154">
        <f t="shared" si="0"/>
        <v>3.4411709999999998</v>
      </c>
      <c r="H8" s="155">
        <f>G8*E8</f>
        <v>178.82905394250008</v>
      </c>
      <c r="I8" s="156">
        <f t="shared" si="1"/>
        <v>1.3998245242895881E-3</v>
      </c>
    </row>
    <row r="9" spans="1:9" x14ac:dyDescent="0.2">
      <c r="A9" s="146"/>
      <c r="B9" s="146"/>
      <c r="C9" s="146" t="s">
        <v>1039</v>
      </c>
      <c r="D9" s="146"/>
      <c r="E9" s="7"/>
      <c r="F9" s="146"/>
      <c r="G9" s="122"/>
      <c r="H9" s="8">
        <f>SUM(H10:H16)</f>
        <v>71089.508508008497</v>
      </c>
      <c r="I9" s="9">
        <f>SUM(I10:I16)</f>
        <v>0.55646907051915917</v>
      </c>
    </row>
    <row r="10" spans="1:9" ht="25.5" x14ac:dyDescent="0.2">
      <c r="A10" s="151" t="s">
        <v>1072</v>
      </c>
      <c r="B10" s="150" t="s">
        <v>1073</v>
      </c>
      <c r="C10" s="150" t="s">
        <v>1074</v>
      </c>
      <c r="D10" s="152" t="s">
        <v>121</v>
      </c>
      <c r="E10" s="157">
        <f>9*4*5</f>
        <v>180</v>
      </c>
      <c r="F10" s="154">
        <v>86.47</v>
      </c>
      <c r="G10" s="154">
        <f t="shared" si="0"/>
        <v>107.42168099999999</v>
      </c>
      <c r="H10" s="154">
        <f t="shared" ref="H10:H16" si="2">G10*E10</f>
        <v>19335.902579999998</v>
      </c>
      <c r="I10" s="156">
        <f t="shared" si="1"/>
        <v>0.15135611375241789</v>
      </c>
    </row>
    <row r="11" spans="1:9" ht="51" x14ac:dyDescent="0.2">
      <c r="A11" s="151" t="s">
        <v>1076</v>
      </c>
      <c r="B11" s="150" t="s">
        <v>72</v>
      </c>
      <c r="C11" s="150" t="s">
        <v>1077</v>
      </c>
      <c r="D11" s="152" t="s">
        <v>1281</v>
      </c>
      <c r="E11" s="157">
        <f>9*1.5*1.5*2</f>
        <v>40.5</v>
      </c>
      <c r="F11" s="154">
        <v>151.01</v>
      </c>
      <c r="G11" s="154">
        <f t="shared" si="0"/>
        <v>187.59972299999998</v>
      </c>
      <c r="H11" s="154">
        <f t="shared" si="2"/>
        <v>7597.7887814999995</v>
      </c>
      <c r="I11" s="156">
        <f t="shared" si="1"/>
        <v>5.9473395582217432E-2</v>
      </c>
    </row>
    <row r="12" spans="1:9" ht="38.25" x14ac:dyDescent="0.2">
      <c r="A12" s="151" t="s">
        <v>1079</v>
      </c>
      <c r="B12" s="150" t="s">
        <v>72</v>
      </c>
      <c r="C12" s="150" t="s">
        <v>1080</v>
      </c>
      <c r="D12" s="152" t="s">
        <v>1281</v>
      </c>
      <c r="E12" s="157">
        <f>9*1.5*1.5</f>
        <v>20.25</v>
      </c>
      <c r="F12" s="154">
        <v>29.12</v>
      </c>
      <c r="G12" s="154">
        <f t="shared" si="0"/>
        <v>36.175775999999999</v>
      </c>
      <c r="H12" s="154">
        <f t="shared" si="2"/>
        <v>732.55946399999993</v>
      </c>
      <c r="I12" s="156">
        <f t="shared" si="1"/>
        <v>5.73427348968337E-3</v>
      </c>
    </row>
    <row r="13" spans="1:9" ht="38.25" x14ac:dyDescent="0.2">
      <c r="A13" s="151" t="s">
        <v>1082</v>
      </c>
      <c r="B13" s="150" t="s">
        <v>72</v>
      </c>
      <c r="C13" s="150" t="s">
        <v>1083</v>
      </c>
      <c r="D13" s="152" t="s">
        <v>1283</v>
      </c>
      <c r="E13" s="170">
        <f>5*0.8*0.8*3</f>
        <v>9.6000000000000014</v>
      </c>
      <c r="F13" s="154">
        <v>522.47</v>
      </c>
      <c r="G13" s="154">
        <f t="shared" si="0"/>
        <v>649.064481</v>
      </c>
      <c r="H13" s="154">
        <f t="shared" si="2"/>
        <v>6231.0190176000006</v>
      </c>
      <c r="I13" s="156">
        <f t="shared" si="1"/>
        <v>4.8774698740820042E-2</v>
      </c>
    </row>
    <row r="14" spans="1:9" ht="25.5" x14ac:dyDescent="0.2">
      <c r="A14" s="151">
        <v>104486</v>
      </c>
      <c r="B14" s="150" t="s">
        <v>72</v>
      </c>
      <c r="C14" s="150" t="s">
        <v>1329</v>
      </c>
      <c r="D14" s="152" t="s">
        <v>1283</v>
      </c>
      <c r="E14" s="157">
        <f>9*0.8*0.8*1.5</f>
        <v>8.64</v>
      </c>
      <c r="F14" s="154">
        <v>3307.35</v>
      </c>
      <c r="G14" s="154">
        <f t="shared" si="0"/>
        <v>4108.7209050000001</v>
      </c>
      <c r="H14" s="154">
        <f t="shared" si="2"/>
        <v>35499.348619200005</v>
      </c>
      <c r="I14" s="156">
        <f t="shared" si="1"/>
        <v>0.27787911247039265</v>
      </c>
    </row>
    <row r="15" spans="1:9" ht="63.75" x14ac:dyDescent="0.2">
      <c r="A15" s="151" t="s">
        <v>1085</v>
      </c>
      <c r="B15" s="150" t="s">
        <v>72</v>
      </c>
      <c r="C15" s="150" t="s">
        <v>1086</v>
      </c>
      <c r="D15" s="152" t="s">
        <v>1066</v>
      </c>
      <c r="E15" s="157">
        <f>(3.14*0.25^2/4*E10)/2.83*10</f>
        <v>31.205830388692579</v>
      </c>
      <c r="F15" s="154">
        <v>3.14</v>
      </c>
      <c r="G15" s="154">
        <f t="shared" si="0"/>
        <v>3.9008220000000002</v>
      </c>
      <c r="H15" s="154">
        <f t="shared" si="2"/>
        <v>121.72838970848058</v>
      </c>
      <c r="I15" s="156">
        <f t="shared" si="1"/>
        <v>9.528562694907539E-4</v>
      </c>
    </row>
    <row r="16" spans="1:9" ht="51" x14ac:dyDescent="0.2">
      <c r="A16" s="151" t="s">
        <v>1088</v>
      </c>
      <c r="B16" s="150" t="s">
        <v>72</v>
      </c>
      <c r="C16" s="150" t="s">
        <v>1089</v>
      </c>
      <c r="D16" s="152" t="s">
        <v>105</v>
      </c>
      <c r="E16" s="157">
        <v>8</v>
      </c>
      <c r="F16" s="154">
        <v>158.09</v>
      </c>
      <c r="G16" s="154">
        <f t="shared" si="0"/>
        <v>196.395207</v>
      </c>
      <c r="H16" s="154">
        <f t="shared" si="2"/>
        <v>1571.161656</v>
      </c>
      <c r="I16" s="156">
        <f t="shared" si="1"/>
        <v>1.2298620214137079E-2</v>
      </c>
    </row>
    <row r="17" spans="1:9" x14ac:dyDescent="0.2">
      <c r="A17" s="146"/>
      <c r="B17" s="146"/>
      <c r="C17" s="146" t="s">
        <v>1041</v>
      </c>
      <c r="D17" s="146"/>
      <c r="E17" s="7"/>
      <c r="F17" s="146"/>
      <c r="G17" s="122"/>
      <c r="H17" s="8">
        <f>SUM(H18:H25)</f>
        <v>50909.60026436342</v>
      </c>
      <c r="I17" s="9">
        <f>SUM(I18:I25)</f>
        <v>0.39850631315619273</v>
      </c>
    </row>
    <row r="18" spans="1:9" ht="25.5" x14ac:dyDescent="0.2">
      <c r="A18" s="151">
        <v>2</v>
      </c>
      <c r="B18" s="150" t="s">
        <v>1286</v>
      </c>
      <c r="C18" s="150" t="s">
        <v>1282</v>
      </c>
      <c r="D18" s="152" t="s">
        <v>1283</v>
      </c>
      <c r="E18" s="157">
        <f>5*3*0.08</f>
        <v>1.2</v>
      </c>
      <c r="F18" s="154">
        <f>COMP!G22</f>
        <v>8702.1899999999987</v>
      </c>
      <c r="G18" s="154">
        <f t="shared" si="0"/>
        <v>10810.730636999999</v>
      </c>
      <c r="H18" s="155">
        <f t="shared" ref="H18:H25" si="3">G18*E18</f>
        <v>12972.876764399998</v>
      </c>
      <c r="I18" s="156">
        <f t="shared" si="1"/>
        <v>0.10154810219614922</v>
      </c>
    </row>
    <row r="19" spans="1:9" ht="25.5" x14ac:dyDescent="0.2">
      <c r="A19" s="158">
        <v>3</v>
      </c>
      <c r="B19" s="159" t="s">
        <v>1286</v>
      </c>
      <c r="C19" s="150" t="s">
        <v>1284</v>
      </c>
      <c r="D19" s="160" t="s">
        <v>1283</v>
      </c>
      <c r="E19" s="157">
        <f>3*2*0.2*0.3</f>
        <v>0.36000000000000004</v>
      </c>
      <c r="F19" s="154">
        <f>F18</f>
        <v>8702.1899999999987</v>
      </c>
      <c r="G19" s="154">
        <f t="shared" si="0"/>
        <v>10810.730636999999</v>
      </c>
      <c r="H19" s="161">
        <f t="shared" si="3"/>
        <v>3891.8630293199999</v>
      </c>
      <c r="I19" s="156">
        <f t="shared" si="1"/>
        <v>3.0464430658844771E-2</v>
      </c>
    </row>
    <row r="20" spans="1:9" ht="38.25" x14ac:dyDescent="0.2">
      <c r="A20" s="151">
        <v>4</v>
      </c>
      <c r="B20" s="150" t="s">
        <v>1286</v>
      </c>
      <c r="C20" s="150" t="s">
        <v>1370</v>
      </c>
      <c r="D20" s="152" t="s">
        <v>1283</v>
      </c>
      <c r="E20" s="157">
        <f>3*5*0.2*0.3</f>
        <v>0.89999999999999991</v>
      </c>
      <c r="F20" s="154">
        <f>F19</f>
        <v>8702.1899999999987</v>
      </c>
      <c r="G20" s="154">
        <f t="shared" si="0"/>
        <v>10810.730636999999</v>
      </c>
      <c r="H20" s="155">
        <f t="shared" si="3"/>
        <v>9729.6575732999972</v>
      </c>
      <c r="I20" s="156">
        <f t="shared" si="1"/>
        <v>7.61610766471119E-2</v>
      </c>
    </row>
    <row r="21" spans="1:9" ht="38.25" x14ac:dyDescent="0.2">
      <c r="A21" s="151">
        <v>4</v>
      </c>
      <c r="B21" s="150" t="s">
        <v>1286</v>
      </c>
      <c r="C21" s="150" t="s">
        <v>1371</v>
      </c>
      <c r="D21" s="152" t="s">
        <v>1283</v>
      </c>
      <c r="E21" s="157">
        <f>20*0.15*0.25</f>
        <v>0.75</v>
      </c>
      <c r="F21" s="154">
        <f>F20</f>
        <v>8702.1899999999987</v>
      </c>
      <c r="G21" s="154">
        <f t="shared" si="0"/>
        <v>10810.730636999999</v>
      </c>
      <c r="H21" s="155">
        <f t="shared" si="3"/>
        <v>8108.0479777499986</v>
      </c>
      <c r="I21" s="156">
        <f t="shared" si="1"/>
        <v>6.3467563872593266E-2</v>
      </c>
    </row>
    <row r="22" spans="1:9" ht="25.5" x14ac:dyDescent="0.2">
      <c r="A22" s="151">
        <v>5</v>
      </c>
      <c r="B22" s="150" t="s">
        <v>1286</v>
      </c>
      <c r="C22" s="150" t="s">
        <v>1285</v>
      </c>
      <c r="D22" s="152" t="s">
        <v>1283</v>
      </c>
      <c r="E22" s="157">
        <f>2*3*0.8*0.05</f>
        <v>0.24000000000000005</v>
      </c>
      <c r="F22" s="154">
        <f>COMP!G48</f>
        <v>7541.19</v>
      </c>
      <c r="G22" s="154">
        <f t="shared" si="0"/>
        <v>9368.4203369999996</v>
      </c>
      <c r="H22" s="155">
        <f t="shared" si="3"/>
        <v>2248.4208808800004</v>
      </c>
      <c r="I22" s="156">
        <f t="shared" si="1"/>
        <v>1.7600018680368475E-2</v>
      </c>
    </row>
    <row r="23" spans="1:9" ht="51" x14ac:dyDescent="0.2">
      <c r="A23" s="151" t="s">
        <v>1104</v>
      </c>
      <c r="B23" s="150" t="s">
        <v>32</v>
      </c>
      <c r="C23" s="150" t="s">
        <v>1105</v>
      </c>
      <c r="D23" s="152" t="s">
        <v>1281</v>
      </c>
      <c r="E23" s="157">
        <v>6</v>
      </c>
      <c r="F23" s="154">
        <v>553.78</v>
      </c>
      <c r="G23" s="154">
        <f t="shared" si="0"/>
        <v>687.96089399999994</v>
      </c>
      <c r="H23" s="155">
        <f t="shared" si="3"/>
        <v>4127.7653639999999</v>
      </c>
      <c r="I23" s="156">
        <f t="shared" si="1"/>
        <v>3.2311009087473107E-2</v>
      </c>
    </row>
    <row r="24" spans="1:9" ht="25.5" x14ac:dyDescent="0.2">
      <c r="A24" s="162">
        <v>6</v>
      </c>
      <c r="B24" s="150" t="s">
        <v>1286</v>
      </c>
      <c r="C24" s="150" t="s">
        <v>1287</v>
      </c>
      <c r="D24" s="152" t="s">
        <v>1283</v>
      </c>
      <c r="E24" s="170">
        <f>2*9*0.2*0.25</f>
        <v>0.9</v>
      </c>
      <c r="F24" s="154">
        <f>F21</f>
        <v>8702.1899999999987</v>
      </c>
      <c r="G24" s="154">
        <f t="shared" si="0"/>
        <v>10810.730636999999</v>
      </c>
      <c r="H24" s="155">
        <f t="shared" si="3"/>
        <v>9729.6575732999991</v>
      </c>
      <c r="I24" s="156">
        <f t="shared" si="1"/>
        <v>7.6161076647111914E-2</v>
      </c>
    </row>
    <row r="25" spans="1:9" ht="63.75" x14ac:dyDescent="0.2">
      <c r="A25" s="151" t="s">
        <v>1085</v>
      </c>
      <c r="B25" s="150" t="s">
        <v>72</v>
      </c>
      <c r="C25" s="150" t="s">
        <v>1086</v>
      </c>
      <c r="D25" s="152" t="s">
        <v>1066</v>
      </c>
      <c r="E25" s="157">
        <f>10*(E18+E19+E20+E21+E22+E24+30*0.1)/2.83</f>
        <v>25.971731448763251</v>
      </c>
      <c r="F25" s="154">
        <f>F15</f>
        <v>3.14</v>
      </c>
      <c r="G25" s="154">
        <f t="shared" si="0"/>
        <v>3.9008220000000002</v>
      </c>
      <c r="H25" s="155">
        <f t="shared" si="3"/>
        <v>101.31110141342756</v>
      </c>
      <c r="I25" s="156">
        <f t="shared" si="1"/>
        <v>7.930353665400754E-4</v>
      </c>
    </row>
    <row r="26" spans="1:9" x14ac:dyDescent="0.2">
      <c r="A26" s="126"/>
      <c r="B26" s="126"/>
      <c r="C26" s="126" t="s">
        <v>1043</v>
      </c>
      <c r="D26" s="126"/>
      <c r="E26" s="127"/>
      <c r="F26" s="126"/>
      <c r="G26" s="122"/>
      <c r="H26" s="128">
        <f>H27</f>
        <v>418.15818000000002</v>
      </c>
      <c r="I26" s="9">
        <f>I27</f>
        <v>3.2732269309242688E-3</v>
      </c>
    </row>
    <row r="27" spans="1:9" ht="25.5" x14ac:dyDescent="0.2">
      <c r="A27" s="151" t="s">
        <v>1101</v>
      </c>
      <c r="B27" s="150" t="s">
        <v>72</v>
      </c>
      <c r="C27" s="150" t="s">
        <v>1102</v>
      </c>
      <c r="D27" s="163" t="s">
        <v>1281</v>
      </c>
      <c r="E27" s="157">
        <v>15</v>
      </c>
      <c r="F27" s="154">
        <v>22.44</v>
      </c>
      <c r="G27" s="154">
        <f t="shared" si="0"/>
        <v>27.877212</v>
      </c>
      <c r="H27" s="155">
        <f>G27*E27</f>
        <v>418.15818000000002</v>
      </c>
      <c r="I27" s="156">
        <f t="shared" si="1"/>
        <v>3.2732269309242688E-3</v>
      </c>
    </row>
    <row r="28" spans="1:9" ht="15" x14ac:dyDescent="0.25">
      <c r="G28" s="123" t="s">
        <v>1277</v>
      </c>
      <c r="H28" s="164">
        <f>H4+H9+H17+H26</f>
        <v>127751.05082064192</v>
      </c>
      <c r="I28" s="168">
        <f>I4+I9+I17+I26</f>
        <v>0.99999999999999989</v>
      </c>
    </row>
    <row r="29" spans="1:9" x14ac:dyDescent="0.2">
      <c r="A29" s="171" t="s">
        <v>1288</v>
      </c>
      <c r="B29" s="171">
        <v>12</v>
      </c>
      <c r="C29" s="167" t="s">
        <v>1353</v>
      </c>
      <c r="D29" s="165"/>
      <c r="E29" s="165"/>
      <c r="F29" s="165"/>
      <c r="G29" s="165"/>
      <c r="H29" s="165"/>
      <c r="I29" s="165"/>
    </row>
    <row r="30" spans="1:9" x14ac:dyDescent="0.2">
      <c r="A30" s="146"/>
      <c r="B30" s="146"/>
      <c r="C30" s="146" t="s">
        <v>1037</v>
      </c>
      <c r="D30" s="146"/>
      <c r="E30" s="7"/>
      <c r="F30" s="146"/>
      <c r="G30" s="122"/>
      <c r="H30" s="8">
        <f>SUM(H31:H34)</f>
        <v>7111.7118243599989</v>
      </c>
      <c r="I30" s="9">
        <f>SUM(I31:I34)</f>
        <v>3.723433686837397E-2</v>
      </c>
    </row>
    <row r="31" spans="1:9" ht="63.75" x14ac:dyDescent="0.2">
      <c r="A31" s="151" t="s">
        <v>1067</v>
      </c>
      <c r="B31" s="150" t="s">
        <v>72</v>
      </c>
      <c r="C31" s="150" t="s">
        <v>1068</v>
      </c>
      <c r="D31" s="152" t="s">
        <v>1283</v>
      </c>
      <c r="E31" s="157">
        <f>12*1.5*1.5*1.5+5*0.8*0.8*4</f>
        <v>53.3</v>
      </c>
      <c r="F31" s="154">
        <v>38.15</v>
      </c>
      <c r="G31" s="154">
        <f t="shared" ref="G31:G34" si="4">F31*1.2423</f>
        <v>47.393744999999996</v>
      </c>
      <c r="H31" s="155">
        <f>G31*E31</f>
        <v>2526.0866084999998</v>
      </c>
      <c r="I31" s="156">
        <f>H31/$H$54</f>
        <v>1.3225670845857391E-2</v>
      </c>
    </row>
    <row r="32" spans="1:9" ht="38.25" x14ac:dyDescent="0.2">
      <c r="A32" s="151" t="s">
        <v>1069</v>
      </c>
      <c r="B32" s="150" t="s">
        <v>72</v>
      </c>
      <c r="C32" s="150" t="s">
        <v>1070</v>
      </c>
      <c r="D32" s="152" t="s">
        <v>1283</v>
      </c>
      <c r="E32" s="157">
        <f>E31*0.9</f>
        <v>47.97</v>
      </c>
      <c r="F32" s="154">
        <v>72.069999999999993</v>
      </c>
      <c r="G32" s="154">
        <f t="shared" si="4"/>
        <v>89.532560999999987</v>
      </c>
      <c r="H32" s="155">
        <f>G32*E32</f>
        <v>4294.8769511699993</v>
      </c>
      <c r="I32" s="156">
        <f t="shared" ref="I32:I51" si="5">H32/$H$54</f>
        <v>2.2486413842066785E-2</v>
      </c>
    </row>
    <row r="33" spans="1:9" ht="63.75" x14ac:dyDescent="0.2">
      <c r="A33" s="151" t="s">
        <v>1050</v>
      </c>
      <c r="B33" s="150" t="s">
        <v>72</v>
      </c>
      <c r="C33" s="150" t="s">
        <v>1051</v>
      </c>
      <c r="D33" s="152" t="s">
        <v>1283</v>
      </c>
      <c r="E33" s="157">
        <f>E31-E32</f>
        <v>5.3299999999999983</v>
      </c>
      <c r="F33" s="154">
        <v>7.9</v>
      </c>
      <c r="G33" s="154">
        <f t="shared" si="4"/>
        <v>9.8141700000000007</v>
      </c>
      <c r="H33" s="155">
        <f>G33*E33</f>
        <v>52.309526099999985</v>
      </c>
      <c r="I33" s="156">
        <f t="shared" si="5"/>
        <v>2.7387365578577556E-4</v>
      </c>
    </row>
    <row r="34" spans="1:9" ht="38.25" x14ac:dyDescent="0.2">
      <c r="A34" s="151" t="s">
        <v>1053</v>
      </c>
      <c r="B34" s="150" t="s">
        <v>72</v>
      </c>
      <c r="C34" s="150" t="s">
        <v>1054</v>
      </c>
      <c r="D34" s="152" t="s">
        <v>1055</v>
      </c>
      <c r="E34" s="169">
        <f>E33*10*1.3</f>
        <v>69.289999999999978</v>
      </c>
      <c r="F34" s="154">
        <v>2.77</v>
      </c>
      <c r="G34" s="154">
        <f t="shared" si="4"/>
        <v>3.4411709999999998</v>
      </c>
      <c r="H34" s="155">
        <f>G34*E34</f>
        <v>238.4387385899999</v>
      </c>
      <c r="I34" s="156">
        <f t="shared" si="5"/>
        <v>1.2483785246640222E-3</v>
      </c>
    </row>
    <row r="35" spans="1:9" x14ac:dyDescent="0.2">
      <c r="A35" s="146"/>
      <c r="B35" s="146"/>
      <c r="C35" s="146" t="s">
        <v>1039</v>
      </c>
      <c r="D35" s="146"/>
      <c r="E35" s="7"/>
      <c r="F35" s="146"/>
      <c r="G35" s="122"/>
      <c r="H35" s="8">
        <f>SUM(H36:H42)</f>
        <v>94262.290792011307</v>
      </c>
      <c r="I35" s="9">
        <f>SUM(I36:I42)</f>
        <v>0.49352307517750565</v>
      </c>
    </row>
    <row r="36" spans="1:9" ht="25.5" x14ac:dyDescent="0.2">
      <c r="A36" s="151" t="s">
        <v>1072</v>
      </c>
      <c r="B36" s="150" t="s">
        <v>1073</v>
      </c>
      <c r="C36" s="150" t="s">
        <v>1074</v>
      </c>
      <c r="D36" s="152" t="s">
        <v>121</v>
      </c>
      <c r="E36" s="157">
        <f>12*4*5</f>
        <v>240</v>
      </c>
      <c r="F36" s="154">
        <v>86.47</v>
      </c>
      <c r="G36" s="154">
        <f t="shared" ref="G36:G42" si="6">F36*1.2423</f>
        <v>107.42168099999999</v>
      </c>
      <c r="H36" s="154">
        <f t="shared" ref="H36:H42" si="7">G36*E36</f>
        <v>25781.203439999997</v>
      </c>
      <c r="I36" s="156">
        <f t="shared" si="5"/>
        <v>0.13498100562355531</v>
      </c>
    </row>
    <row r="37" spans="1:9" ht="51" x14ac:dyDescent="0.2">
      <c r="A37" s="151" t="s">
        <v>1076</v>
      </c>
      <c r="B37" s="150" t="s">
        <v>72</v>
      </c>
      <c r="C37" s="150" t="s">
        <v>1077</v>
      </c>
      <c r="D37" s="152" t="s">
        <v>1281</v>
      </c>
      <c r="E37" s="157">
        <f>12*1.5*1.5*2</f>
        <v>54</v>
      </c>
      <c r="F37" s="154">
        <v>151.01</v>
      </c>
      <c r="G37" s="154">
        <f t="shared" si="6"/>
        <v>187.59972299999998</v>
      </c>
      <c r="H37" s="154">
        <f t="shared" si="7"/>
        <v>10130.385042</v>
      </c>
      <c r="I37" s="156">
        <f t="shared" si="5"/>
        <v>5.3039012065721584E-2</v>
      </c>
    </row>
    <row r="38" spans="1:9" ht="38.25" x14ac:dyDescent="0.2">
      <c r="A38" s="151" t="s">
        <v>1079</v>
      </c>
      <c r="B38" s="150" t="s">
        <v>72</v>
      </c>
      <c r="C38" s="150" t="s">
        <v>1080</v>
      </c>
      <c r="D38" s="152" t="s">
        <v>1281</v>
      </c>
      <c r="E38" s="157">
        <f>12*1.5*1.5</f>
        <v>27</v>
      </c>
      <c r="F38" s="154">
        <v>29.12</v>
      </c>
      <c r="G38" s="154">
        <f t="shared" si="6"/>
        <v>36.175775999999999</v>
      </c>
      <c r="H38" s="154">
        <f t="shared" si="7"/>
        <v>976.74595199999999</v>
      </c>
      <c r="I38" s="156">
        <f t="shared" si="5"/>
        <v>5.1138866013966371E-3</v>
      </c>
    </row>
    <row r="39" spans="1:9" ht="38.25" x14ac:dyDescent="0.2">
      <c r="A39" s="151" t="s">
        <v>1082</v>
      </c>
      <c r="B39" s="150" t="s">
        <v>72</v>
      </c>
      <c r="C39" s="150" t="s">
        <v>1083</v>
      </c>
      <c r="D39" s="152" t="s">
        <v>1283</v>
      </c>
      <c r="E39" s="170">
        <f>5*0.8*0.8*4</f>
        <v>12.8</v>
      </c>
      <c r="F39" s="154">
        <v>522.47</v>
      </c>
      <c r="G39" s="154">
        <f t="shared" si="6"/>
        <v>649.064481</v>
      </c>
      <c r="H39" s="154">
        <f t="shared" si="7"/>
        <v>8308.0253568000007</v>
      </c>
      <c r="I39" s="156">
        <f t="shared" si="5"/>
        <v>4.3497799473043573E-2</v>
      </c>
    </row>
    <row r="40" spans="1:9" ht="25.5" x14ac:dyDescent="0.2">
      <c r="A40" s="151">
        <v>104486</v>
      </c>
      <c r="B40" s="150" t="s">
        <v>72</v>
      </c>
      <c r="C40" s="150" t="s">
        <v>1329</v>
      </c>
      <c r="D40" s="152" t="s">
        <v>1283</v>
      </c>
      <c r="E40" s="157">
        <f>12*0.8*0.8*1.5</f>
        <v>11.520000000000003</v>
      </c>
      <c r="F40" s="154">
        <v>3307.35</v>
      </c>
      <c r="G40" s="154">
        <f t="shared" si="6"/>
        <v>4108.7209050000001</v>
      </c>
      <c r="H40" s="154">
        <f t="shared" si="7"/>
        <v>47332.464825600015</v>
      </c>
      <c r="I40" s="156">
        <f t="shared" si="5"/>
        <v>0.24781557291031758</v>
      </c>
    </row>
    <row r="41" spans="1:9" ht="63.75" x14ac:dyDescent="0.2">
      <c r="A41" s="151" t="s">
        <v>1085</v>
      </c>
      <c r="B41" s="150" t="s">
        <v>72</v>
      </c>
      <c r="C41" s="150" t="s">
        <v>1086</v>
      </c>
      <c r="D41" s="152" t="s">
        <v>1066</v>
      </c>
      <c r="E41" s="157">
        <f>(3.14*0.25^2/4*E36)/2.83*10</f>
        <v>41.60777385159011</v>
      </c>
      <c r="F41" s="154">
        <v>3.14</v>
      </c>
      <c r="G41" s="154">
        <f t="shared" si="6"/>
        <v>3.9008220000000002</v>
      </c>
      <c r="H41" s="154">
        <f t="shared" si="7"/>
        <v>162.30451961130746</v>
      </c>
      <c r="I41" s="156">
        <f t="shared" si="5"/>
        <v>8.4976744104938253E-4</v>
      </c>
    </row>
    <row r="42" spans="1:9" ht="51" x14ac:dyDescent="0.2">
      <c r="A42" s="151" t="s">
        <v>1088</v>
      </c>
      <c r="B42" s="150" t="s">
        <v>72</v>
      </c>
      <c r="C42" s="150" t="s">
        <v>1089</v>
      </c>
      <c r="D42" s="152" t="s">
        <v>105</v>
      </c>
      <c r="E42" s="157">
        <v>8</v>
      </c>
      <c r="F42" s="154">
        <v>158.09</v>
      </c>
      <c r="G42" s="154">
        <f t="shared" si="6"/>
        <v>196.395207</v>
      </c>
      <c r="H42" s="154">
        <f t="shared" si="7"/>
        <v>1571.161656</v>
      </c>
      <c r="I42" s="156">
        <f t="shared" si="5"/>
        <v>8.2260310624215956E-3</v>
      </c>
    </row>
    <row r="43" spans="1:9" x14ac:dyDescent="0.2">
      <c r="A43" s="146"/>
      <c r="B43" s="146"/>
      <c r="C43" s="146" t="s">
        <v>1041</v>
      </c>
      <c r="D43" s="146"/>
      <c r="E43" s="7"/>
      <c r="F43" s="146"/>
      <c r="G43" s="122"/>
      <c r="H43" s="8">
        <f>SUM(H44:H51)</f>
        <v>88788.43170637633</v>
      </c>
      <c r="I43" s="9">
        <f>SUM(I44:I51)</f>
        <v>0.46486393962783301</v>
      </c>
    </row>
    <row r="44" spans="1:9" ht="25.5" x14ac:dyDescent="0.2">
      <c r="A44" s="151">
        <v>2</v>
      </c>
      <c r="B44" s="150" t="s">
        <v>1286</v>
      </c>
      <c r="C44" s="150" t="s">
        <v>1282</v>
      </c>
      <c r="D44" s="152" t="s">
        <v>1283</v>
      </c>
      <c r="E44" s="157">
        <f>5*6*0.08</f>
        <v>2.4</v>
      </c>
      <c r="F44" s="154">
        <f>COMP!G22</f>
        <v>8702.1899999999987</v>
      </c>
      <c r="G44" s="154">
        <f t="shared" ref="G44:G51" si="8">F44*1.2423</f>
        <v>10810.730636999999</v>
      </c>
      <c r="H44" s="155">
        <f t="shared" ref="H44:H51" si="9">G44*E44</f>
        <v>25945.753528799996</v>
      </c>
      <c r="I44" s="156">
        <f t="shared" si="5"/>
        <v>0.13584253004825336</v>
      </c>
    </row>
    <row r="45" spans="1:9" ht="25.5" x14ac:dyDescent="0.2">
      <c r="A45" s="158">
        <v>3</v>
      </c>
      <c r="B45" s="159" t="s">
        <v>1286</v>
      </c>
      <c r="C45" s="150" t="s">
        <v>1284</v>
      </c>
      <c r="D45" s="160" t="s">
        <v>1283</v>
      </c>
      <c r="E45" s="157">
        <f>6*2*0.2*0.3</f>
        <v>0.72000000000000008</v>
      </c>
      <c r="F45" s="154">
        <f>F44</f>
        <v>8702.1899999999987</v>
      </c>
      <c r="G45" s="154">
        <f t="shared" si="8"/>
        <v>10810.730636999999</v>
      </c>
      <c r="H45" s="161">
        <f t="shared" si="9"/>
        <v>7783.7260586399998</v>
      </c>
      <c r="I45" s="156">
        <f t="shared" si="5"/>
        <v>4.075275901447601E-2</v>
      </c>
    </row>
    <row r="46" spans="1:9" ht="38.25" x14ac:dyDescent="0.2">
      <c r="A46" s="151">
        <v>4</v>
      </c>
      <c r="B46" s="150" t="s">
        <v>1286</v>
      </c>
      <c r="C46" s="150" t="s">
        <v>1370</v>
      </c>
      <c r="D46" s="152" t="s">
        <v>1283</v>
      </c>
      <c r="E46" s="157">
        <f>4*5*0.2*0.3</f>
        <v>1.2</v>
      </c>
      <c r="F46" s="154">
        <f>F45</f>
        <v>8702.1899999999987</v>
      </c>
      <c r="G46" s="154">
        <f t="shared" si="8"/>
        <v>10810.730636999999</v>
      </c>
      <c r="H46" s="155">
        <f t="shared" si="9"/>
        <v>12972.876764399998</v>
      </c>
      <c r="I46" s="156">
        <f t="shared" si="5"/>
        <v>6.7921265024126681E-2</v>
      </c>
    </row>
    <row r="47" spans="1:9" ht="38.25" x14ac:dyDescent="0.2">
      <c r="A47" s="151">
        <v>4</v>
      </c>
      <c r="B47" s="150" t="s">
        <v>1286</v>
      </c>
      <c r="C47" s="150" t="s">
        <v>1371</v>
      </c>
      <c r="D47" s="152" t="s">
        <v>1283</v>
      </c>
      <c r="E47" s="157">
        <f>40*0.15*0.25</f>
        <v>1.5</v>
      </c>
      <c r="F47" s="154">
        <f>F46</f>
        <v>8702.1899999999987</v>
      </c>
      <c r="G47" s="154">
        <f t="shared" si="8"/>
        <v>10810.730636999999</v>
      </c>
      <c r="H47" s="155">
        <f t="shared" si="9"/>
        <v>16216.095955499997</v>
      </c>
      <c r="I47" s="156">
        <f t="shared" si="5"/>
        <v>8.4901581280158345E-2</v>
      </c>
    </row>
    <row r="48" spans="1:9" ht="25.5" x14ac:dyDescent="0.2">
      <c r="A48" s="151">
        <v>5</v>
      </c>
      <c r="B48" s="150" t="s">
        <v>1286</v>
      </c>
      <c r="C48" s="150" t="s">
        <v>1285</v>
      </c>
      <c r="D48" s="152" t="s">
        <v>1283</v>
      </c>
      <c r="E48" s="157">
        <f>2*6*0.8*0.05</f>
        <v>0.48000000000000009</v>
      </c>
      <c r="F48" s="154">
        <f>COMP!G48</f>
        <v>7541.19</v>
      </c>
      <c r="G48" s="154">
        <f t="shared" si="8"/>
        <v>9368.4203369999996</v>
      </c>
      <c r="H48" s="155">
        <f t="shared" si="9"/>
        <v>4496.8417617600007</v>
      </c>
      <c r="I48" s="156">
        <f t="shared" si="5"/>
        <v>2.354382814382559E-2</v>
      </c>
    </row>
    <row r="49" spans="1:9" ht="51" x14ac:dyDescent="0.2">
      <c r="A49" s="151" t="s">
        <v>1104</v>
      </c>
      <c r="B49" s="150" t="s">
        <v>32</v>
      </c>
      <c r="C49" s="150" t="s">
        <v>1105</v>
      </c>
      <c r="D49" s="152" t="s">
        <v>1281</v>
      </c>
      <c r="E49" s="157">
        <v>12</v>
      </c>
      <c r="F49" s="154">
        <v>553.78</v>
      </c>
      <c r="G49" s="154">
        <f t="shared" si="8"/>
        <v>687.96089399999994</v>
      </c>
      <c r="H49" s="155">
        <f t="shared" si="9"/>
        <v>8255.5307279999997</v>
      </c>
      <c r="I49" s="156">
        <f t="shared" si="5"/>
        <v>4.3222956686835012E-2</v>
      </c>
    </row>
    <row r="50" spans="1:9" ht="25.5" x14ac:dyDescent="0.2">
      <c r="A50" s="162">
        <v>6</v>
      </c>
      <c r="B50" s="150" t="s">
        <v>1286</v>
      </c>
      <c r="C50" s="150" t="s">
        <v>1287</v>
      </c>
      <c r="D50" s="152" t="s">
        <v>1283</v>
      </c>
      <c r="E50" s="170">
        <f>2*12*0.2*0.25</f>
        <v>1.2000000000000002</v>
      </c>
      <c r="F50" s="154">
        <f>F47</f>
        <v>8702.1899999999987</v>
      </c>
      <c r="G50" s="154">
        <f t="shared" si="8"/>
        <v>10810.730636999999</v>
      </c>
      <c r="H50" s="155">
        <f t="shared" si="9"/>
        <v>12972.8767644</v>
      </c>
      <c r="I50" s="156">
        <f t="shared" si="5"/>
        <v>6.7921265024126681E-2</v>
      </c>
    </row>
    <row r="51" spans="1:9" ht="63.75" x14ac:dyDescent="0.2">
      <c r="A51" s="151" t="s">
        <v>1085</v>
      </c>
      <c r="B51" s="150" t="s">
        <v>72</v>
      </c>
      <c r="C51" s="150" t="s">
        <v>1086</v>
      </c>
      <c r="D51" s="152" t="s">
        <v>1066</v>
      </c>
      <c r="E51" s="157">
        <f>10*(E44+E45+E46+E47+E48+E50+30*0.1)/2.83</f>
        <v>37.102473498233216</v>
      </c>
      <c r="F51" s="154">
        <f>F41</f>
        <v>3.14</v>
      </c>
      <c r="G51" s="154">
        <f t="shared" si="8"/>
        <v>3.9008220000000002</v>
      </c>
      <c r="H51" s="155">
        <f t="shared" si="9"/>
        <v>144.73014487632511</v>
      </c>
      <c r="I51" s="156">
        <f t="shared" si="5"/>
        <v>7.577544060312965E-4</v>
      </c>
    </row>
    <row r="52" spans="1:9" x14ac:dyDescent="0.2">
      <c r="A52" s="126"/>
      <c r="B52" s="126"/>
      <c r="C52" s="126" t="s">
        <v>1043</v>
      </c>
      <c r="D52" s="126"/>
      <c r="E52" s="127"/>
      <c r="F52" s="126"/>
      <c r="G52" s="122"/>
      <c r="H52" s="128">
        <f>H53</f>
        <v>836.31636000000003</v>
      </c>
      <c r="I52" s="9">
        <f>I53</f>
        <v>4.3786483262874144E-3</v>
      </c>
    </row>
    <row r="53" spans="1:9" ht="25.5" x14ac:dyDescent="0.2">
      <c r="A53" s="151" t="s">
        <v>1101</v>
      </c>
      <c r="B53" s="150" t="s">
        <v>72</v>
      </c>
      <c r="C53" s="150" t="s">
        <v>1102</v>
      </c>
      <c r="D53" s="163" t="s">
        <v>1281</v>
      </c>
      <c r="E53" s="157">
        <v>30</v>
      </c>
      <c r="F53" s="154">
        <v>22.44</v>
      </c>
      <c r="G53" s="154">
        <f t="shared" ref="G53" si="10">F53*1.2423</f>
        <v>27.877212</v>
      </c>
      <c r="H53" s="155">
        <f>G53*E53</f>
        <v>836.31636000000003</v>
      </c>
      <c r="I53" s="156">
        <f>H53/$H$54</f>
        <v>4.3786483262874144E-3</v>
      </c>
    </row>
    <row r="54" spans="1:9" ht="15" x14ac:dyDescent="0.25">
      <c r="A54" s="145"/>
      <c r="B54" s="145"/>
      <c r="C54" s="145"/>
      <c r="D54" s="145"/>
      <c r="E54" s="145"/>
      <c r="F54" s="145"/>
      <c r="G54" s="123" t="s">
        <v>1277</v>
      </c>
      <c r="H54" s="164">
        <f>H30+H35+H43+H52</f>
        <v>190998.75068274763</v>
      </c>
      <c r="I54" s="168">
        <f>I30+I35+I43+I52</f>
        <v>1</v>
      </c>
    </row>
    <row r="56" spans="1:9" x14ac:dyDescent="0.2">
      <c r="A56" s="171" t="s">
        <v>1288</v>
      </c>
      <c r="B56" s="171">
        <v>13</v>
      </c>
      <c r="C56" s="167" t="s">
        <v>1354</v>
      </c>
      <c r="D56" s="165"/>
      <c r="E56" s="165"/>
      <c r="F56" s="165"/>
      <c r="G56" s="165"/>
      <c r="H56" s="165"/>
      <c r="I56" s="165"/>
    </row>
    <row r="57" spans="1:9" x14ac:dyDescent="0.2">
      <c r="A57" s="146"/>
      <c r="B57" s="146"/>
      <c r="C57" s="146" t="s">
        <v>1037</v>
      </c>
      <c r="D57" s="146"/>
      <c r="E57" s="7"/>
      <c r="F57" s="146"/>
      <c r="G57" s="122"/>
      <c r="H57" s="8">
        <f>SUM(H58:H61)</f>
        <v>7111.7118243599989</v>
      </c>
      <c r="I57" s="9">
        <f>SUM(I58:I61)</f>
        <v>3.6009860009766706E-2</v>
      </c>
    </row>
    <row r="58" spans="1:9" ht="63.75" x14ac:dyDescent="0.2">
      <c r="A58" s="151" t="s">
        <v>1067</v>
      </c>
      <c r="B58" s="150" t="s">
        <v>72</v>
      </c>
      <c r="C58" s="150" t="s">
        <v>1068</v>
      </c>
      <c r="D58" s="152" t="s">
        <v>1283</v>
      </c>
      <c r="E58" s="157">
        <f>12*1.5*1.5*1.5+5*0.8*0.8*4</f>
        <v>53.3</v>
      </c>
      <c r="F58" s="154">
        <v>38.15</v>
      </c>
      <c r="G58" s="154">
        <f t="shared" ref="G58:G61" si="11">F58*1.2423</f>
        <v>47.393744999999996</v>
      </c>
      <c r="H58" s="155">
        <f>G58*E58</f>
        <v>2526.0866084999998</v>
      </c>
      <c r="I58" s="156">
        <f>H58/$H$81</f>
        <v>1.2790735534734273E-2</v>
      </c>
    </row>
    <row r="59" spans="1:9" ht="38.25" x14ac:dyDescent="0.2">
      <c r="A59" s="151" t="s">
        <v>1069</v>
      </c>
      <c r="B59" s="150" t="s">
        <v>72</v>
      </c>
      <c r="C59" s="150" t="s">
        <v>1070</v>
      </c>
      <c r="D59" s="152" t="s">
        <v>1283</v>
      </c>
      <c r="E59" s="157">
        <f>E58*0.9</f>
        <v>47.97</v>
      </c>
      <c r="F59" s="154">
        <v>72.069999999999993</v>
      </c>
      <c r="G59" s="154">
        <f t="shared" si="11"/>
        <v>89.532560999999987</v>
      </c>
      <c r="H59" s="155">
        <f>G59*E59</f>
        <v>4294.8769511699993</v>
      </c>
      <c r="I59" s="156">
        <f t="shared" ref="I59:I78" si="12">H59/$H$81</f>
        <v>2.1746932607849781E-2</v>
      </c>
    </row>
    <row r="60" spans="1:9" ht="63.75" x14ac:dyDescent="0.2">
      <c r="A60" s="151" t="s">
        <v>1050</v>
      </c>
      <c r="B60" s="150" t="s">
        <v>72</v>
      </c>
      <c r="C60" s="150" t="s">
        <v>1051</v>
      </c>
      <c r="D60" s="152" t="s">
        <v>1283</v>
      </c>
      <c r="E60" s="157">
        <f>E58-E59</f>
        <v>5.3299999999999983</v>
      </c>
      <c r="F60" s="154">
        <v>7.9</v>
      </c>
      <c r="G60" s="154">
        <f t="shared" si="11"/>
        <v>9.8141700000000007</v>
      </c>
      <c r="H60" s="155">
        <f>G60*E60</f>
        <v>52.309526099999985</v>
      </c>
      <c r="I60" s="156">
        <f t="shared" si="12"/>
        <v>2.6486713164980533E-4</v>
      </c>
    </row>
    <row r="61" spans="1:9" ht="38.25" x14ac:dyDescent="0.2">
      <c r="A61" s="151" t="s">
        <v>1053</v>
      </c>
      <c r="B61" s="150" t="s">
        <v>72</v>
      </c>
      <c r="C61" s="150" t="s">
        <v>1054</v>
      </c>
      <c r="D61" s="152" t="s">
        <v>1055</v>
      </c>
      <c r="E61" s="169">
        <f>E60*10*1.3</f>
        <v>69.289999999999978</v>
      </c>
      <c r="F61" s="154">
        <v>2.77</v>
      </c>
      <c r="G61" s="154">
        <f t="shared" si="11"/>
        <v>3.4411709999999998</v>
      </c>
      <c r="H61" s="155">
        <f>G61*E61</f>
        <v>238.4387385899999</v>
      </c>
      <c r="I61" s="156">
        <f t="shared" si="12"/>
        <v>1.2073247355328467E-3</v>
      </c>
    </row>
    <row r="62" spans="1:9" x14ac:dyDescent="0.2">
      <c r="A62" s="146"/>
      <c r="B62" s="146"/>
      <c r="C62" s="146" t="s">
        <v>1039</v>
      </c>
      <c r="D62" s="146"/>
      <c r="E62" s="7"/>
      <c r="F62" s="146"/>
      <c r="G62" s="122"/>
      <c r="H62" s="8">
        <f>SUM(H63:H69)</f>
        <v>94262.290792011307</v>
      </c>
      <c r="I62" s="9">
        <f>SUM(I63:I69)</f>
        <v>0.47729322833264787</v>
      </c>
    </row>
    <row r="63" spans="1:9" ht="25.5" x14ac:dyDescent="0.2">
      <c r="A63" s="151" t="s">
        <v>1072</v>
      </c>
      <c r="B63" s="150" t="s">
        <v>1073</v>
      </c>
      <c r="C63" s="150" t="s">
        <v>1074</v>
      </c>
      <c r="D63" s="152" t="s">
        <v>121</v>
      </c>
      <c r="E63" s="157">
        <f>12*4*5</f>
        <v>240</v>
      </c>
      <c r="F63" s="154">
        <v>86.47</v>
      </c>
      <c r="G63" s="154">
        <f t="shared" ref="G63:G69" si="13">F63*1.2423</f>
        <v>107.42168099999999</v>
      </c>
      <c r="H63" s="154">
        <f t="shared" ref="H63:H69" si="14">G63*E63</f>
        <v>25781.203439999997</v>
      </c>
      <c r="I63" s="156">
        <f t="shared" si="12"/>
        <v>0.13054206212036196</v>
      </c>
    </row>
    <row r="64" spans="1:9" ht="51" x14ac:dyDescent="0.2">
      <c r="A64" s="151" t="s">
        <v>1076</v>
      </c>
      <c r="B64" s="150" t="s">
        <v>72</v>
      </c>
      <c r="C64" s="150" t="s">
        <v>1077</v>
      </c>
      <c r="D64" s="152" t="s">
        <v>1281</v>
      </c>
      <c r="E64" s="157">
        <f>12*1.5*1.5*2</f>
        <v>54</v>
      </c>
      <c r="F64" s="154">
        <v>151.01</v>
      </c>
      <c r="G64" s="154">
        <f t="shared" si="13"/>
        <v>187.59972299999998</v>
      </c>
      <c r="H64" s="154">
        <f t="shared" si="14"/>
        <v>10130.385042</v>
      </c>
      <c r="I64" s="156">
        <f t="shared" si="12"/>
        <v>5.1294787558448816E-2</v>
      </c>
    </row>
    <row r="65" spans="1:9" ht="38.25" x14ac:dyDescent="0.2">
      <c r="A65" s="151" t="s">
        <v>1079</v>
      </c>
      <c r="B65" s="150" t="s">
        <v>72</v>
      </c>
      <c r="C65" s="150" t="s">
        <v>1080</v>
      </c>
      <c r="D65" s="152" t="s">
        <v>1281</v>
      </c>
      <c r="E65" s="157">
        <f>12*1.5*1.5</f>
        <v>27</v>
      </c>
      <c r="F65" s="154">
        <v>29.12</v>
      </c>
      <c r="G65" s="154">
        <f t="shared" si="13"/>
        <v>36.175775999999999</v>
      </c>
      <c r="H65" s="154">
        <f t="shared" si="14"/>
        <v>976.74595199999999</v>
      </c>
      <c r="I65" s="156">
        <f t="shared" si="12"/>
        <v>4.9457129120655235E-3</v>
      </c>
    </row>
    <row r="66" spans="1:9" ht="38.25" x14ac:dyDescent="0.2">
      <c r="A66" s="151" t="s">
        <v>1082</v>
      </c>
      <c r="B66" s="150" t="s">
        <v>72</v>
      </c>
      <c r="C66" s="150" t="s">
        <v>1083</v>
      </c>
      <c r="D66" s="152" t="s">
        <v>1283</v>
      </c>
      <c r="E66" s="170">
        <f>5*0.8*0.8*4</f>
        <v>12.8</v>
      </c>
      <c r="F66" s="154">
        <v>522.47</v>
      </c>
      <c r="G66" s="154">
        <f t="shared" si="13"/>
        <v>649.064481</v>
      </c>
      <c r="H66" s="154">
        <f t="shared" si="14"/>
        <v>8308.0253568000007</v>
      </c>
      <c r="I66" s="156">
        <f t="shared" si="12"/>
        <v>4.206734432506104E-2</v>
      </c>
    </row>
    <row r="67" spans="1:9" ht="25.5" x14ac:dyDescent="0.2">
      <c r="A67" s="151">
        <v>104486</v>
      </c>
      <c r="B67" s="150" t="s">
        <v>72</v>
      </c>
      <c r="C67" s="150" t="s">
        <v>1329</v>
      </c>
      <c r="D67" s="152" t="s">
        <v>1283</v>
      </c>
      <c r="E67" s="157">
        <f>12*0.8*0.8*1.5</f>
        <v>11.520000000000003</v>
      </c>
      <c r="F67" s="154">
        <v>3307.35</v>
      </c>
      <c r="G67" s="154">
        <f t="shared" si="13"/>
        <v>4108.7209050000001</v>
      </c>
      <c r="H67" s="154">
        <f t="shared" si="14"/>
        <v>47332.464825600015</v>
      </c>
      <c r="I67" s="156">
        <f t="shared" si="12"/>
        <v>0.23966598680908302</v>
      </c>
    </row>
    <row r="68" spans="1:9" ht="63.75" x14ac:dyDescent="0.2">
      <c r="A68" s="151" t="s">
        <v>1085</v>
      </c>
      <c r="B68" s="150" t="s">
        <v>72</v>
      </c>
      <c r="C68" s="150" t="s">
        <v>1086</v>
      </c>
      <c r="D68" s="152" t="s">
        <v>1066</v>
      </c>
      <c r="E68" s="157">
        <f>(3.14*0.25^2/4*E63)/2.83*10</f>
        <v>41.60777385159011</v>
      </c>
      <c r="F68" s="154">
        <v>3.14</v>
      </c>
      <c r="G68" s="154">
        <f t="shared" si="13"/>
        <v>3.9008220000000002</v>
      </c>
      <c r="H68" s="154">
        <f t="shared" si="14"/>
        <v>162.30451961130746</v>
      </c>
      <c r="I68" s="156">
        <f t="shared" si="12"/>
        <v>8.2182225243379895E-4</v>
      </c>
    </row>
    <row r="69" spans="1:9" ht="51" x14ac:dyDescent="0.2">
      <c r="A69" s="151" t="s">
        <v>1088</v>
      </c>
      <c r="B69" s="150" t="s">
        <v>72</v>
      </c>
      <c r="C69" s="150" t="s">
        <v>1089</v>
      </c>
      <c r="D69" s="152" t="s">
        <v>105</v>
      </c>
      <c r="E69" s="157">
        <v>8</v>
      </c>
      <c r="F69" s="154">
        <v>158.09</v>
      </c>
      <c r="G69" s="154">
        <f t="shared" si="13"/>
        <v>196.395207</v>
      </c>
      <c r="H69" s="154">
        <f t="shared" si="14"/>
        <v>1571.161656</v>
      </c>
      <c r="I69" s="156">
        <f t="shared" si="12"/>
        <v>7.9555123551937178E-3</v>
      </c>
    </row>
    <row r="70" spans="1:9" x14ac:dyDescent="0.2">
      <c r="A70" s="146"/>
      <c r="B70" s="146"/>
      <c r="C70" s="146" t="s">
        <v>1041</v>
      </c>
      <c r="D70" s="146"/>
      <c r="E70" s="7"/>
      <c r="F70" s="146"/>
      <c r="G70" s="122"/>
      <c r="H70" s="8">
        <f>SUM(H71:H78)</f>
        <v>95283.140382569254</v>
      </c>
      <c r="I70" s="9">
        <f>SUM(I71:I78)</f>
        <v>0.48246225820265759</v>
      </c>
    </row>
    <row r="71" spans="1:9" ht="25.5" x14ac:dyDescent="0.2">
      <c r="A71" s="151">
        <v>2</v>
      </c>
      <c r="B71" s="150" t="s">
        <v>1286</v>
      </c>
      <c r="C71" s="150" t="s">
        <v>1282</v>
      </c>
      <c r="D71" s="152" t="s">
        <v>1283</v>
      </c>
      <c r="E71" s="157">
        <f>5*6*0.08</f>
        <v>2.4</v>
      </c>
      <c r="F71" s="154">
        <f>COMP!G22</f>
        <v>8702.1899999999987</v>
      </c>
      <c r="G71" s="154">
        <f t="shared" ref="G71:G78" si="15">F71*1.2423</f>
        <v>10810.730636999999</v>
      </c>
      <c r="H71" s="155">
        <f t="shared" ref="H71:H78" si="16">G71*E71</f>
        <v>25945.753528799996</v>
      </c>
      <c r="I71" s="156">
        <f t="shared" si="12"/>
        <v>0.13137525471992514</v>
      </c>
    </row>
    <row r="72" spans="1:9" ht="25.5" x14ac:dyDescent="0.2">
      <c r="A72" s="158">
        <v>3</v>
      </c>
      <c r="B72" s="159" t="s">
        <v>1286</v>
      </c>
      <c r="C72" s="150" t="s">
        <v>1284</v>
      </c>
      <c r="D72" s="160" t="s">
        <v>1283</v>
      </c>
      <c r="E72" s="157">
        <f>6*2*0.2*0.3</f>
        <v>0.72000000000000008</v>
      </c>
      <c r="F72" s="154">
        <f>F71</f>
        <v>8702.1899999999987</v>
      </c>
      <c r="G72" s="154">
        <f t="shared" si="15"/>
        <v>10810.730636999999</v>
      </c>
      <c r="H72" s="161">
        <f t="shared" si="16"/>
        <v>7783.7260586399998</v>
      </c>
      <c r="I72" s="156">
        <f t="shared" si="12"/>
        <v>3.9412576415977542E-2</v>
      </c>
    </row>
    <row r="73" spans="1:9" ht="38.25" x14ac:dyDescent="0.2">
      <c r="A73" s="151">
        <v>4</v>
      </c>
      <c r="B73" s="150" t="s">
        <v>1286</v>
      </c>
      <c r="C73" s="150" t="s">
        <v>1370</v>
      </c>
      <c r="D73" s="152" t="s">
        <v>1283</v>
      </c>
      <c r="E73" s="157">
        <f>4*5*0.2*0.3</f>
        <v>1.2</v>
      </c>
      <c r="F73" s="154">
        <f>F72</f>
        <v>8702.1899999999987</v>
      </c>
      <c r="G73" s="154">
        <f t="shared" si="15"/>
        <v>10810.730636999999</v>
      </c>
      <c r="H73" s="155">
        <f t="shared" si="16"/>
        <v>12972.876764399998</v>
      </c>
      <c r="I73" s="156">
        <f t="shared" si="12"/>
        <v>6.5687627359962572E-2</v>
      </c>
    </row>
    <row r="74" spans="1:9" ht="38.25" x14ac:dyDescent="0.2">
      <c r="A74" s="151">
        <v>4</v>
      </c>
      <c r="B74" s="150" t="s">
        <v>1286</v>
      </c>
      <c r="C74" s="150" t="s">
        <v>1371</v>
      </c>
      <c r="D74" s="152" t="s">
        <v>1283</v>
      </c>
      <c r="E74" s="157">
        <f>40*0.15*0.25</f>
        <v>1.5</v>
      </c>
      <c r="F74" s="154">
        <f>F73</f>
        <v>8702.1899999999987</v>
      </c>
      <c r="G74" s="154">
        <f t="shared" si="15"/>
        <v>10810.730636999999</v>
      </c>
      <c r="H74" s="155">
        <f t="shared" si="16"/>
        <v>16216.095955499997</v>
      </c>
      <c r="I74" s="156">
        <f t="shared" si="12"/>
        <v>8.2109534199953205E-2</v>
      </c>
    </row>
    <row r="75" spans="1:9" ht="25.5" x14ac:dyDescent="0.2">
      <c r="A75" s="151">
        <v>5</v>
      </c>
      <c r="B75" s="150" t="s">
        <v>1286</v>
      </c>
      <c r="C75" s="150" t="s">
        <v>1285</v>
      </c>
      <c r="D75" s="152" t="s">
        <v>1283</v>
      </c>
      <c r="E75" s="157">
        <f>2*6*0.8*0.05</f>
        <v>0.48000000000000009</v>
      </c>
      <c r="F75" s="154">
        <f>F48</f>
        <v>7541.19</v>
      </c>
      <c r="G75" s="154">
        <f t="shared" si="15"/>
        <v>9368.4203369999996</v>
      </c>
      <c r="H75" s="155">
        <f t="shared" si="16"/>
        <v>4496.8417617600007</v>
      </c>
      <c r="I75" s="156">
        <f t="shared" si="12"/>
        <v>2.2769573110707823E-2</v>
      </c>
    </row>
    <row r="76" spans="1:9" ht="51" x14ac:dyDescent="0.2">
      <c r="A76" s="151" t="s">
        <v>1104</v>
      </c>
      <c r="B76" s="150" t="s">
        <v>32</v>
      </c>
      <c r="C76" s="150" t="s">
        <v>1105</v>
      </c>
      <c r="D76" s="152" t="s">
        <v>1281</v>
      </c>
      <c r="E76" s="157">
        <v>12</v>
      </c>
      <c r="F76" s="154">
        <v>553.78</v>
      </c>
      <c r="G76" s="154">
        <f t="shared" si="15"/>
        <v>687.96089399999994</v>
      </c>
      <c r="H76" s="155">
        <f t="shared" si="16"/>
        <v>8255.5307279999997</v>
      </c>
      <c r="I76" s="156">
        <f t="shared" si="12"/>
        <v>4.1801539933511073E-2</v>
      </c>
    </row>
    <row r="77" spans="1:9" ht="25.5" x14ac:dyDescent="0.2">
      <c r="A77" s="162">
        <v>6</v>
      </c>
      <c r="B77" s="150" t="s">
        <v>1286</v>
      </c>
      <c r="C77" s="150" t="s">
        <v>1287</v>
      </c>
      <c r="D77" s="152" t="s">
        <v>1283</v>
      </c>
      <c r="E77" s="170">
        <f>3*12*0.2*0.25</f>
        <v>1.8</v>
      </c>
      <c r="F77" s="154">
        <f>F74</f>
        <v>8702.1899999999987</v>
      </c>
      <c r="G77" s="154">
        <f t="shared" si="15"/>
        <v>10810.730636999999</v>
      </c>
      <c r="H77" s="155">
        <f t="shared" si="16"/>
        <v>19459.315146599998</v>
      </c>
      <c r="I77" s="156">
        <f t="shared" si="12"/>
        <v>9.8531441039943851E-2</v>
      </c>
    </row>
    <row r="78" spans="1:9" ht="63.75" x14ac:dyDescent="0.2">
      <c r="A78" s="151" t="s">
        <v>1085</v>
      </c>
      <c r="B78" s="150" t="s">
        <v>72</v>
      </c>
      <c r="C78" s="150" t="s">
        <v>1086</v>
      </c>
      <c r="D78" s="152" t="s">
        <v>1066</v>
      </c>
      <c r="E78" s="157">
        <f>10*(E71+E72+E73+E74+E75+E77+30*0.1)/2.83</f>
        <v>39.222614840989401</v>
      </c>
      <c r="F78" s="154">
        <f>F68</f>
        <v>3.14</v>
      </c>
      <c r="G78" s="154">
        <f t="shared" si="15"/>
        <v>3.9008220000000002</v>
      </c>
      <c r="H78" s="155">
        <f t="shared" si="16"/>
        <v>153.00043886925798</v>
      </c>
      <c r="I78" s="156">
        <f t="shared" si="12"/>
        <v>7.7471142267644742E-4</v>
      </c>
    </row>
    <row r="79" spans="1:9" x14ac:dyDescent="0.2">
      <c r="A79" s="126"/>
      <c r="B79" s="126"/>
      <c r="C79" s="126" t="s">
        <v>1043</v>
      </c>
      <c r="D79" s="126"/>
      <c r="E79" s="127"/>
      <c r="F79" s="126"/>
      <c r="G79" s="122"/>
      <c r="H79" s="128">
        <f>H80</f>
        <v>836.31636000000003</v>
      </c>
      <c r="I79" s="9">
        <f>I80</f>
        <v>4.234653454927898E-3</v>
      </c>
    </row>
    <row r="80" spans="1:9" ht="25.5" x14ac:dyDescent="0.2">
      <c r="A80" s="151" t="s">
        <v>1101</v>
      </c>
      <c r="B80" s="150" t="s">
        <v>72</v>
      </c>
      <c r="C80" s="150" t="s">
        <v>1102</v>
      </c>
      <c r="D80" s="163" t="s">
        <v>1281</v>
      </c>
      <c r="E80" s="157">
        <v>30</v>
      </c>
      <c r="F80" s="154">
        <v>22.44</v>
      </c>
      <c r="G80" s="154">
        <f t="shared" ref="G80" si="17">F80*1.2423</f>
        <v>27.877212</v>
      </c>
      <c r="H80" s="155">
        <f>G80*E80</f>
        <v>836.31636000000003</v>
      </c>
      <c r="I80" s="156">
        <f>H80/$H$81</f>
        <v>4.234653454927898E-3</v>
      </c>
    </row>
    <row r="81" spans="1:9" ht="15" x14ac:dyDescent="0.25">
      <c r="A81" s="145"/>
      <c r="B81" s="145"/>
      <c r="C81" s="145"/>
      <c r="D81" s="145"/>
      <c r="E81" s="145"/>
      <c r="F81" s="145"/>
      <c r="G81" s="123" t="s">
        <v>1277</v>
      </c>
      <c r="H81" s="164">
        <f>H57+H62+H70+H79</f>
        <v>197493.45935894054</v>
      </c>
      <c r="I81" s="168">
        <f>I57+I62+I70+I79</f>
        <v>1</v>
      </c>
    </row>
    <row r="83" spans="1:9" x14ac:dyDescent="0.2">
      <c r="A83" s="171" t="s">
        <v>1288</v>
      </c>
      <c r="B83" s="171">
        <v>14</v>
      </c>
      <c r="C83" s="167" t="s">
        <v>1355</v>
      </c>
      <c r="D83" s="165"/>
      <c r="E83" s="165"/>
      <c r="F83" s="165"/>
      <c r="G83" s="165"/>
      <c r="H83" s="165"/>
      <c r="I83" s="165"/>
    </row>
    <row r="84" spans="1:9" x14ac:dyDescent="0.2">
      <c r="A84" s="146"/>
      <c r="B84" s="146"/>
      <c r="C84" s="146" t="s">
        <v>1037</v>
      </c>
      <c r="D84" s="146"/>
      <c r="E84" s="7"/>
      <c r="F84" s="146"/>
      <c r="G84" s="122"/>
      <c r="H84" s="8">
        <f>SUM(H85:H88)</f>
        <v>8889.6397804499975</v>
      </c>
      <c r="I84" s="9">
        <f>SUM(I85:I88)</f>
        <v>3.6638381766774669E-2</v>
      </c>
    </row>
    <row r="85" spans="1:9" ht="63.75" x14ac:dyDescent="0.2">
      <c r="A85" s="151" t="s">
        <v>1067</v>
      </c>
      <c r="B85" s="150" t="s">
        <v>72</v>
      </c>
      <c r="C85" s="150" t="s">
        <v>1068</v>
      </c>
      <c r="D85" s="152" t="s">
        <v>1283</v>
      </c>
      <c r="E85" s="157">
        <f>15*1.5*1.5*1.5+5*0.8*0.8*5</f>
        <v>66.625</v>
      </c>
      <c r="F85" s="154">
        <v>38.15</v>
      </c>
      <c r="G85" s="154">
        <f t="shared" ref="G85:G88" si="18">F85*1.2423</f>
        <v>47.393744999999996</v>
      </c>
      <c r="H85" s="155">
        <f>G85*E85</f>
        <v>3157.6082606249997</v>
      </c>
      <c r="I85" s="156">
        <f>H85/$H$108</f>
        <v>1.3013987043335945E-2</v>
      </c>
    </row>
    <row r="86" spans="1:9" ht="38.25" x14ac:dyDescent="0.2">
      <c r="A86" s="151" t="s">
        <v>1069</v>
      </c>
      <c r="B86" s="150" t="s">
        <v>72</v>
      </c>
      <c r="C86" s="150" t="s">
        <v>1070</v>
      </c>
      <c r="D86" s="152" t="s">
        <v>1283</v>
      </c>
      <c r="E86" s="157">
        <f>E85*0.9</f>
        <v>59.962499999999999</v>
      </c>
      <c r="F86" s="154">
        <v>72.069999999999993</v>
      </c>
      <c r="G86" s="154">
        <f t="shared" si="18"/>
        <v>89.532560999999987</v>
      </c>
      <c r="H86" s="155">
        <f>G86*E86</f>
        <v>5368.5961889624987</v>
      </c>
      <c r="I86" s="156">
        <f t="shared" ref="I86:I105" si="19">H86/$H$108</f>
        <v>2.2126506987992116E-2</v>
      </c>
    </row>
    <row r="87" spans="1:9" ht="63.75" x14ac:dyDescent="0.2">
      <c r="A87" s="151" t="s">
        <v>1050</v>
      </c>
      <c r="B87" s="150" t="s">
        <v>72</v>
      </c>
      <c r="C87" s="150" t="s">
        <v>1051</v>
      </c>
      <c r="D87" s="152" t="s">
        <v>1283</v>
      </c>
      <c r="E87" s="157">
        <f>E85-E86</f>
        <v>6.6625000000000014</v>
      </c>
      <c r="F87" s="154">
        <v>7.9</v>
      </c>
      <c r="G87" s="154">
        <f t="shared" si="18"/>
        <v>9.8141700000000007</v>
      </c>
      <c r="H87" s="155">
        <f>G87*E87</f>
        <v>65.386907625000021</v>
      </c>
      <c r="I87" s="156">
        <f t="shared" si="19"/>
        <v>2.6949016420014154E-4</v>
      </c>
    </row>
    <row r="88" spans="1:9" ht="38.25" x14ac:dyDescent="0.2">
      <c r="A88" s="151" t="s">
        <v>1053</v>
      </c>
      <c r="B88" s="150" t="s">
        <v>72</v>
      </c>
      <c r="C88" s="150" t="s">
        <v>1054</v>
      </c>
      <c r="D88" s="152" t="s">
        <v>1055</v>
      </c>
      <c r="E88" s="169">
        <f>E87*10*1.3</f>
        <v>86.612500000000026</v>
      </c>
      <c r="F88" s="154">
        <v>2.77</v>
      </c>
      <c r="G88" s="154">
        <f t="shared" si="18"/>
        <v>3.4411709999999998</v>
      </c>
      <c r="H88" s="155">
        <f>G88*E88</f>
        <v>298.04842323750006</v>
      </c>
      <c r="I88" s="156">
        <f t="shared" si="19"/>
        <v>1.2283975712464679E-3</v>
      </c>
    </row>
    <row r="89" spans="1:9" x14ac:dyDescent="0.2">
      <c r="A89" s="146"/>
      <c r="B89" s="146"/>
      <c r="C89" s="146" t="s">
        <v>1039</v>
      </c>
      <c r="D89" s="146"/>
      <c r="E89" s="7"/>
      <c r="F89" s="146"/>
      <c r="G89" s="122"/>
      <c r="H89" s="8">
        <f>SUM(H90:H96)</f>
        <v>117435.07307601413</v>
      </c>
      <c r="I89" s="9">
        <f>SUM(I90:I96)</f>
        <v>0.48400510554211518</v>
      </c>
    </row>
    <row r="90" spans="1:9" ht="25.5" x14ac:dyDescent="0.2">
      <c r="A90" s="151" t="s">
        <v>1072</v>
      </c>
      <c r="B90" s="150" t="s">
        <v>1073</v>
      </c>
      <c r="C90" s="150" t="s">
        <v>1074</v>
      </c>
      <c r="D90" s="152" t="s">
        <v>121</v>
      </c>
      <c r="E90" s="157">
        <f>15*4*5</f>
        <v>300</v>
      </c>
      <c r="F90" s="154">
        <v>86.47</v>
      </c>
      <c r="G90" s="154">
        <f t="shared" ref="G90:G96" si="20">F90*1.2423</f>
        <v>107.42168099999999</v>
      </c>
      <c r="H90" s="154">
        <f t="shared" ref="H90:H96" si="21">G90*E90</f>
        <v>32226.504299999997</v>
      </c>
      <c r="I90" s="156">
        <f t="shared" si="19"/>
        <v>0.13282056379254509</v>
      </c>
    </row>
    <row r="91" spans="1:9" ht="51" x14ac:dyDescent="0.2">
      <c r="A91" s="151" t="s">
        <v>1076</v>
      </c>
      <c r="B91" s="150" t="s">
        <v>72</v>
      </c>
      <c r="C91" s="150" t="s">
        <v>1077</v>
      </c>
      <c r="D91" s="152" t="s">
        <v>1281</v>
      </c>
      <c r="E91" s="157">
        <f>15*1.5*1.5*2</f>
        <v>67.5</v>
      </c>
      <c r="F91" s="154">
        <v>151.01</v>
      </c>
      <c r="G91" s="154">
        <f t="shared" si="20"/>
        <v>187.59972299999998</v>
      </c>
      <c r="H91" s="154">
        <f t="shared" si="21"/>
        <v>12662.981302499998</v>
      </c>
      <c r="I91" s="156">
        <f t="shared" si="19"/>
        <v>5.2190094843532465E-2</v>
      </c>
    </row>
    <row r="92" spans="1:9" ht="38.25" x14ac:dyDescent="0.2">
      <c r="A92" s="151" t="s">
        <v>1079</v>
      </c>
      <c r="B92" s="150" t="s">
        <v>72</v>
      </c>
      <c r="C92" s="150" t="s">
        <v>1080</v>
      </c>
      <c r="D92" s="152" t="s">
        <v>1281</v>
      </c>
      <c r="E92" s="157">
        <f>15*1.5*1.5</f>
        <v>33.75</v>
      </c>
      <c r="F92" s="154">
        <v>29.12</v>
      </c>
      <c r="G92" s="154">
        <f t="shared" si="20"/>
        <v>36.175775999999999</v>
      </c>
      <c r="H92" s="154">
        <f t="shared" si="21"/>
        <v>1220.93244</v>
      </c>
      <c r="I92" s="156">
        <f t="shared" si="19"/>
        <v>5.0320361626503725E-3</v>
      </c>
    </row>
    <row r="93" spans="1:9" ht="38.25" x14ac:dyDescent="0.2">
      <c r="A93" s="151" t="s">
        <v>1082</v>
      </c>
      <c r="B93" s="150" t="s">
        <v>72</v>
      </c>
      <c r="C93" s="150" t="s">
        <v>1083</v>
      </c>
      <c r="D93" s="152" t="s">
        <v>1283</v>
      </c>
      <c r="E93" s="170">
        <f>5*0.8*0.8*5</f>
        <v>16</v>
      </c>
      <c r="F93" s="154">
        <v>522.47</v>
      </c>
      <c r="G93" s="154">
        <f t="shared" si="20"/>
        <v>649.064481</v>
      </c>
      <c r="H93" s="154">
        <f t="shared" si="21"/>
        <v>10385.031696</v>
      </c>
      <c r="I93" s="156">
        <f t="shared" si="19"/>
        <v>4.280159436548539E-2</v>
      </c>
    </row>
    <row r="94" spans="1:9" ht="25.5" x14ac:dyDescent="0.2">
      <c r="A94" s="151">
        <v>104486</v>
      </c>
      <c r="B94" s="150" t="s">
        <v>72</v>
      </c>
      <c r="C94" s="150" t="s">
        <v>1329</v>
      </c>
      <c r="D94" s="152" t="s">
        <v>1283</v>
      </c>
      <c r="E94" s="157">
        <f>15*0.8*0.8*1.5</f>
        <v>14.400000000000002</v>
      </c>
      <c r="F94" s="154">
        <v>3307.35</v>
      </c>
      <c r="G94" s="154">
        <f t="shared" si="20"/>
        <v>4108.7209050000001</v>
      </c>
      <c r="H94" s="154">
        <f t="shared" si="21"/>
        <v>59165.581032000009</v>
      </c>
      <c r="I94" s="156">
        <f t="shared" si="19"/>
        <v>0.24384915461599577</v>
      </c>
    </row>
    <row r="95" spans="1:9" ht="63.75" x14ac:dyDescent="0.2">
      <c r="A95" s="151" t="s">
        <v>1085</v>
      </c>
      <c r="B95" s="150" t="s">
        <v>72</v>
      </c>
      <c r="C95" s="150" t="s">
        <v>1086</v>
      </c>
      <c r="D95" s="152" t="s">
        <v>1066</v>
      </c>
      <c r="E95" s="157">
        <f>(3.14*0.25^2/4*E90)/2.83*10</f>
        <v>52.009717314487631</v>
      </c>
      <c r="F95" s="154">
        <v>3.14</v>
      </c>
      <c r="G95" s="154">
        <f t="shared" si="20"/>
        <v>3.9008220000000002</v>
      </c>
      <c r="H95" s="154">
        <f t="shared" si="21"/>
        <v>202.88064951413429</v>
      </c>
      <c r="I95" s="156">
        <f t="shared" si="19"/>
        <v>8.3616646721019182E-4</v>
      </c>
    </row>
    <row r="96" spans="1:9" ht="51" x14ac:dyDescent="0.2">
      <c r="A96" s="151" t="s">
        <v>1088</v>
      </c>
      <c r="B96" s="150" t="s">
        <v>72</v>
      </c>
      <c r="C96" s="150" t="s">
        <v>1089</v>
      </c>
      <c r="D96" s="152" t="s">
        <v>105</v>
      </c>
      <c r="E96" s="157">
        <v>8</v>
      </c>
      <c r="F96" s="154">
        <v>158.09</v>
      </c>
      <c r="G96" s="154">
        <f t="shared" si="20"/>
        <v>196.395207</v>
      </c>
      <c r="H96" s="154">
        <f t="shared" si="21"/>
        <v>1571.161656</v>
      </c>
      <c r="I96" s="156">
        <f t="shared" si="19"/>
        <v>6.4754952946959494E-3</v>
      </c>
    </row>
    <row r="97" spans="1:9" x14ac:dyDescent="0.2">
      <c r="A97" s="146"/>
      <c r="B97" s="146"/>
      <c r="C97" s="146" t="s">
        <v>1041</v>
      </c>
      <c r="D97" s="146"/>
      <c r="E97" s="7"/>
      <c r="F97" s="146"/>
      <c r="G97" s="122"/>
      <c r="H97" s="8">
        <f>SUM(H98:H105)</f>
        <v>115470.85985106896</v>
      </c>
      <c r="I97" s="9">
        <f>SUM(I98:I105)</f>
        <v>0.47590966008152907</v>
      </c>
    </row>
    <row r="98" spans="1:9" ht="25.5" x14ac:dyDescent="0.2">
      <c r="A98" s="151">
        <v>2</v>
      </c>
      <c r="B98" s="150" t="s">
        <v>1286</v>
      </c>
      <c r="C98" s="150" t="s">
        <v>1282</v>
      </c>
      <c r="D98" s="152" t="s">
        <v>1283</v>
      </c>
      <c r="E98" s="157">
        <f>5*8*0.08</f>
        <v>3.2</v>
      </c>
      <c r="F98" s="154">
        <f>COMP!G22</f>
        <v>8702.1899999999987</v>
      </c>
      <c r="G98" s="154">
        <f t="shared" ref="G98:G105" si="22">F98*1.2423</f>
        <v>10810.730636999999</v>
      </c>
      <c r="H98" s="155">
        <f t="shared" ref="H98:H105" si="23">G98*E98</f>
        <v>34594.338038399997</v>
      </c>
      <c r="I98" s="156">
        <f t="shared" si="19"/>
        <v>0.14257951900449148</v>
      </c>
    </row>
    <row r="99" spans="1:9" ht="25.5" x14ac:dyDescent="0.2">
      <c r="A99" s="158">
        <v>3</v>
      </c>
      <c r="B99" s="159" t="s">
        <v>1286</v>
      </c>
      <c r="C99" s="150" t="s">
        <v>1284</v>
      </c>
      <c r="D99" s="160" t="s">
        <v>1283</v>
      </c>
      <c r="E99" s="157">
        <f>8*2*0.2*0.3</f>
        <v>0.96</v>
      </c>
      <c r="F99" s="154">
        <f>F98</f>
        <v>8702.1899999999987</v>
      </c>
      <c r="G99" s="154">
        <f t="shared" si="22"/>
        <v>10810.730636999999</v>
      </c>
      <c r="H99" s="161">
        <f t="shared" si="23"/>
        <v>10378.301411519999</v>
      </c>
      <c r="I99" s="156">
        <f t="shared" si="19"/>
        <v>4.2773855701347438E-2</v>
      </c>
    </row>
    <row r="100" spans="1:9" ht="38.25" x14ac:dyDescent="0.2">
      <c r="A100" s="151">
        <v>4</v>
      </c>
      <c r="B100" s="150" t="s">
        <v>1286</v>
      </c>
      <c r="C100" s="150" t="s">
        <v>1370</v>
      </c>
      <c r="D100" s="152" t="s">
        <v>1283</v>
      </c>
      <c r="E100" s="157">
        <f>5*5*0.2*0.3</f>
        <v>1.5</v>
      </c>
      <c r="F100" s="154">
        <f>F99</f>
        <v>8702.1899999999987</v>
      </c>
      <c r="G100" s="154">
        <f t="shared" si="22"/>
        <v>10810.730636999999</v>
      </c>
      <c r="H100" s="155">
        <f t="shared" si="23"/>
        <v>16216.095955499997</v>
      </c>
      <c r="I100" s="156">
        <f t="shared" si="19"/>
        <v>6.6834149533355369E-2</v>
      </c>
    </row>
    <row r="101" spans="1:9" ht="38.25" x14ac:dyDescent="0.2">
      <c r="A101" s="151">
        <v>4</v>
      </c>
      <c r="B101" s="150" t="s">
        <v>1286</v>
      </c>
      <c r="C101" s="150" t="s">
        <v>1371</v>
      </c>
      <c r="D101" s="152" t="s">
        <v>1283</v>
      </c>
      <c r="E101" s="157">
        <f>54*0.15*0.25</f>
        <v>2.0249999999999999</v>
      </c>
      <c r="F101" s="154">
        <f>F100</f>
        <v>8702.1899999999987</v>
      </c>
      <c r="G101" s="154">
        <f t="shared" si="22"/>
        <v>10810.730636999999</v>
      </c>
      <c r="H101" s="155">
        <f t="shared" si="23"/>
        <v>21891.729539924996</v>
      </c>
      <c r="I101" s="156">
        <f t="shared" si="19"/>
        <v>9.0226101870029746E-2</v>
      </c>
    </row>
    <row r="102" spans="1:9" ht="25.5" x14ac:dyDescent="0.2">
      <c r="A102" s="151">
        <v>5</v>
      </c>
      <c r="B102" s="150" t="s">
        <v>1286</v>
      </c>
      <c r="C102" s="150" t="s">
        <v>1285</v>
      </c>
      <c r="D102" s="152" t="s">
        <v>1283</v>
      </c>
      <c r="E102" s="157">
        <f>2*6*0.8*0.05</f>
        <v>0.48000000000000009</v>
      </c>
      <c r="F102" s="154">
        <f>COMP!G48</f>
        <v>7541.19</v>
      </c>
      <c r="G102" s="154">
        <f t="shared" si="22"/>
        <v>9368.4203369999996</v>
      </c>
      <c r="H102" s="155">
        <f t="shared" si="23"/>
        <v>4496.8417617600007</v>
      </c>
      <c r="I102" s="156">
        <f t="shared" si="19"/>
        <v>1.8533597455148897E-2</v>
      </c>
    </row>
    <row r="103" spans="1:9" ht="51" x14ac:dyDescent="0.2">
      <c r="A103" s="151" t="s">
        <v>1104</v>
      </c>
      <c r="B103" s="150" t="s">
        <v>32</v>
      </c>
      <c r="C103" s="150" t="s">
        <v>1105</v>
      </c>
      <c r="D103" s="152" t="s">
        <v>1281</v>
      </c>
      <c r="E103" s="157">
        <v>12</v>
      </c>
      <c r="F103" s="154">
        <v>553.78</v>
      </c>
      <c r="G103" s="154">
        <f t="shared" si="22"/>
        <v>687.96089399999994</v>
      </c>
      <c r="H103" s="155">
        <f t="shared" si="23"/>
        <v>8255.5307279999997</v>
      </c>
      <c r="I103" s="156">
        <f t="shared" si="19"/>
        <v>3.4024920465842774E-2</v>
      </c>
    </row>
    <row r="104" spans="1:9" ht="25.5" x14ac:dyDescent="0.2">
      <c r="A104" s="162">
        <v>6</v>
      </c>
      <c r="B104" s="150" t="s">
        <v>1286</v>
      </c>
      <c r="C104" s="150" t="s">
        <v>1287</v>
      </c>
      <c r="D104" s="152" t="s">
        <v>1283</v>
      </c>
      <c r="E104" s="170">
        <f>3*12*0.2*0.25</f>
        <v>1.8</v>
      </c>
      <c r="F104" s="154">
        <f>F101</f>
        <v>8702.1899999999987</v>
      </c>
      <c r="G104" s="154">
        <f t="shared" si="22"/>
        <v>10810.730636999999</v>
      </c>
      <c r="H104" s="155">
        <f t="shared" si="23"/>
        <v>19459.315146599998</v>
      </c>
      <c r="I104" s="156">
        <f t="shared" si="19"/>
        <v>8.0200979440026451E-2</v>
      </c>
    </row>
    <row r="105" spans="1:9" ht="63.75" x14ac:dyDescent="0.2">
      <c r="A105" s="151" t="s">
        <v>1085</v>
      </c>
      <c r="B105" s="150" t="s">
        <v>72</v>
      </c>
      <c r="C105" s="150" t="s">
        <v>1086</v>
      </c>
      <c r="D105" s="152" t="s">
        <v>1066</v>
      </c>
      <c r="E105" s="157">
        <f>10*(E98+E99+E100+E101+E102+E104+30*0.1)/2.83</f>
        <v>45.812720848056536</v>
      </c>
      <c r="F105" s="154">
        <f>F95</f>
        <v>3.14</v>
      </c>
      <c r="G105" s="154">
        <f t="shared" si="22"/>
        <v>3.9008220000000002</v>
      </c>
      <c r="H105" s="155">
        <f t="shared" si="23"/>
        <v>178.70726936395761</v>
      </c>
      <c r="I105" s="156">
        <f t="shared" si="19"/>
        <v>7.3653661128697317E-4</v>
      </c>
    </row>
    <row r="106" spans="1:9" x14ac:dyDescent="0.2">
      <c r="A106" s="126"/>
      <c r="B106" s="126"/>
      <c r="C106" s="126" t="s">
        <v>1043</v>
      </c>
      <c r="D106" s="126"/>
      <c r="E106" s="127"/>
      <c r="F106" s="126"/>
      <c r="G106" s="122"/>
      <c r="H106" s="128">
        <f>H107</f>
        <v>836.31636000000003</v>
      </c>
      <c r="I106" s="9">
        <f>I107</f>
        <v>3.4468526095810244E-3</v>
      </c>
    </row>
    <row r="107" spans="1:9" ht="25.5" x14ac:dyDescent="0.2">
      <c r="A107" s="151" t="s">
        <v>1101</v>
      </c>
      <c r="B107" s="150" t="s">
        <v>72</v>
      </c>
      <c r="C107" s="150" t="s">
        <v>1102</v>
      </c>
      <c r="D107" s="163" t="s">
        <v>1281</v>
      </c>
      <c r="E107" s="157">
        <v>30</v>
      </c>
      <c r="F107" s="154">
        <v>22.44</v>
      </c>
      <c r="G107" s="154">
        <f t="shared" ref="G107" si="24">F107*1.2423</f>
        <v>27.877212</v>
      </c>
      <c r="H107" s="155">
        <f>G107*E107</f>
        <v>836.31636000000003</v>
      </c>
      <c r="I107" s="156">
        <f>H107/$H$108</f>
        <v>3.4468526095810244E-3</v>
      </c>
    </row>
    <row r="108" spans="1:9" ht="15" x14ac:dyDescent="0.25">
      <c r="A108" s="145"/>
      <c r="B108" s="145"/>
      <c r="C108" s="145"/>
      <c r="D108" s="145"/>
      <c r="E108" s="145"/>
      <c r="F108" s="145"/>
      <c r="G108" s="123" t="s">
        <v>1277</v>
      </c>
      <c r="H108" s="164">
        <f>H84+H89+H97+H106</f>
        <v>242631.88906753308</v>
      </c>
      <c r="I108" s="168">
        <f>I84+I89+I97+I106</f>
        <v>1</v>
      </c>
    </row>
    <row r="110" spans="1:9" x14ac:dyDescent="0.2">
      <c r="A110" s="171" t="s">
        <v>1288</v>
      </c>
      <c r="B110" s="171">
        <v>15</v>
      </c>
      <c r="C110" s="167" t="s">
        <v>1356</v>
      </c>
      <c r="D110" s="165"/>
      <c r="E110" s="165"/>
      <c r="F110" s="165"/>
      <c r="G110" s="165"/>
      <c r="H110" s="165"/>
      <c r="I110" s="165"/>
    </row>
    <row r="111" spans="1:9" x14ac:dyDescent="0.2">
      <c r="A111" s="146"/>
      <c r="B111" s="146"/>
      <c r="C111" s="146" t="s">
        <v>1037</v>
      </c>
      <c r="D111" s="146"/>
      <c r="E111" s="7"/>
      <c r="F111" s="146"/>
      <c r="G111" s="122"/>
      <c r="H111" s="8">
        <f>SUM(H112:H115)</f>
        <v>5333.7838682699994</v>
      </c>
      <c r="I111" s="9">
        <f>SUM(I112:I115)</f>
        <v>3.2555572588840162E-2</v>
      </c>
    </row>
    <row r="112" spans="1:9" ht="63.75" x14ac:dyDescent="0.2">
      <c r="A112" s="151" t="s">
        <v>1067</v>
      </c>
      <c r="B112" s="150" t="s">
        <v>72</v>
      </c>
      <c r="C112" s="150" t="s">
        <v>1068</v>
      </c>
      <c r="D112" s="152" t="s">
        <v>1283</v>
      </c>
      <c r="E112" s="157">
        <f>9*1.5*1.5*1.5+5*0.8*0.8*3</f>
        <v>39.975000000000001</v>
      </c>
      <c r="F112" s="154">
        <v>38.15</v>
      </c>
      <c r="G112" s="154">
        <f t="shared" ref="G112:G115" si="25">F112*1.2423</f>
        <v>47.393744999999996</v>
      </c>
      <c r="H112" s="155">
        <f>G112*E112</f>
        <v>1894.5649563749998</v>
      </c>
      <c r="I112" s="156">
        <f>H112/$H$135</f>
        <v>1.1563769452387735E-2</v>
      </c>
    </row>
    <row r="113" spans="1:9" ht="38.25" x14ac:dyDescent="0.2">
      <c r="A113" s="151" t="s">
        <v>1069</v>
      </c>
      <c r="B113" s="150" t="s">
        <v>72</v>
      </c>
      <c r="C113" s="150" t="s">
        <v>1070</v>
      </c>
      <c r="D113" s="152" t="s">
        <v>1283</v>
      </c>
      <c r="E113" s="157">
        <f>E112*0.9</f>
        <v>35.977499999999999</v>
      </c>
      <c r="F113" s="154">
        <v>72.069999999999993</v>
      </c>
      <c r="G113" s="154">
        <f t="shared" si="25"/>
        <v>89.532560999999987</v>
      </c>
      <c r="H113" s="155">
        <f>G113*E113</f>
        <v>3221.1577133774995</v>
      </c>
      <c r="I113" s="156">
        <f t="shared" ref="I113:I132" si="26">H113/$H$135</f>
        <v>1.9660832974842085E-2</v>
      </c>
    </row>
    <row r="114" spans="1:9" ht="63.75" x14ac:dyDescent="0.2">
      <c r="A114" s="151" t="s">
        <v>1050</v>
      </c>
      <c r="B114" s="150" t="s">
        <v>72</v>
      </c>
      <c r="C114" s="150" t="s">
        <v>1051</v>
      </c>
      <c r="D114" s="152" t="s">
        <v>1283</v>
      </c>
      <c r="E114" s="157">
        <f>E112-E113</f>
        <v>3.9975000000000023</v>
      </c>
      <c r="F114" s="154">
        <v>7.9</v>
      </c>
      <c r="G114" s="154">
        <f t="shared" si="25"/>
        <v>9.8141700000000007</v>
      </c>
      <c r="H114" s="155">
        <f>G114*E114</f>
        <v>39.232144575000028</v>
      </c>
      <c r="I114" s="156">
        <f t="shared" si="26"/>
        <v>2.3945944606517216E-4</v>
      </c>
    </row>
    <row r="115" spans="1:9" ht="38.25" x14ac:dyDescent="0.2">
      <c r="A115" s="151" t="s">
        <v>1053</v>
      </c>
      <c r="B115" s="150" t="s">
        <v>72</v>
      </c>
      <c r="C115" s="150" t="s">
        <v>1054</v>
      </c>
      <c r="D115" s="152" t="s">
        <v>1055</v>
      </c>
      <c r="E115" s="169">
        <f>E114*10*1.3</f>
        <v>51.96750000000003</v>
      </c>
      <c r="F115" s="154">
        <v>2.77</v>
      </c>
      <c r="G115" s="154">
        <f t="shared" si="25"/>
        <v>3.4411709999999998</v>
      </c>
      <c r="H115" s="155">
        <f>G115*E115</f>
        <v>178.82905394250008</v>
      </c>
      <c r="I115" s="156">
        <f t="shared" si="26"/>
        <v>1.0915107155451706E-3</v>
      </c>
    </row>
    <row r="116" spans="1:9" x14ac:dyDescent="0.2">
      <c r="A116" s="146"/>
      <c r="B116" s="146"/>
      <c r="C116" s="146" t="s">
        <v>1039</v>
      </c>
      <c r="D116" s="146"/>
      <c r="E116" s="7"/>
      <c r="F116" s="146"/>
      <c r="G116" s="122"/>
      <c r="H116" s="8">
        <f>SUM(H117:H123)</f>
        <v>71089.508508008497</v>
      </c>
      <c r="I116" s="9">
        <f>SUM(I117:I123)</f>
        <v>0.43390578090448528</v>
      </c>
    </row>
    <row r="117" spans="1:9" ht="25.5" x14ac:dyDescent="0.2">
      <c r="A117" s="151" t="s">
        <v>1072</v>
      </c>
      <c r="B117" s="150" t="s">
        <v>1073</v>
      </c>
      <c r="C117" s="150" t="s">
        <v>1074</v>
      </c>
      <c r="D117" s="152" t="s">
        <v>121</v>
      </c>
      <c r="E117" s="157">
        <f>9*4*5</f>
        <v>180</v>
      </c>
      <c r="F117" s="154">
        <v>86.47</v>
      </c>
      <c r="G117" s="154">
        <f t="shared" ref="G117:G123" si="27">F117*1.2423</f>
        <v>107.42168099999999</v>
      </c>
      <c r="H117" s="154">
        <f t="shared" ref="H117:H123" si="28">G117*E117</f>
        <v>19335.902579999998</v>
      </c>
      <c r="I117" s="156">
        <f t="shared" si="26"/>
        <v>0.11801966400601564</v>
      </c>
    </row>
    <row r="118" spans="1:9" ht="51" x14ac:dyDescent="0.2">
      <c r="A118" s="151" t="s">
        <v>1076</v>
      </c>
      <c r="B118" s="150" t="s">
        <v>72</v>
      </c>
      <c r="C118" s="150" t="s">
        <v>1077</v>
      </c>
      <c r="D118" s="152" t="s">
        <v>1281</v>
      </c>
      <c r="E118" s="157">
        <f>9*1.5*1.5*2</f>
        <v>40.5</v>
      </c>
      <c r="F118" s="154">
        <v>151.01</v>
      </c>
      <c r="G118" s="154">
        <f t="shared" si="27"/>
        <v>187.59972299999998</v>
      </c>
      <c r="H118" s="154">
        <f t="shared" si="28"/>
        <v>7597.7887814999995</v>
      </c>
      <c r="I118" s="156">
        <f t="shared" si="26"/>
        <v>4.6374275804884874E-2</v>
      </c>
    </row>
    <row r="119" spans="1:9" ht="38.25" x14ac:dyDescent="0.2">
      <c r="A119" s="151" t="s">
        <v>1079</v>
      </c>
      <c r="B119" s="150" t="s">
        <v>72</v>
      </c>
      <c r="C119" s="150" t="s">
        <v>1080</v>
      </c>
      <c r="D119" s="152" t="s">
        <v>1281</v>
      </c>
      <c r="E119" s="157">
        <f>9*1.5*1.5</f>
        <v>20.25</v>
      </c>
      <c r="F119" s="154">
        <v>29.12</v>
      </c>
      <c r="G119" s="154">
        <f t="shared" si="27"/>
        <v>36.175775999999999</v>
      </c>
      <c r="H119" s="154">
        <f t="shared" si="28"/>
        <v>732.55946399999993</v>
      </c>
      <c r="I119" s="156">
        <f t="shared" si="26"/>
        <v>4.4712896875645572E-3</v>
      </c>
    </row>
    <row r="120" spans="1:9" ht="38.25" x14ac:dyDescent="0.2">
      <c r="A120" s="151" t="s">
        <v>1082</v>
      </c>
      <c r="B120" s="150" t="s">
        <v>72</v>
      </c>
      <c r="C120" s="150" t="s">
        <v>1083</v>
      </c>
      <c r="D120" s="152" t="s">
        <v>1283</v>
      </c>
      <c r="E120" s="170">
        <f>5*0.8*0.8*3</f>
        <v>9.6000000000000014</v>
      </c>
      <c r="F120" s="154">
        <v>522.47</v>
      </c>
      <c r="G120" s="154">
        <f t="shared" si="27"/>
        <v>649.064481</v>
      </c>
      <c r="H120" s="154">
        <f t="shared" si="28"/>
        <v>6231.0190176000006</v>
      </c>
      <c r="I120" s="156">
        <f t="shared" si="26"/>
        <v>3.8031985723432714E-2</v>
      </c>
    </row>
    <row r="121" spans="1:9" ht="25.5" x14ac:dyDescent="0.2">
      <c r="A121" s="151">
        <v>104486</v>
      </c>
      <c r="B121" s="150" t="s">
        <v>72</v>
      </c>
      <c r="C121" s="150" t="s">
        <v>1329</v>
      </c>
      <c r="D121" s="152" t="s">
        <v>1283</v>
      </c>
      <c r="E121" s="157">
        <f>9*0.8*0.8*1.5</f>
        <v>8.64</v>
      </c>
      <c r="F121" s="154">
        <v>3307.35</v>
      </c>
      <c r="G121" s="154">
        <f t="shared" si="27"/>
        <v>4108.7209050000001</v>
      </c>
      <c r="H121" s="154">
        <f t="shared" si="28"/>
        <v>35499.348619200005</v>
      </c>
      <c r="I121" s="156">
        <f t="shared" si="26"/>
        <v>0.21667575015628779</v>
      </c>
    </row>
    <row r="122" spans="1:9" ht="63.75" x14ac:dyDescent="0.2">
      <c r="A122" s="151" t="s">
        <v>1085</v>
      </c>
      <c r="B122" s="150" t="s">
        <v>72</v>
      </c>
      <c r="C122" s="150" t="s">
        <v>1086</v>
      </c>
      <c r="D122" s="152" t="s">
        <v>1066</v>
      </c>
      <c r="E122" s="157">
        <f>(3.14*0.25^2/4*E117)/2.83*10</f>
        <v>31.205830388692579</v>
      </c>
      <c r="F122" s="154">
        <v>3.14</v>
      </c>
      <c r="G122" s="154">
        <f t="shared" si="27"/>
        <v>3.9008220000000002</v>
      </c>
      <c r="H122" s="154">
        <f t="shared" si="28"/>
        <v>121.72838970848058</v>
      </c>
      <c r="I122" s="156">
        <f t="shared" si="26"/>
        <v>7.4298800347949478E-4</v>
      </c>
    </row>
    <row r="123" spans="1:9" ht="51" x14ac:dyDescent="0.2">
      <c r="A123" s="151" t="s">
        <v>1088</v>
      </c>
      <c r="B123" s="150" t="s">
        <v>72</v>
      </c>
      <c r="C123" s="150" t="s">
        <v>1089</v>
      </c>
      <c r="D123" s="152" t="s">
        <v>105</v>
      </c>
      <c r="E123" s="157">
        <v>8</v>
      </c>
      <c r="F123" s="154">
        <v>158.09</v>
      </c>
      <c r="G123" s="154">
        <f t="shared" si="27"/>
        <v>196.395207</v>
      </c>
      <c r="H123" s="154">
        <f t="shared" si="28"/>
        <v>1571.161656</v>
      </c>
      <c r="I123" s="156">
        <f t="shared" si="26"/>
        <v>9.5898275228202545E-3</v>
      </c>
    </row>
    <row r="124" spans="1:9" x14ac:dyDescent="0.2">
      <c r="A124" s="146"/>
      <c r="B124" s="146"/>
      <c r="C124" s="146" t="s">
        <v>1041</v>
      </c>
      <c r="D124" s="146"/>
      <c r="E124" s="7"/>
      <c r="F124" s="146"/>
      <c r="G124" s="122"/>
      <c r="H124" s="8">
        <f>SUM(H125:H132)</f>
        <v>86716.056157852203</v>
      </c>
      <c r="I124" s="9">
        <f>SUM(I125:I132)</f>
        <v>0.52928482491746709</v>
      </c>
    </row>
    <row r="125" spans="1:9" ht="25.5" x14ac:dyDescent="0.2">
      <c r="A125" s="151">
        <v>2</v>
      </c>
      <c r="B125" s="150" t="s">
        <v>1286</v>
      </c>
      <c r="C125" s="150" t="s">
        <v>1282</v>
      </c>
      <c r="D125" s="152" t="s">
        <v>1283</v>
      </c>
      <c r="E125" s="157">
        <f>5*5*0.08</f>
        <v>2</v>
      </c>
      <c r="F125" s="154">
        <f>COMP!G22</f>
        <v>8702.1899999999987</v>
      </c>
      <c r="G125" s="154">
        <f t="shared" ref="G125:G132" si="29">F125*1.2423</f>
        <v>10810.730636999999</v>
      </c>
      <c r="H125" s="155">
        <f t="shared" ref="H125:H132" si="30">G125*E125</f>
        <v>21621.461273999998</v>
      </c>
      <c r="I125" s="156">
        <f t="shared" si="26"/>
        <v>0.13196992404771202</v>
      </c>
    </row>
    <row r="126" spans="1:9" ht="25.5" x14ac:dyDescent="0.2">
      <c r="A126" s="158">
        <v>3</v>
      </c>
      <c r="B126" s="159" t="s">
        <v>1286</v>
      </c>
      <c r="C126" s="150" t="s">
        <v>1284</v>
      </c>
      <c r="D126" s="160" t="s">
        <v>1283</v>
      </c>
      <c r="E126" s="157">
        <f>5*2*0.2*0.3</f>
        <v>0.6</v>
      </c>
      <c r="F126" s="154">
        <f>F125</f>
        <v>8702.1899999999987</v>
      </c>
      <c r="G126" s="154">
        <f t="shared" si="29"/>
        <v>10810.730636999999</v>
      </c>
      <c r="H126" s="161">
        <f t="shared" si="30"/>
        <v>6486.4383821999991</v>
      </c>
      <c r="I126" s="156">
        <f t="shared" si="26"/>
        <v>3.9590977214313608E-2</v>
      </c>
    </row>
    <row r="127" spans="1:9" ht="38.25" x14ac:dyDescent="0.2">
      <c r="A127" s="151">
        <v>4</v>
      </c>
      <c r="B127" s="150" t="s">
        <v>1286</v>
      </c>
      <c r="C127" s="150" t="s">
        <v>1370</v>
      </c>
      <c r="D127" s="152" t="s">
        <v>1283</v>
      </c>
      <c r="E127" s="157">
        <f>3*5*0.2*0.3</f>
        <v>0.89999999999999991</v>
      </c>
      <c r="F127" s="154">
        <f>F126</f>
        <v>8702.1899999999987</v>
      </c>
      <c r="G127" s="154">
        <f t="shared" si="29"/>
        <v>10810.730636999999</v>
      </c>
      <c r="H127" s="155">
        <f t="shared" si="30"/>
        <v>9729.6575732999972</v>
      </c>
      <c r="I127" s="156">
        <f t="shared" si="26"/>
        <v>5.9386465821470398E-2</v>
      </c>
    </row>
    <row r="128" spans="1:9" ht="38.25" x14ac:dyDescent="0.2">
      <c r="A128" s="151">
        <v>4</v>
      </c>
      <c r="B128" s="150" t="s">
        <v>1286</v>
      </c>
      <c r="C128" s="150" t="s">
        <v>1371</v>
      </c>
      <c r="D128" s="152" t="s">
        <v>1283</v>
      </c>
      <c r="E128" s="157">
        <f>34*0.15*0.25</f>
        <v>1.2749999999999999</v>
      </c>
      <c r="F128" s="154">
        <f>F127</f>
        <v>8702.1899999999987</v>
      </c>
      <c r="G128" s="154">
        <f t="shared" si="29"/>
        <v>10810.730636999999</v>
      </c>
      <c r="H128" s="155">
        <f t="shared" si="30"/>
        <v>13783.681562174997</v>
      </c>
      <c r="I128" s="156">
        <f t="shared" si="26"/>
        <v>8.4130826580416401E-2</v>
      </c>
    </row>
    <row r="129" spans="1:9" ht="25.5" x14ac:dyDescent="0.2">
      <c r="A129" s="151">
        <v>5</v>
      </c>
      <c r="B129" s="150" t="s">
        <v>1286</v>
      </c>
      <c r="C129" s="150" t="s">
        <v>1285</v>
      </c>
      <c r="D129" s="152" t="s">
        <v>1283</v>
      </c>
      <c r="E129" s="157">
        <f>2*5*0.8*0.05</f>
        <v>0.4</v>
      </c>
      <c r="F129" s="154">
        <f>COMP!G48</f>
        <v>7541.19</v>
      </c>
      <c r="G129" s="154">
        <f t="shared" si="29"/>
        <v>9368.4203369999996</v>
      </c>
      <c r="H129" s="155">
        <f t="shared" si="30"/>
        <v>3747.3681348</v>
      </c>
      <c r="I129" s="156">
        <f t="shared" si="26"/>
        <v>2.2872639451204019E-2</v>
      </c>
    </row>
    <row r="130" spans="1:9" ht="51" x14ac:dyDescent="0.2">
      <c r="A130" s="151" t="s">
        <v>1104</v>
      </c>
      <c r="B130" s="150" t="s">
        <v>32</v>
      </c>
      <c r="C130" s="150" t="s">
        <v>1105</v>
      </c>
      <c r="D130" s="152" t="s">
        <v>1281</v>
      </c>
      <c r="E130" s="157">
        <v>10</v>
      </c>
      <c r="F130" s="154">
        <v>553.78</v>
      </c>
      <c r="G130" s="154">
        <f t="shared" si="29"/>
        <v>687.96089399999994</v>
      </c>
      <c r="H130" s="155">
        <f t="shared" si="30"/>
        <v>6879.6089399999992</v>
      </c>
      <c r="I130" s="156">
        <f t="shared" si="26"/>
        <v>4.1990754361340053E-2</v>
      </c>
    </row>
    <row r="131" spans="1:9" ht="25.5" x14ac:dyDescent="0.2">
      <c r="A131" s="162">
        <v>6</v>
      </c>
      <c r="B131" s="150" t="s">
        <v>1286</v>
      </c>
      <c r="C131" s="150" t="s">
        <v>1287</v>
      </c>
      <c r="D131" s="152" t="s">
        <v>1283</v>
      </c>
      <c r="E131" s="170">
        <f>5*9*0.2*0.25</f>
        <v>2.25</v>
      </c>
      <c r="F131" s="154">
        <f>F128</f>
        <v>8702.1899999999987</v>
      </c>
      <c r="G131" s="154">
        <f t="shared" si="29"/>
        <v>10810.730636999999</v>
      </c>
      <c r="H131" s="155">
        <f t="shared" si="30"/>
        <v>24324.143933249998</v>
      </c>
      <c r="I131" s="156">
        <f t="shared" si="26"/>
        <v>0.14846616455367603</v>
      </c>
    </row>
    <row r="132" spans="1:9" ht="63.75" x14ac:dyDescent="0.2">
      <c r="A132" s="151" t="s">
        <v>1085</v>
      </c>
      <c r="B132" s="150" t="s">
        <v>72</v>
      </c>
      <c r="C132" s="150" t="s">
        <v>1086</v>
      </c>
      <c r="D132" s="152" t="s">
        <v>1066</v>
      </c>
      <c r="E132" s="157">
        <f>10*(E125+E126+E127+E128+E129+E131+30*0.1)/2.83</f>
        <v>36.837455830388691</v>
      </c>
      <c r="F132" s="154">
        <f>F122</f>
        <v>3.14</v>
      </c>
      <c r="G132" s="154">
        <f t="shared" si="29"/>
        <v>3.9008220000000002</v>
      </c>
      <c r="H132" s="155">
        <f t="shared" si="30"/>
        <v>143.6963581272085</v>
      </c>
      <c r="I132" s="156">
        <f t="shared" si="26"/>
        <v>8.7707288733460532E-4</v>
      </c>
    </row>
    <row r="133" spans="1:9" x14ac:dyDescent="0.2">
      <c r="A133" s="126"/>
      <c r="B133" s="126"/>
      <c r="C133" s="126" t="s">
        <v>1043</v>
      </c>
      <c r="D133" s="126"/>
      <c r="E133" s="127"/>
      <c r="F133" s="126"/>
      <c r="G133" s="122"/>
      <c r="H133" s="128">
        <f>H134</f>
        <v>696.93029999999999</v>
      </c>
      <c r="I133" s="9">
        <f>I134</f>
        <v>4.2538215892072252E-3</v>
      </c>
    </row>
    <row r="134" spans="1:9" ht="25.5" x14ac:dyDescent="0.2">
      <c r="A134" s="151" t="s">
        <v>1101</v>
      </c>
      <c r="B134" s="150" t="s">
        <v>72</v>
      </c>
      <c r="C134" s="150" t="s">
        <v>1102</v>
      </c>
      <c r="D134" s="163" t="s">
        <v>1281</v>
      </c>
      <c r="E134" s="157">
        <v>25</v>
      </c>
      <c r="F134" s="154">
        <v>22.44</v>
      </c>
      <c r="G134" s="154">
        <f t="shared" ref="G134" si="31">F134*1.2423</f>
        <v>27.877212</v>
      </c>
      <c r="H134" s="155">
        <f>G134*E134</f>
        <v>696.93029999999999</v>
      </c>
      <c r="I134" s="156">
        <f>H134/$H$135</f>
        <v>4.2538215892072252E-3</v>
      </c>
    </row>
    <row r="135" spans="1:9" ht="15" x14ac:dyDescent="0.25">
      <c r="A135" s="145"/>
      <c r="B135" s="145"/>
      <c r="C135" s="145"/>
      <c r="D135" s="145"/>
      <c r="E135" s="145"/>
      <c r="F135" s="145"/>
      <c r="G135" s="123" t="s">
        <v>1277</v>
      </c>
      <c r="H135" s="164">
        <f>H111+H116+H124+H133</f>
        <v>163836.2788341307</v>
      </c>
      <c r="I135" s="168">
        <f>I111+I116+I124+I133</f>
        <v>0.99999999999999978</v>
      </c>
    </row>
    <row r="136" spans="1:9" ht="15" x14ac:dyDescent="0.25">
      <c r="A136" s="165"/>
      <c r="B136" s="165"/>
      <c r="C136" s="166" t="s">
        <v>1357</v>
      </c>
      <c r="D136" s="165"/>
      <c r="E136" s="165"/>
      <c r="F136" s="165"/>
      <c r="G136" s="165"/>
      <c r="H136" s="165"/>
      <c r="I136" s="165"/>
    </row>
    <row r="137" spans="1:9" x14ac:dyDescent="0.2">
      <c r="A137" s="171" t="s">
        <v>1288</v>
      </c>
      <c r="B137" s="171">
        <v>16</v>
      </c>
      <c r="C137" s="167" t="s">
        <v>1358</v>
      </c>
      <c r="D137" s="165"/>
      <c r="E137" s="165"/>
      <c r="F137" s="165"/>
      <c r="G137" s="165"/>
      <c r="H137" s="165"/>
      <c r="I137" s="165"/>
    </row>
    <row r="138" spans="1:9" x14ac:dyDescent="0.2">
      <c r="A138" s="146"/>
      <c r="B138" s="146"/>
      <c r="C138" s="146" t="s">
        <v>1037</v>
      </c>
      <c r="D138" s="146"/>
      <c r="E138" s="7"/>
      <c r="F138" s="146"/>
      <c r="G138" s="122"/>
      <c r="H138" s="8">
        <f>SUM(H139:H142)</f>
        <v>20814.766315199995</v>
      </c>
      <c r="I138" s="9">
        <f>SUM(I139:I142)</f>
        <v>6.7202677445401954E-2</v>
      </c>
    </row>
    <row r="139" spans="1:9" ht="63.75" x14ac:dyDescent="0.2">
      <c r="A139" s="151" t="s">
        <v>1067</v>
      </c>
      <c r="B139" s="150" t="s">
        <v>72</v>
      </c>
      <c r="C139" s="150" t="s">
        <v>1068</v>
      </c>
      <c r="D139" s="152" t="s">
        <v>1283</v>
      </c>
      <c r="E139" s="157">
        <f>32*1.5*1.5*1.5+5*0.8*0.8*15</f>
        <v>156</v>
      </c>
      <c r="F139" s="154">
        <v>38.15</v>
      </c>
      <c r="G139" s="154">
        <f t="shared" ref="G139:G142" si="32">F139*1.2423</f>
        <v>47.393744999999996</v>
      </c>
      <c r="H139" s="155">
        <f>G139*E139</f>
        <v>7393.424219999999</v>
      </c>
      <c r="I139" s="156">
        <f>H139/$H$162</f>
        <v>2.3870453098041828E-2</v>
      </c>
    </row>
    <row r="140" spans="1:9" ht="38.25" x14ac:dyDescent="0.2">
      <c r="A140" s="151" t="s">
        <v>1069</v>
      </c>
      <c r="B140" s="150" t="s">
        <v>72</v>
      </c>
      <c r="C140" s="150" t="s">
        <v>1070</v>
      </c>
      <c r="D140" s="152" t="s">
        <v>1283</v>
      </c>
      <c r="E140" s="157">
        <f>E139*0.9</f>
        <v>140.4</v>
      </c>
      <c r="F140" s="154">
        <v>72.069999999999993</v>
      </c>
      <c r="G140" s="154">
        <f t="shared" si="32"/>
        <v>89.532560999999987</v>
      </c>
      <c r="H140" s="155">
        <f>G140*E140</f>
        <v>12570.371564399999</v>
      </c>
      <c r="I140" s="156">
        <f t="shared" ref="I140:I161" si="33">H140/$H$162</f>
        <v>4.0584775866272273E-2</v>
      </c>
    </row>
    <row r="141" spans="1:9" ht="63.75" x14ac:dyDescent="0.2">
      <c r="A141" s="151" t="s">
        <v>1050</v>
      </c>
      <c r="B141" s="150" t="s">
        <v>72</v>
      </c>
      <c r="C141" s="150" t="s">
        <v>1051</v>
      </c>
      <c r="D141" s="152" t="s">
        <v>1283</v>
      </c>
      <c r="E141" s="157">
        <f>E139-E140</f>
        <v>15.599999999999994</v>
      </c>
      <c r="F141" s="154">
        <v>7.9</v>
      </c>
      <c r="G141" s="154">
        <f t="shared" si="32"/>
        <v>9.8141700000000007</v>
      </c>
      <c r="H141" s="155">
        <f>G141*E141</f>
        <v>153.10105199999995</v>
      </c>
      <c r="I141" s="156">
        <f t="shared" si="33"/>
        <v>4.9430296061475859E-4</v>
      </c>
    </row>
    <row r="142" spans="1:9" ht="38.25" x14ac:dyDescent="0.2">
      <c r="A142" s="151" t="s">
        <v>1053</v>
      </c>
      <c r="B142" s="150" t="s">
        <v>72</v>
      </c>
      <c r="C142" s="150" t="s">
        <v>1054</v>
      </c>
      <c r="D142" s="152" t="s">
        <v>1055</v>
      </c>
      <c r="E142" s="169">
        <f>E141*10*1.3</f>
        <v>202.79999999999993</v>
      </c>
      <c r="F142" s="154">
        <v>2.77</v>
      </c>
      <c r="G142" s="154">
        <f t="shared" si="32"/>
        <v>3.4411709999999998</v>
      </c>
      <c r="H142" s="155">
        <f>G142*E142</f>
        <v>697.86947879999968</v>
      </c>
      <c r="I142" s="156">
        <f t="shared" si="33"/>
        <v>2.2531455204730954E-3</v>
      </c>
    </row>
    <row r="143" spans="1:9" x14ac:dyDescent="0.2">
      <c r="A143" s="146"/>
      <c r="B143" s="146"/>
      <c r="C143" s="146" t="s">
        <v>1039</v>
      </c>
      <c r="D143" s="146"/>
      <c r="E143" s="7"/>
      <c r="F143" s="146"/>
      <c r="G143" s="122"/>
      <c r="H143" s="8">
        <f>SUM(H144:H150)</f>
        <v>222942.98971444243</v>
      </c>
      <c r="I143" s="9">
        <f>SUM(I144:I150)</f>
        <v>0.71979505316628767</v>
      </c>
    </row>
    <row r="144" spans="1:9" ht="25.5" x14ac:dyDescent="0.2">
      <c r="A144" s="151" t="s">
        <v>1072</v>
      </c>
      <c r="B144" s="150" t="s">
        <v>1073</v>
      </c>
      <c r="C144" s="150" t="s">
        <v>1074</v>
      </c>
      <c r="D144" s="152" t="s">
        <v>121</v>
      </c>
      <c r="E144" s="157">
        <f>45*4*5</f>
        <v>900</v>
      </c>
      <c r="F144" s="154">
        <v>86.47</v>
      </c>
      <c r="G144" s="154">
        <f t="shared" ref="G144:G150" si="34">F144*1.2423</f>
        <v>107.42168099999999</v>
      </c>
      <c r="H144" s="154">
        <f t="shared" ref="H144:H150" si="35">G144*E144</f>
        <v>96679.512899999987</v>
      </c>
      <c r="I144" s="156">
        <f t="shared" si="33"/>
        <v>0.3121400462830442</v>
      </c>
    </row>
    <row r="145" spans="1:9" ht="51" x14ac:dyDescent="0.2">
      <c r="A145" s="151" t="s">
        <v>1076</v>
      </c>
      <c r="B145" s="150" t="s">
        <v>72</v>
      </c>
      <c r="C145" s="150" t="s">
        <v>1077</v>
      </c>
      <c r="D145" s="152" t="s">
        <v>1281</v>
      </c>
      <c r="E145" s="157">
        <f>45*1.5*1.5*2</f>
        <v>202.5</v>
      </c>
      <c r="F145" s="154">
        <v>151.01</v>
      </c>
      <c r="G145" s="154">
        <f t="shared" si="34"/>
        <v>187.59972299999998</v>
      </c>
      <c r="H145" s="154">
        <f t="shared" si="35"/>
        <v>37988.943907499997</v>
      </c>
      <c r="I145" s="156">
        <f t="shared" si="33"/>
        <v>0.1226513286408068</v>
      </c>
    </row>
    <row r="146" spans="1:9" ht="38.25" x14ac:dyDescent="0.2">
      <c r="A146" s="151" t="s">
        <v>1079</v>
      </c>
      <c r="B146" s="150" t="s">
        <v>72</v>
      </c>
      <c r="C146" s="150" t="s">
        <v>1080</v>
      </c>
      <c r="D146" s="152" t="s">
        <v>1281</v>
      </c>
      <c r="E146" s="157">
        <f>45*1.5*1.5</f>
        <v>101.25</v>
      </c>
      <c r="F146" s="154">
        <v>29.12</v>
      </c>
      <c r="G146" s="154">
        <f t="shared" si="34"/>
        <v>36.175775999999999</v>
      </c>
      <c r="H146" s="154">
        <f t="shared" si="35"/>
        <v>3662.7973200000001</v>
      </c>
      <c r="I146" s="156">
        <f t="shared" si="33"/>
        <v>1.1825729057745494E-2</v>
      </c>
    </row>
    <row r="147" spans="1:9" ht="38.25" x14ac:dyDescent="0.2">
      <c r="A147" s="151" t="s">
        <v>1082</v>
      </c>
      <c r="B147" s="150" t="s">
        <v>72</v>
      </c>
      <c r="C147" s="150" t="s">
        <v>1083</v>
      </c>
      <c r="D147" s="152" t="s">
        <v>1283</v>
      </c>
      <c r="E147" s="157">
        <f>5*0.8*0.8*15</f>
        <v>48</v>
      </c>
      <c r="F147" s="154">
        <v>522.47</v>
      </c>
      <c r="G147" s="154">
        <f t="shared" si="34"/>
        <v>649.064481</v>
      </c>
      <c r="H147" s="154">
        <f t="shared" si="35"/>
        <v>31155.095088000002</v>
      </c>
      <c r="I147" s="156">
        <f t="shared" si="33"/>
        <v>0.10058752398535269</v>
      </c>
    </row>
    <row r="148" spans="1:9" ht="25.5" x14ac:dyDescent="0.2">
      <c r="A148" s="151">
        <v>104486</v>
      </c>
      <c r="B148" s="150" t="s">
        <v>72</v>
      </c>
      <c r="C148" s="150" t="s">
        <v>1329</v>
      </c>
      <c r="D148" s="152" t="s">
        <v>1283</v>
      </c>
      <c r="E148" s="157">
        <f>13*0.8*0.8*1.5</f>
        <v>12.48</v>
      </c>
      <c r="F148" s="154">
        <v>3307.35</v>
      </c>
      <c r="G148" s="154">
        <f t="shared" si="34"/>
        <v>4108.7209050000001</v>
      </c>
      <c r="H148" s="154">
        <f t="shared" si="35"/>
        <v>51276.836894400003</v>
      </c>
      <c r="I148" s="156">
        <f t="shared" si="33"/>
        <v>0.16555269840903519</v>
      </c>
    </row>
    <row r="149" spans="1:9" ht="63.75" x14ac:dyDescent="0.2">
      <c r="A149" s="151" t="s">
        <v>1085</v>
      </c>
      <c r="B149" s="150" t="s">
        <v>72</v>
      </c>
      <c r="C149" s="150" t="s">
        <v>1086</v>
      </c>
      <c r="D149" s="152" t="s">
        <v>1066</v>
      </c>
      <c r="E149" s="157">
        <f>(3.14*0.25^2/4*E144)/2.83*10</f>
        <v>156.02915194346289</v>
      </c>
      <c r="F149" s="154">
        <v>3.14</v>
      </c>
      <c r="G149" s="154">
        <f t="shared" si="34"/>
        <v>3.9008220000000002</v>
      </c>
      <c r="H149" s="154">
        <f t="shared" si="35"/>
        <v>608.64194854240282</v>
      </c>
      <c r="I149" s="156">
        <f t="shared" si="33"/>
        <v>1.9650649893564768E-3</v>
      </c>
    </row>
    <row r="150" spans="1:9" ht="51" x14ac:dyDescent="0.2">
      <c r="A150" s="151" t="s">
        <v>1088</v>
      </c>
      <c r="B150" s="150" t="s">
        <v>72</v>
      </c>
      <c r="C150" s="150" t="s">
        <v>1089</v>
      </c>
      <c r="D150" s="152" t="s">
        <v>105</v>
      </c>
      <c r="E150" s="157">
        <v>8</v>
      </c>
      <c r="F150" s="154">
        <v>158.09</v>
      </c>
      <c r="G150" s="154">
        <f t="shared" si="34"/>
        <v>196.395207</v>
      </c>
      <c r="H150" s="154">
        <f t="shared" si="35"/>
        <v>1571.161656</v>
      </c>
      <c r="I150" s="156">
        <f t="shared" si="33"/>
        <v>5.0726618009469138E-3</v>
      </c>
    </row>
    <row r="151" spans="1:9" x14ac:dyDescent="0.2">
      <c r="A151" s="146"/>
      <c r="B151" s="146"/>
      <c r="C151" s="146" t="s">
        <v>1041</v>
      </c>
      <c r="D151" s="146"/>
      <c r="E151" s="7"/>
      <c r="F151" s="146"/>
      <c r="G151" s="122"/>
      <c r="H151" s="8">
        <f>SUM(H152:H159)</f>
        <v>60119.235206418649</v>
      </c>
      <c r="I151" s="9">
        <f>SUM(I152:I159)</f>
        <v>0.1941013178173836</v>
      </c>
    </row>
    <row r="152" spans="1:9" ht="25.5" x14ac:dyDescent="0.2">
      <c r="A152" s="151">
        <v>2</v>
      </c>
      <c r="B152" s="150" t="s">
        <v>1286</v>
      </c>
      <c r="C152" s="150" t="s">
        <v>1282</v>
      </c>
      <c r="D152" s="152" t="s">
        <v>1283</v>
      </c>
      <c r="E152" s="157">
        <f>42*5*0.08</f>
        <v>16.8</v>
      </c>
      <c r="F152" s="154">
        <f>COMP!G49</f>
        <v>0</v>
      </c>
      <c r="G152" s="154">
        <f t="shared" ref="G152:G159" si="36">F152*1.2423</f>
        <v>0</v>
      </c>
      <c r="H152" s="155">
        <f t="shared" ref="H152:H159" si="37">G152*E152</f>
        <v>0</v>
      </c>
      <c r="I152" s="156">
        <f t="shared" si="33"/>
        <v>0</v>
      </c>
    </row>
    <row r="153" spans="1:9" ht="25.5" x14ac:dyDescent="0.2">
      <c r="A153" s="158">
        <v>3</v>
      </c>
      <c r="B153" s="159" t="s">
        <v>1286</v>
      </c>
      <c r="C153" s="150" t="s">
        <v>1284</v>
      </c>
      <c r="D153" s="160" t="s">
        <v>1283</v>
      </c>
      <c r="E153" s="157">
        <f>42*2*0.2*0.3</f>
        <v>5.04</v>
      </c>
      <c r="F153" s="154">
        <f>F152</f>
        <v>0</v>
      </c>
      <c r="G153" s="154">
        <f t="shared" si="36"/>
        <v>0</v>
      </c>
      <c r="H153" s="161">
        <f t="shared" si="37"/>
        <v>0</v>
      </c>
      <c r="I153" s="156">
        <f t="shared" si="33"/>
        <v>0</v>
      </c>
    </row>
    <row r="154" spans="1:9" ht="38.25" x14ac:dyDescent="0.2">
      <c r="A154" s="151">
        <v>4</v>
      </c>
      <c r="B154" s="150" t="s">
        <v>1286</v>
      </c>
      <c r="C154" s="150" t="s">
        <v>1370</v>
      </c>
      <c r="D154" s="152" t="s">
        <v>1283</v>
      </c>
      <c r="E154" s="157">
        <f>15*5*0.2*0.3</f>
        <v>4.5</v>
      </c>
      <c r="F154" s="154">
        <f>F153</f>
        <v>0</v>
      </c>
      <c r="G154" s="154">
        <f t="shared" si="36"/>
        <v>0</v>
      </c>
      <c r="H154" s="155">
        <f t="shared" si="37"/>
        <v>0</v>
      </c>
      <c r="I154" s="156">
        <f t="shared" si="33"/>
        <v>0</v>
      </c>
    </row>
    <row r="155" spans="1:9" ht="38.25" x14ac:dyDescent="0.2">
      <c r="A155" s="151">
        <v>4</v>
      </c>
      <c r="B155" s="150" t="s">
        <v>1286</v>
      </c>
      <c r="C155" s="150" t="s">
        <v>1371</v>
      </c>
      <c r="D155" s="152" t="s">
        <v>1283</v>
      </c>
      <c r="E155" s="157">
        <f>280*0.15*0.25</f>
        <v>10.5</v>
      </c>
      <c r="F155" s="154">
        <f>F154</f>
        <v>0</v>
      </c>
      <c r="G155" s="154">
        <f t="shared" si="36"/>
        <v>0</v>
      </c>
      <c r="H155" s="155">
        <f t="shared" si="37"/>
        <v>0</v>
      </c>
      <c r="I155" s="156">
        <f t="shared" si="33"/>
        <v>0</v>
      </c>
    </row>
    <row r="156" spans="1:9" ht="25.5" x14ac:dyDescent="0.2">
      <c r="A156" s="151">
        <v>5</v>
      </c>
      <c r="B156" s="150" t="s">
        <v>1286</v>
      </c>
      <c r="C156" s="150" t="s">
        <v>1285</v>
      </c>
      <c r="D156" s="152" t="s">
        <v>1283</v>
      </c>
      <c r="E156" s="157">
        <f>2*42*0.8*0.05</f>
        <v>3.3600000000000003</v>
      </c>
      <c r="F156" s="154">
        <f>COMP!G75</f>
        <v>378.52</v>
      </c>
      <c r="G156" s="154">
        <f t="shared" si="36"/>
        <v>470.23539599999998</v>
      </c>
      <c r="H156" s="155">
        <f t="shared" si="37"/>
        <v>1579.9909305600002</v>
      </c>
      <c r="I156" s="156">
        <f t="shared" si="33"/>
        <v>5.1011680489319944E-3</v>
      </c>
    </row>
    <row r="157" spans="1:9" ht="51" x14ac:dyDescent="0.2">
      <c r="A157" s="151" t="s">
        <v>1104</v>
      </c>
      <c r="B157" s="150" t="s">
        <v>32</v>
      </c>
      <c r="C157" s="150" t="s">
        <v>1105</v>
      </c>
      <c r="D157" s="152" t="s">
        <v>1281</v>
      </c>
      <c r="E157" s="157">
        <v>84</v>
      </c>
      <c r="F157" s="154">
        <v>553.78</v>
      </c>
      <c r="G157" s="154">
        <f t="shared" si="36"/>
        <v>687.96089399999994</v>
      </c>
      <c r="H157" s="155">
        <f t="shared" si="37"/>
        <v>57788.715095999993</v>
      </c>
      <c r="I157" s="156">
        <f t="shared" si="33"/>
        <v>0.18657698682616236</v>
      </c>
    </row>
    <row r="158" spans="1:9" ht="25.5" x14ac:dyDescent="0.2">
      <c r="A158" s="162">
        <v>6</v>
      </c>
      <c r="B158" s="150" t="s">
        <v>1286</v>
      </c>
      <c r="C158" s="150" t="s">
        <v>1287</v>
      </c>
      <c r="D158" s="152" t="s">
        <v>1283</v>
      </c>
      <c r="E158" s="170">
        <f>5*45*0.2*0.25</f>
        <v>11.25</v>
      </c>
      <c r="F158" s="154">
        <f>F155</f>
        <v>0</v>
      </c>
      <c r="G158" s="154">
        <f t="shared" si="36"/>
        <v>0</v>
      </c>
      <c r="H158" s="155">
        <f t="shared" si="37"/>
        <v>0</v>
      </c>
      <c r="I158" s="156">
        <f t="shared" si="33"/>
        <v>0</v>
      </c>
    </row>
    <row r="159" spans="1:9" ht="63.75" x14ac:dyDescent="0.2">
      <c r="A159" s="151" t="s">
        <v>1085</v>
      </c>
      <c r="B159" s="150" t="s">
        <v>72</v>
      </c>
      <c r="C159" s="150" t="s">
        <v>1086</v>
      </c>
      <c r="D159" s="152" t="s">
        <v>1066</v>
      </c>
      <c r="E159" s="157">
        <f>10*(E152+E153+E154+E155+E156+E158+30*0.1)/2.83</f>
        <v>192.40282685512366</v>
      </c>
      <c r="F159" s="154">
        <f>F149</f>
        <v>3.14</v>
      </c>
      <c r="G159" s="154">
        <f t="shared" si="36"/>
        <v>3.9008220000000002</v>
      </c>
      <c r="H159" s="155">
        <f t="shared" si="37"/>
        <v>750.52917985865724</v>
      </c>
      <c r="I159" s="156">
        <f t="shared" si="33"/>
        <v>2.4231629422892605E-3</v>
      </c>
    </row>
    <row r="160" spans="1:9" x14ac:dyDescent="0.2">
      <c r="A160" s="126"/>
      <c r="B160" s="126"/>
      <c r="C160" s="126" t="s">
        <v>1043</v>
      </c>
      <c r="D160" s="126"/>
      <c r="E160" s="127"/>
      <c r="F160" s="126"/>
      <c r="G160" s="122"/>
      <c r="H160" s="128">
        <f>H161</f>
        <v>5854.2145200000004</v>
      </c>
      <c r="I160" s="9">
        <f>I161</f>
        <v>1.8900951570926562E-2</v>
      </c>
    </row>
    <row r="161" spans="1:9" ht="25.5" x14ac:dyDescent="0.2">
      <c r="A161" s="151" t="s">
        <v>1101</v>
      </c>
      <c r="B161" s="150" t="s">
        <v>72</v>
      </c>
      <c r="C161" s="150" t="s">
        <v>1102</v>
      </c>
      <c r="D161" s="163" t="s">
        <v>1281</v>
      </c>
      <c r="E161" s="157">
        <f>42*5</f>
        <v>210</v>
      </c>
      <c r="F161" s="154">
        <v>22.44</v>
      </c>
      <c r="G161" s="154">
        <f t="shared" ref="G161" si="38">F161*1.2423</f>
        <v>27.877212</v>
      </c>
      <c r="H161" s="155">
        <f>G161*E161</f>
        <v>5854.2145200000004</v>
      </c>
      <c r="I161" s="156">
        <f t="shared" si="33"/>
        <v>1.8900951570926562E-2</v>
      </c>
    </row>
    <row r="162" spans="1:9" ht="15" x14ac:dyDescent="0.25">
      <c r="A162" s="145"/>
      <c r="B162" s="145"/>
      <c r="C162" s="145"/>
      <c r="D162" s="145"/>
      <c r="E162" s="145"/>
      <c r="F162" s="145"/>
      <c r="G162" s="123" t="s">
        <v>1277</v>
      </c>
      <c r="H162" s="164">
        <f>H138+H143+H151+H160</f>
        <v>309731.20575606107</v>
      </c>
      <c r="I162" s="168">
        <f>I138+I143+I151+I160</f>
        <v>0.99999999999999978</v>
      </c>
    </row>
    <row r="163" spans="1:9" x14ac:dyDescent="0.2">
      <c r="A163" s="171" t="s">
        <v>1288</v>
      </c>
      <c r="B163" s="171">
        <v>17</v>
      </c>
      <c r="C163" s="167" t="s">
        <v>1359</v>
      </c>
      <c r="D163" s="165"/>
      <c r="E163" s="165"/>
      <c r="F163" s="165"/>
      <c r="G163" s="165"/>
      <c r="H163" s="165"/>
      <c r="I163" s="165"/>
    </row>
    <row r="164" spans="1:9" x14ac:dyDescent="0.2">
      <c r="A164" s="146"/>
      <c r="B164" s="146"/>
      <c r="C164" s="146" t="s">
        <v>1037</v>
      </c>
      <c r="D164" s="146"/>
      <c r="E164" s="7"/>
      <c r="F164" s="146"/>
      <c r="G164" s="122"/>
      <c r="H164" s="8">
        <f>SUM(H165:H168)</f>
        <v>8889.6397804499975</v>
      </c>
      <c r="I164" s="9">
        <f>SUM(I165:I168)</f>
        <v>4.0761023336236768E-2</v>
      </c>
    </row>
    <row r="165" spans="1:9" ht="63.75" x14ac:dyDescent="0.2">
      <c r="A165" s="151" t="s">
        <v>1067</v>
      </c>
      <c r="B165" s="150" t="s">
        <v>72</v>
      </c>
      <c r="C165" s="150" t="s">
        <v>1068</v>
      </c>
      <c r="D165" s="152" t="s">
        <v>1283</v>
      </c>
      <c r="E165" s="157">
        <f>15*1.5*1.5*1.5+5*0.8*0.8*5</f>
        <v>66.625</v>
      </c>
      <c r="F165" s="154">
        <v>38.15</v>
      </c>
      <c r="G165" s="154">
        <f t="shared" ref="G165:G168" si="39">F165*1.2423</f>
        <v>47.393744999999996</v>
      </c>
      <c r="H165" s="155">
        <f>G165*E165</f>
        <v>3157.6082606249997</v>
      </c>
      <c r="I165" s="156">
        <f>H165/$H$188</f>
        <v>1.4478353136544567E-2</v>
      </c>
    </row>
    <row r="166" spans="1:9" ht="38.25" x14ac:dyDescent="0.2">
      <c r="A166" s="151" t="s">
        <v>1069</v>
      </c>
      <c r="B166" s="150" t="s">
        <v>72</v>
      </c>
      <c r="C166" s="150" t="s">
        <v>1070</v>
      </c>
      <c r="D166" s="152" t="s">
        <v>1283</v>
      </c>
      <c r="E166" s="157">
        <f>E165*0.9</f>
        <v>59.962499999999999</v>
      </c>
      <c r="F166" s="154">
        <v>72.069999999999993</v>
      </c>
      <c r="G166" s="154">
        <f t="shared" si="39"/>
        <v>89.532560999999987</v>
      </c>
      <c r="H166" s="155">
        <f>G166*E166</f>
        <v>5368.5961889624987</v>
      </c>
      <c r="I166" s="156">
        <f t="shared" ref="I166:I187" si="40">H166/$H$188</f>
        <v>2.4616236421905378E-2</v>
      </c>
    </row>
    <row r="167" spans="1:9" ht="63.75" x14ac:dyDescent="0.2">
      <c r="A167" s="151" t="s">
        <v>1050</v>
      </c>
      <c r="B167" s="150" t="s">
        <v>72</v>
      </c>
      <c r="C167" s="150" t="s">
        <v>1051</v>
      </c>
      <c r="D167" s="152" t="s">
        <v>1283</v>
      </c>
      <c r="E167" s="157">
        <f>E165-E166</f>
        <v>6.6625000000000014</v>
      </c>
      <c r="F167" s="154">
        <v>7.9</v>
      </c>
      <c r="G167" s="154">
        <f t="shared" si="39"/>
        <v>9.8141700000000007</v>
      </c>
      <c r="H167" s="155">
        <f>G167*E167</f>
        <v>65.386907625000021</v>
      </c>
      <c r="I167" s="156">
        <f t="shared" si="40"/>
        <v>2.9981386573709601E-4</v>
      </c>
    </row>
    <row r="168" spans="1:9" ht="38.25" x14ac:dyDescent="0.2">
      <c r="A168" s="151" t="s">
        <v>1053</v>
      </c>
      <c r="B168" s="150" t="s">
        <v>72</v>
      </c>
      <c r="C168" s="150" t="s">
        <v>1054</v>
      </c>
      <c r="D168" s="152" t="s">
        <v>1055</v>
      </c>
      <c r="E168" s="169">
        <f>E167*10*1.3</f>
        <v>86.612500000000026</v>
      </c>
      <c r="F168" s="154">
        <v>2.77</v>
      </c>
      <c r="G168" s="154">
        <f t="shared" si="39"/>
        <v>3.4411709999999998</v>
      </c>
      <c r="H168" s="155">
        <f>G168*E168</f>
        <v>298.04842323750006</v>
      </c>
      <c r="I168" s="156">
        <f t="shared" si="40"/>
        <v>1.3666199120497249E-3</v>
      </c>
    </row>
    <row r="169" spans="1:9" x14ac:dyDescent="0.2">
      <c r="A169" s="146"/>
      <c r="B169" s="146"/>
      <c r="C169" s="146" t="s">
        <v>1039</v>
      </c>
      <c r="D169" s="146"/>
      <c r="E169" s="7"/>
      <c r="F169" s="146"/>
      <c r="G169" s="122"/>
      <c r="H169" s="8">
        <f>SUM(H170:H176)</f>
        <v>77991.352388014129</v>
      </c>
      <c r="I169" s="9">
        <f>SUM(I170:I176)</f>
        <v>0.35760811610204368</v>
      </c>
    </row>
    <row r="170" spans="1:9" ht="25.5" x14ac:dyDescent="0.2">
      <c r="A170" s="151" t="s">
        <v>1072</v>
      </c>
      <c r="B170" s="150" t="s">
        <v>1073</v>
      </c>
      <c r="C170" s="150" t="s">
        <v>1074</v>
      </c>
      <c r="D170" s="152" t="s">
        <v>121</v>
      </c>
      <c r="E170" s="157">
        <f>15*4*5</f>
        <v>300</v>
      </c>
      <c r="F170" s="154">
        <v>86.47</v>
      </c>
      <c r="G170" s="154">
        <f t="shared" ref="G170:G176" si="41">F170*1.2423</f>
        <v>107.42168099999999</v>
      </c>
      <c r="H170" s="154">
        <f t="shared" ref="H170:H176" si="42">G170*E170</f>
        <v>32226.504299999997</v>
      </c>
      <c r="I170" s="156">
        <f t="shared" si="40"/>
        <v>0.1477658629887858</v>
      </c>
    </row>
    <row r="171" spans="1:9" ht="51" x14ac:dyDescent="0.2">
      <c r="A171" s="151" t="s">
        <v>1076</v>
      </c>
      <c r="B171" s="150" t="s">
        <v>72</v>
      </c>
      <c r="C171" s="150" t="s">
        <v>1077</v>
      </c>
      <c r="D171" s="152" t="s">
        <v>1281</v>
      </c>
      <c r="E171" s="157">
        <f>15*1.5*1.5*2</f>
        <v>67.5</v>
      </c>
      <c r="F171" s="154">
        <v>151.01</v>
      </c>
      <c r="G171" s="154">
        <f t="shared" si="41"/>
        <v>187.59972299999998</v>
      </c>
      <c r="H171" s="154">
        <f t="shared" si="42"/>
        <v>12662.981302499998</v>
      </c>
      <c r="I171" s="156">
        <f t="shared" si="40"/>
        <v>5.8062653732343268E-2</v>
      </c>
    </row>
    <row r="172" spans="1:9" ht="38.25" x14ac:dyDescent="0.2">
      <c r="A172" s="151" t="s">
        <v>1079</v>
      </c>
      <c r="B172" s="150" t="s">
        <v>72</v>
      </c>
      <c r="C172" s="150" t="s">
        <v>1080</v>
      </c>
      <c r="D172" s="152" t="s">
        <v>1281</v>
      </c>
      <c r="E172" s="157">
        <f>15*1.5*1.5</f>
        <v>33.75</v>
      </c>
      <c r="F172" s="154">
        <v>29.12</v>
      </c>
      <c r="G172" s="154">
        <f t="shared" si="41"/>
        <v>36.175775999999999</v>
      </c>
      <c r="H172" s="154">
        <f t="shared" si="42"/>
        <v>1220.93244</v>
      </c>
      <c r="I172" s="156">
        <f t="shared" si="40"/>
        <v>5.5982533497312631E-3</v>
      </c>
    </row>
    <row r="173" spans="1:9" ht="38.25" x14ac:dyDescent="0.2">
      <c r="A173" s="151" t="s">
        <v>1082</v>
      </c>
      <c r="B173" s="150" t="s">
        <v>72</v>
      </c>
      <c r="C173" s="150" t="s">
        <v>1083</v>
      </c>
      <c r="D173" s="152" t="s">
        <v>1283</v>
      </c>
      <c r="E173" s="157">
        <f>5*0.8*0.8*5</f>
        <v>16</v>
      </c>
      <c r="F173" s="154">
        <v>522.47</v>
      </c>
      <c r="G173" s="154">
        <f t="shared" si="41"/>
        <v>649.064481</v>
      </c>
      <c r="H173" s="154">
        <f t="shared" si="42"/>
        <v>10385.031696</v>
      </c>
      <c r="I173" s="156">
        <f t="shared" si="40"/>
        <v>4.7617735899618936E-2</v>
      </c>
    </row>
    <row r="174" spans="1:9" ht="25.5" x14ac:dyDescent="0.2">
      <c r="A174" s="151">
        <v>104486</v>
      </c>
      <c r="B174" s="150" t="s">
        <v>72</v>
      </c>
      <c r="C174" s="150" t="s">
        <v>1329</v>
      </c>
      <c r="D174" s="152" t="s">
        <v>1283</v>
      </c>
      <c r="E174" s="157">
        <f>5*0.8*0.8*1.5</f>
        <v>4.8000000000000007</v>
      </c>
      <c r="F174" s="154">
        <v>3307.35</v>
      </c>
      <c r="G174" s="154">
        <f t="shared" si="41"/>
        <v>4108.7209050000001</v>
      </c>
      <c r="H174" s="154">
        <f t="shared" si="42"/>
        <v>19721.860344000004</v>
      </c>
      <c r="I174" s="156">
        <f t="shared" si="40"/>
        <v>9.0429222057307426E-2</v>
      </c>
    </row>
    <row r="175" spans="1:9" ht="63.75" x14ac:dyDescent="0.2">
      <c r="A175" s="151" t="s">
        <v>1085</v>
      </c>
      <c r="B175" s="150" t="s">
        <v>72</v>
      </c>
      <c r="C175" s="150" t="s">
        <v>1086</v>
      </c>
      <c r="D175" s="152" t="s">
        <v>1066</v>
      </c>
      <c r="E175" s="157">
        <f>(3.14*0.25^2/4*E170)/2.83*10</f>
        <v>52.009717314487631</v>
      </c>
      <c r="F175" s="154">
        <v>3.14</v>
      </c>
      <c r="G175" s="154">
        <f t="shared" si="41"/>
        <v>3.9008220000000002</v>
      </c>
      <c r="H175" s="154">
        <f t="shared" si="42"/>
        <v>202.88064951413429</v>
      </c>
      <c r="I175" s="156">
        <f t="shared" si="40"/>
        <v>9.302539915625116E-4</v>
      </c>
    </row>
    <row r="176" spans="1:9" ht="51" x14ac:dyDescent="0.2">
      <c r="A176" s="151" t="s">
        <v>1088</v>
      </c>
      <c r="B176" s="150" t="s">
        <v>72</v>
      </c>
      <c r="C176" s="150" t="s">
        <v>1089</v>
      </c>
      <c r="D176" s="152" t="s">
        <v>105</v>
      </c>
      <c r="E176" s="157">
        <v>8</v>
      </c>
      <c r="F176" s="154">
        <v>158.09</v>
      </c>
      <c r="G176" s="154">
        <f t="shared" si="41"/>
        <v>196.395207</v>
      </c>
      <c r="H176" s="154">
        <f t="shared" si="42"/>
        <v>1571.161656</v>
      </c>
      <c r="I176" s="156">
        <f t="shared" si="40"/>
        <v>7.2041340826944677E-3</v>
      </c>
    </row>
    <row r="177" spans="1:11" x14ac:dyDescent="0.2">
      <c r="A177" s="146"/>
      <c r="B177" s="146"/>
      <c r="C177" s="146" t="s">
        <v>1041</v>
      </c>
      <c r="D177" s="146"/>
      <c r="E177" s="7"/>
      <c r="F177" s="146"/>
      <c r="G177" s="122"/>
      <c r="H177" s="8">
        <f>SUM(H178:H185)</f>
        <v>130234.97860432009</v>
      </c>
      <c r="I177" s="9">
        <f>SUM(I178:I185)</f>
        <v>0.59715704271385739</v>
      </c>
    </row>
    <row r="178" spans="1:11" ht="25.5" x14ac:dyDescent="0.2">
      <c r="A178" s="151">
        <v>2</v>
      </c>
      <c r="B178" s="150" t="s">
        <v>1286</v>
      </c>
      <c r="C178" s="150" t="s">
        <v>1282</v>
      </c>
      <c r="D178" s="152" t="s">
        <v>1283</v>
      </c>
      <c r="E178" s="157">
        <f>5*7*0.08</f>
        <v>2.8000000000000003</v>
      </c>
      <c r="F178" s="154">
        <f>COMP!G22</f>
        <v>8702.1899999999987</v>
      </c>
      <c r="G178" s="154">
        <f t="shared" ref="G178:G185" si="43">F178*1.2423</f>
        <v>10810.730636999999</v>
      </c>
      <c r="H178" s="155">
        <f t="shared" ref="H178:H185" si="44">G178*E178</f>
        <v>30270.045783599999</v>
      </c>
      <c r="I178" s="156">
        <f t="shared" si="40"/>
        <v>0.13879505503560655</v>
      </c>
    </row>
    <row r="179" spans="1:11" ht="25.5" x14ac:dyDescent="0.2">
      <c r="A179" s="158">
        <v>3</v>
      </c>
      <c r="B179" s="159" t="s">
        <v>1286</v>
      </c>
      <c r="C179" s="150" t="s">
        <v>1284</v>
      </c>
      <c r="D179" s="160" t="s">
        <v>1283</v>
      </c>
      <c r="E179" s="157">
        <f>7*2*0.2*0.3</f>
        <v>0.84000000000000008</v>
      </c>
      <c r="F179" s="154">
        <f>F178</f>
        <v>8702.1899999999987</v>
      </c>
      <c r="G179" s="154">
        <f t="shared" si="43"/>
        <v>10810.730636999999</v>
      </c>
      <c r="H179" s="161">
        <f t="shared" si="44"/>
        <v>9081.0137350799996</v>
      </c>
      <c r="I179" s="156">
        <f t="shared" si="40"/>
        <v>4.1638516510681962E-2</v>
      </c>
    </row>
    <row r="180" spans="1:11" ht="38.25" x14ac:dyDescent="0.2">
      <c r="A180" s="151">
        <v>4</v>
      </c>
      <c r="B180" s="150" t="s">
        <v>1286</v>
      </c>
      <c r="C180" s="150" t="s">
        <v>1370</v>
      </c>
      <c r="D180" s="152" t="s">
        <v>1283</v>
      </c>
      <c r="E180" s="157">
        <f>5*5*0.2*0.3</f>
        <v>1.5</v>
      </c>
      <c r="F180" s="154">
        <f>F179</f>
        <v>8702.1899999999987</v>
      </c>
      <c r="G180" s="154">
        <f t="shared" si="43"/>
        <v>10810.730636999999</v>
      </c>
      <c r="H180" s="155">
        <f t="shared" si="44"/>
        <v>16216.095955499997</v>
      </c>
      <c r="I180" s="156">
        <f t="shared" si="40"/>
        <v>7.4354493769074922E-2</v>
      </c>
    </row>
    <row r="181" spans="1:11" ht="38.25" x14ac:dyDescent="0.2">
      <c r="A181" s="151">
        <v>4</v>
      </c>
      <c r="B181" s="150" t="s">
        <v>1286</v>
      </c>
      <c r="C181" s="150" t="s">
        <v>1371</v>
      </c>
      <c r="D181" s="152" t="s">
        <v>1283</v>
      </c>
      <c r="E181" s="157">
        <f>47*0.15*0.25</f>
        <v>1.7625</v>
      </c>
      <c r="F181" s="154">
        <f>F180</f>
        <v>8702.1899999999987</v>
      </c>
      <c r="G181" s="154">
        <f t="shared" si="43"/>
        <v>10810.730636999999</v>
      </c>
      <c r="H181" s="155">
        <f t="shared" si="44"/>
        <v>19053.912747712497</v>
      </c>
      <c r="I181" s="156">
        <f t="shared" si="40"/>
        <v>8.736653017866304E-2</v>
      </c>
    </row>
    <row r="182" spans="1:11" ht="25.5" x14ac:dyDescent="0.2">
      <c r="A182" s="151">
        <v>5</v>
      </c>
      <c r="B182" s="150" t="s">
        <v>1286</v>
      </c>
      <c r="C182" s="150" t="s">
        <v>1285</v>
      </c>
      <c r="D182" s="152" t="s">
        <v>1283</v>
      </c>
      <c r="E182" s="157">
        <f>2*7*0.8*0.05</f>
        <v>0.56000000000000005</v>
      </c>
      <c r="F182" s="154">
        <f>COMP!G48</f>
        <v>7541.19</v>
      </c>
      <c r="G182" s="154">
        <f t="shared" si="43"/>
        <v>9368.4203369999996</v>
      </c>
      <c r="H182" s="155">
        <f t="shared" si="44"/>
        <v>5246.3153887200006</v>
      </c>
      <c r="I182" s="156">
        <f t="shared" si="40"/>
        <v>2.4055551098837554E-2</v>
      </c>
    </row>
    <row r="183" spans="1:11" ht="51" x14ac:dyDescent="0.2">
      <c r="A183" s="151" t="s">
        <v>1104</v>
      </c>
      <c r="B183" s="150" t="s">
        <v>32</v>
      </c>
      <c r="C183" s="150" t="s">
        <v>1105</v>
      </c>
      <c r="D183" s="152" t="s">
        <v>1281</v>
      </c>
      <c r="E183" s="157">
        <v>14</v>
      </c>
      <c r="F183" s="154">
        <v>553.78</v>
      </c>
      <c r="G183" s="154">
        <f t="shared" si="43"/>
        <v>687.96089399999994</v>
      </c>
      <c r="H183" s="155">
        <f t="shared" si="44"/>
        <v>9631.4525159999994</v>
      </c>
      <c r="I183" s="156">
        <f t="shared" si="40"/>
        <v>4.416240370390568E-2</v>
      </c>
    </row>
    <row r="184" spans="1:11" ht="25.5" x14ac:dyDescent="0.2">
      <c r="A184" s="162">
        <v>6</v>
      </c>
      <c r="B184" s="150" t="s">
        <v>1286</v>
      </c>
      <c r="C184" s="150" t="s">
        <v>1287</v>
      </c>
      <c r="D184" s="152" t="s">
        <v>1283</v>
      </c>
      <c r="E184" s="170">
        <f>5*15*0.2*0.25</f>
        <v>3.75</v>
      </c>
      <c r="F184" s="154">
        <f>F181</f>
        <v>8702.1899999999987</v>
      </c>
      <c r="G184" s="154">
        <f t="shared" si="43"/>
        <v>10810.730636999999</v>
      </c>
      <c r="H184" s="155">
        <f t="shared" si="44"/>
        <v>40540.239888749995</v>
      </c>
      <c r="I184" s="156">
        <f t="shared" si="40"/>
        <v>0.18588623442268731</v>
      </c>
    </row>
    <row r="185" spans="1:11" ht="63.75" x14ac:dyDescent="0.2">
      <c r="A185" s="151" t="s">
        <v>1085</v>
      </c>
      <c r="B185" s="150" t="s">
        <v>72</v>
      </c>
      <c r="C185" s="150" t="s">
        <v>1086</v>
      </c>
      <c r="D185" s="152" t="s">
        <v>1066</v>
      </c>
      <c r="E185" s="157">
        <f>10*(E178+E179+E180+E181+E182+E184+30*0.1)/2.83</f>
        <v>50.2208480565371</v>
      </c>
      <c r="F185" s="154">
        <f>F175</f>
        <v>3.14</v>
      </c>
      <c r="G185" s="154">
        <f t="shared" si="43"/>
        <v>3.9008220000000002</v>
      </c>
      <c r="H185" s="155">
        <f t="shared" si="44"/>
        <v>195.90258895759717</v>
      </c>
      <c r="I185" s="156">
        <f t="shared" si="40"/>
        <v>8.9825799440048878E-4</v>
      </c>
    </row>
    <row r="186" spans="1:11" x14ac:dyDescent="0.2">
      <c r="A186" s="126"/>
      <c r="B186" s="126"/>
      <c r="C186" s="126" t="s">
        <v>1043</v>
      </c>
      <c r="D186" s="126"/>
      <c r="E186" s="127"/>
      <c r="F186" s="126"/>
      <c r="G186" s="122"/>
      <c r="H186" s="128">
        <f>H187</f>
        <v>975.70241999999996</v>
      </c>
      <c r="I186" s="9">
        <f>I187</f>
        <v>4.473817847862163E-3</v>
      </c>
    </row>
    <row r="187" spans="1:11" ht="25.5" x14ac:dyDescent="0.2">
      <c r="A187" s="151" t="s">
        <v>1101</v>
      </c>
      <c r="B187" s="150" t="s">
        <v>72</v>
      </c>
      <c r="C187" s="150" t="s">
        <v>1102</v>
      </c>
      <c r="D187" s="163" t="s">
        <v>1281</v>
      </c>
      <c r="E187" s="157">
        <v>35</v>
      </c>
      <c r="F187" s="154">
        <v>22.44</v>
      </c>
      <c r="G187" s="154">
        <f t="shared" ref="G187" si="45">F187*1.2423</f>
        <v>27.877212</v>
      </c>
      <c r="H187" s="155">
        <f>G187*E187</f>
        <v>975.70241999999996</v>
      </c>
      <c r="I187" s="156">
        <f t="shared" si="40"/>
        <v>4.473817847862163E-3</v>
      </c>
    </row>
    <row r="188" spans="1:11" ht="15" x14ac:dyDescent="0.25">
      <c r="A188" s="145"/>
      <c r="B188" s="145"/>
      <c r="C188" s="145"/>
      <c r="D188" s="145"/>
      <c r="E188" s="145"/>
      <c r="F188" s="145"/>
      <c r="G188" s="123" t="s">
        <v>1277</v>
      </c>
      <c r="H188" s="164">
        <f>H164+H169+H177+H186</f>
        <v>218091.67319278419</v>
      </c>
      <c r="I188" s="168">
        <f>I164+I169+I177+I186</f>
        <v>1</v>
      </c>
      <c r="K188">
        <f>95/3</f>
        <v>31.666666666666668</v>
      </c>
    </row>
    <row r="189" spans="1:11" ht="15" x14ac:dyDescent="0.25">
      <c r="A189" s="165"/>
      <c r="B189" s="165"/>
      <c r="C189" s="166" t="s">
        <v>1363</v>
      </c>
      <c r="D189" s="165"/>
      <c r="E189" s="165"/>
      <c r="F189" s="165"/>
      <c r="G189" s="165"/>
      <c r="H189" s="165"/>
      <c r="I189" s="165"/>
    </row>
    <row r="190" spans="1:11" x14ac:dyDescent="0.2">
      <c r="A190" s="171" t="s">
        <v>1288</v>
      </c>
      <c r="B190" s="171">
        <v>18</v>
      </c>
      <c r="C190" s="167" t="s">
        <v>1364</v>
      </c>
      <c r="D190" s="165"/>
      <c r="E190" s="165"/>
      <c r="F190" s="165"/>
      <c r="G190" s="165"/>
      <c r="H190" s="165"/>
      <c r="I190" s="165"/>
    </row>
    <row r="191" spans="1:11" x14ac:dyDescent="0.2">
      <c r="A191" s="146"/>
      <c r="B191" s="146"/>
      <c r="C191" s="146" t="s">
        <v>1037</v>
      </c>
      <c r="D191" s="146"/>
      <c r="E191" s="7"/>
      <c r="F191" s="146"/>
      <c r="G191" s="122"/>
      <c r="H191" s="8">
        <f>SUM(H192:H195)</f>
        <v>28073.248927679993</v>
      </c>
      <c r="I191" s="9">
        <f>SUM(I192:I195)</f>
        <v>1.485497374120714E-2</v>
      </c>
    </row>
    <row r="192" spans="1:11" ht="63.75" x14ac:dyDescent="0.2">
      <c r="A192" s="151" t="s">
        <v>1067</v>
      </c>
      <c r="B192" s="150" t="s">
        <v>72</v>
      </c>
      <c r="C192" s="150" t="s">
        <v>1068</v>
      </c>
      <c r="D192" s="152" t="s">
        <v>1283</v>
      </c>
      <c r="E192" s="157">
        <f>32*1.5*1.5*1.5+5*0.8*0.8*32</f>
        <v>210.4</v>
      </c>
      <c r="F192" s="154">
        <v>38.15</v>
      </c>
      <c r="G192" s="154">
        <f t="shared" ref="G192:G195" si="46">F192*1.2423</f>
        <v>47.393744999999996</v>
      </c>
      <c r="H192" s="155">
        <f>G192*E192</f>
        <v>9971.643947999999</v>
      </c>
      <c r="I192" s="156">
        <f>H192/$H$215</f>
        <v>5.2765003931608909E-3</v>
      </c>
      <c r="K192">
        <f>32*3</f>
        <v>96</v>
      </c>
    </row>
    <row r="193" spans="1:9" ht="38.25" x14ac:dyDescent="0.2">
      <c r="A193" s="151" t="s">
        <v>1069</v>
      </c>
      <c r="B193" s="150" t="s">
        <v>72</v>
      </c>
      <c r="C193" s="150" t="s">
        <v>1070</v>
      </c>
      <c r="D193" s="152" t="s">
        <v>1283</v>
      </c>
      <c r="E193" s="157">
        <f>E192*0.9</f>
        <v>189.36</v>
      </c>
      <c r="F193" s="154">
        <v>72.069999999999993</v>
      </c>
      <c r="G193" s="154">
        <f t="shared" si="46"/>
        <v>89.532560999999987</v>
      </c>
      <c r="H193" s="155">
        <f>G193*E193</f>
        <v>16953.885750959998</v>
      </c>
      <c r="I193" s="156">
        <f t="shared" ref="I193:I214" si="47">H193/$H$215</f>
        <v>8.9711571428989483E-3</v>
      </c>
    </row>
    <row r="194" spans="1:9" ht="63.75" x14ac:dyDescent="0.2">
      <c r="A194" s="151" t="s">
        <v>1050</v>
      </c>
      <c r="B194" s="150" t="s">
        <v>72</v>
      </c>
      <c r="C194" s="150" t="s">
        <v>1051</v>
      </c>
      <c r="D194" s="152" t="s">
        <v>1283</v>
      </c>
      <c r="E194" s="157">
        <f>E192-E193</f>
        <v>21.039999999999992</v>
      </c>
      <c r="F194" s="154">
        <v>7.9</v>
      </c>
      <c r="G194" s="154">
        <f t="shared" si="46"/>
        <v>9.8141700000000007</v>
      </c>
      <c r="H194" s="155">
        <f>G194*E194</f>
        <v>206.49013679999993</v>
      </c>
      <c r="I194" s="156">
        <f t="shared" si="47"/>
        <v>1.0926435938655578E-4</v>
      </c>
    </row>
    <row r="195" spans="1:9" ht="38.25" x14ac:dyDescent="0.2">
      <c r="A195" s="151" t="s">
        <v>1053</v>
      </c>
      <c r="B195" s="150" t="s">
        <v>72</v>
      </c>
      <c r="C195" s="150" t="s">
        <v>1054</v>
      </c>
      <c r="D195" s="152" t="s">
        <v>1055</v>
      </c>
      <c r="E195" s="169">
        <f>E194*10*1.3</f>
        <v>273.51999999999992</v>
      </c>
      <c r="F195" s="154">
        <v>2.77</v>
      </c>
      <c r="G195" s="154">
        <f t="shared" si="46"/>
        <v>3.4411709999999998</v>
      </c>
      <c r="H195" s="155">
        <f>G195*E195</f>
        <v>941.22909191999963</v>
      </c>
      <c r="I195" s="156">
        <f t="shared" si="47"/>
        <v>4.9805184576074346E-4</v>
      </c>
    </row>
    <row r="196" spans="1:9" x14ac:dyDescent="0.2">
      <c r="A196" s="146"/>
      <c r="B196" s="146"/>
      <c r="C196" s="146" t="s">
        <v>1039</v>
      </c>
      <c r="D196" s="146"/>
      <c r="E196" s="7"/>
      <c r="F196" s="146"/>
      <c r="G196" s="122"/>
      <c r="H196" s="8">
        <f>SUM(H197:H203)</f>
        <v>490660.38234089047</v>
      </c>
      <c r="I196" s="9">
        <f>SUM(I197:I203)</f>
        <v>0.25963318724887369</v>
      </c>
    </row>
    <row r="197" spans="1:9" ht="25.5" x14ac:dyDescent="0.2">
      <c r="A197" s="151" t="s">
        <v>1072</v>
      </c>
      <c r="B197" s="150" t="s">
        <v>1073</v>
      </c>
      <c r="C197" s="150" t="s">
        <v>1074</v>
      </c>
      <c r="D197" s="152" t="s">
        <v>121</v>
      </c>
      <c r="E197" s="157">
        <f>96*4*5</f>
        <v>1920</v>
      </c>
      <c r="F197" s="154">
        <v>86.47</v>
      </c>
      <c r="G197" s="154">
        <f t="shared" ref="G197:G203" si="48">F197*1.2423</f>
        <v>107.42168099999999</v>
      </c>
      <c r="H197" s="154">
        <f t="shared" ref="H197:H203" si="49">G197*E197</f>
        <v>206249.62751999998</v>
      </c>
      <c r="I197" s="156">
        <f t="shared" si="47"/>
        <v>0.10913709378049359</v>
      </c>
    </row>
    <row r="198" spans="1:9" ht="51" x14ac:dyDescent="0.2">
      <c r="A198" s="151" t="s">
        <v>1076</v>
      </c>
      <c r="B198" s="150" t="s">
        <v>72</v>
      </c>
      <c r="C198" s="150" t="s">
        <v>1077</v>
      </c>
      <c r="D198" s="152" t="s">
        <v>1281</v>
      </c>
      <c r="E198" s="157">
        <f>96*1.5*1.5*2</f>
        <v>432</v>
      </c>
      <c r="F198" s="154">
        <v>151.01</v>
      </c>
      <c r="G198" s="154">
        <f t="shared" si="48"/>
        <v>187.59972299999998</v>
      </c>
      <c r="H198" s="154">
        <f t="shared" si="49"/>
        <v>81043.080335999999</v>
      </c>
      <c r="I198" s="156">
        <f t="shared" si="47"/>
        <v>4.2883986580932995E-2</v>
      </c>
    </row>
    <row r="199" spans="1:9" ht="38.25" x14ac:dyDescent="0.2">
      <c r="A199" s="151" t="s">
        <v>1079</v>
      </c>
      <c r="B199" s="150" t="s">
        <v>72</v>
      </c>
      <c r="C199" s="150" t="s">
        <v>1080</v>
      </c>
      <c r="D199" s="152" t="s">
        <v>1281</v>
      </c>
      <c r="E199" s="157">
        <f>96*1.5*1.5</f>
        <v>216</v>
      </c>
      <c r="F199" s="154">
        <v>29.12</v>
      </c>
      <c r="G199" s="154">
        <f t="shared" si="48"/>
        <v>36.175775999999999</v>
      </c>
      <c r="H199" s="154">
        <f t="shared" si="49"/>
        <v>7813.9676159999999</v>
      </c>
      <c r="I199" s="156">
        <f t="shared" si="47"/>
        <v>4.1347648805932346E-3</v>
      </c>
    </row>
    <row r="200" spans="1:9" ht="38.25" x14ac:dyDescent="0.2">
      <c r="A200" s="151" t="s">
        <v>1082</v>
      </c>
      <c r="B200" s="150" t="s">
        <v>72</v>
      </c>
      <c r="C200" s="150" t="s">
        <v>1083</v>
      </c>
      <c r="D200" s="152" t="s">
        <v>1283</v>
      </c>
      <c r="E200" s="170">
        <f>5*0.8*0.8*32</f>
        <v>102.4</v>
      </c>
      <c r="F200" s="154">
        <v>522.47</v>
      </c>
      <c r="G200" s="154">
        <f t="shared" si="48"/>
        <v>649.064481</v>
      </c>
      <c r="H200" s="154">
        <f t="shared" si="49"/>
        <v>66464.202854400006</v>
      </c>
      <c r="I200" s="156">
        <f t="shared" si="47"/>
        <v>3.5169566254188808E-2</v>
      </c>
    </row>
    <row r="201" spans="1:9" ht="25.5" x14ac:dyDescent="0.2">
      <c r="A201" s="151">
        <v>104486</v>
      </c>
      <c r="B201" s="150" t="s">
        <v>72</v>
      </c>
      <c r="C201" s="150" t="s">
        <v>1329</v>
      </c>
      <c r="D201" s="152" t="s">
        <v>1283</v>
      </c>
      <c r="E201" s="157">
        <f>32*0.8*0.8*1.5</f>
        <v>30.720000000000006</v>
      </c>
      <c r="F201" s="154">
        <v>3307.35</v>
      </c>
      <c r="G201" s="154">
        <f t="shared" si="48"/>
        <v>4108.7209050000001</v>
      </c>
      <c r="H201" s="154">
        <f t="shared" si="49"/>
        <v>126219.90620160002</v>
      </c>
      <c r="I201" s="156">
        <f t="shared" si="47"/>
        <v>6.6789326631648535E-2</v>
      </c>
    </row>
    <row r="202" spans="1:9" ht="63.75" x14ac:dyDescent="0.2">
      <c r="A202" s="151" t="s">
        <v>1085</v>
      </c>
      <c r="B202" s="150" t="s">
        <v>72</v>
      </c>
      <c r="C202" s="150" t="s">
        <v>1086</v>
      </c>
      <c r="D202" s="152" t="s">
        <v>1066</v>
      </c>
      <c r="E202" s="157">
        <f>(3.14*0.25^2/4*E197)/2.83*10</f>
        <v>332.86219081272088</v>
      </c>
      <c r="F202" s="154">
        <v>3.14</v>
      </c>
      <c r="G202" s="154">
        <f t="shared" si="48"/>
        <v>3.9008220000000002</v>
      </c>
      <c r="H202" s="154">
        <f t="shared" si="49"/>
        <v>1298.4361568904596</v>
      </c>
      <c r="I202" s="156">
        <f t="shared" si="47"/>
        <v>6.8706814323238688E-4</v>
      </c>
    </row>
    <row r="203" spans="1:9" ht="51" x14ac:dyDescent="0.2">
      <c r="A203" s="151" t="s">
        <v>1088</v>
      </c>
      <c r="B203" s="150" t="s">
        <v>72</v>
      </c>
      <c r="C203" s="150" t="s">
        <v>1089</v>
      </c>
      <c r="D203" s="152" t="s">
        <v>105</v>
      </c>
      <c r="E203" s="157">
        <v>8</v>
      </c>
      <c r="F203" s="154">
        <v>158.09</v>
      </c>
      <c r="G203" s="154">
        <f t="shared" si="48"/>
        <v>196.395207</v>
      </c>
      <c r="H203" s="154">
        <f t="shared" si="49"/>
        <v>1571.161656</v>
      </c>
      <c r="I203" s="156">
        <f t="shared" si="47"/>
        <v>8.3138097778411751E-4</v>
      </c>
    </row>
    <row r="204" spans="1:9" x14ac:dyDescent="0.2">
      <c r="A204" s="146"/>
      <c r="B204" s="146"/>
      <c r="C204" s="146" t="s">
        <v>1041</v>
      </c>
      <c r="D204" s="146"/>
      <c r="E204" s="7"/>
      <c r="F204" s="146"/>
      <c r="G204" s="122"/>
      <c r="H204" s="8">
        <f>SUM(H205:H212)</f>
        <v>1357846.2044492424</v>
      </c>
      <c r="I204" s="9">
        <f>SUM(I205:I212)</f>
        <v>0.718504999676153</v>
      </c>
    </row>
    <row r="205" spans="1:9" ht="25.5" x14ac:dyDescent="0.2">
      <c r="A205" s="151">
        <v>2</v>
      </c>
      <c r="B205" s="150" t="s">
        <v>1286</v>
      </c>
      <c r="C205" s="150" t="s">
        <v>1282</v>
      </c>
      <c r="D205" s="152" t="s">
        <v>1283</v>
      </c>
      <c r="E205" s="157">
        <f>95*5*0.08</f>
        <v>38</v>
      </c>
      <c r="F205" s="154">
        <f>COMP!G22</f>
        <v>8702.1899999999987</v>
      </c>
      <c r="G205" s="154">
        <f t="shared" ref="G205:G212" si="50">F205*1.2423</f>
        <v>10810.730636999999</v>
      </c>
      <c r="H205" s="155">
        <f t="shared" ref="H205:H212" si="51">G205*E205</f>
        <v>410807.76420599996</v>
      </c>
      <c r="I205" s="156">
        <f t="shared" si="47"/>
        <v>0.2173791343383519</v>
      </c>
    </row>
    <row r="206" spans="1:9" ht="25.5" x14ac:dyDescent="0.2">
      <c r="A206" s="158">
        <v>3</v>
      </c>
      <c r="B206" s="159" t="s">
        <v>1286</v>
      </c>
      <c r="C206" s="150" t="s">
        <v>1284</v>
      </c>
      <c r="D206" s="160" t="s">
        <v>1283</v>
      </c>
      <c r="E206" s="157">
        <f>95*2*0.2*0.3</f>
        <v>11.4</v>
      </c>
      <c r="F206" s="154">
        <f>F205</f>
        <v>8702.1899999999987</v>
      </c>
      <c r="G206" s="154">
        <f t="shared" si="50"/>
        <v>10810.730636999999</v>
      </c>
      <c r="H206" s="161">
        <f t="shared" si="51"/>
        <v>123242.32926179998</v>
      </c>
      <c r="I206" s="156">
        <f t="shared" si="47"/>
        <v>6.5213740301505563E-2</v>
      </c>
    </row>
    <row r="207" spans="1:9" ht="38.25" x14ac:dyDescent="0.2">
      <c r="A207" s="151">
        <v>4</v>
      </c>
      <c r="B207" s="150" t="s">
        <v>1286</v>
      </c>
      <c r="C207" s="150" t="s">
        <v>1370</v>
      </c>
      <c r="D207" s="152" t="s">
        <v>1283</v>
      </c>
      <c r="E207" s="157">
        <f>32*5*0.2*0.3</f>
        <v>9.6</v>
      </c>
      <c r="F207" s="154">
        <f>F206</f>
        <v>8702.1899999999987</v>
      </c>
      <c r="G207" s="154">
        <f t="shared" si="50"/>
        <v>10810.730636999999</v>
      </c>
      <c r="H207" s="155">
        <f t="shared" si="51"/>
        <v>103783.01411519999</v>
      </c>
      <c r="I207" s="156">
        <f t="shared" si="47"/>
        <v>5.4916833938109949E-2</v>
      </c>
    </row>
    <row r="208" spans="1:9" ht="38.25" x14ac:dyDescent="0.2">
      <c r="A208" s="151">
        <v>4</v>
      </c>
      <c r="B208" s="150" t="s">
        <v>1286</v>
      </c>
      <c r="C208" s="150" t="s">
        <v>1371</v>
      </c>
      <c r="D208" s="152" t="s">
        <v>1283</v>
      </c>
      <c r="E208" s="157">
        <f>634*0.15*0.25</f>
        <v>23.774999999999999</v>
      </c>
      <c r="F208" s="154">
        <f>F207</f>
        <v>8702.1899999999987</v>
      </c>
      <c r="G208" s="154">
        <f t="shared" si="50"/>
        <v>10810.730636999999</v>
      </c>
      <c r="H208" s="155">
        <f t="shared" si="51"/>
        <v>257025.12089467497</v>
      </c>
      <c r="I208" s="156">
        <f t="shared" si="47"/>
        <v>0.13600497154985042</v>
      </c>
    </row>
    <row r="209" spans="1:9" ht="25.5" x14ac:dyDescent="0.2">
      <c r="A209" s="151">
        <v>5</v>
      </c>
      <c r="B209" s="150" t="s">
        <v>1286</v>
      </c>
      <c r="C209" s="150" t="s">
        <v>1285</v>
      </c>
      <c r="D209" s="152" t="s">
        <v>1283</v>
      </c>
      <c r="E209" s="157">
        <f>2*95*0.8*0.05</f>
        <v>7.6000000000000005</v>
      </c>
      <c r="F209" s="154">
        <f>COMP!G48</f>
        <v>7541.19</v>
      </c>
      <c r="G209" s="154">
        <f t="shared" si="50"/>
        <v>9368.4203369999996</v>
      </c>
      <c r="H209" s="155">
        <f t="shared" si="51"/>
        <v>71199.994561200001</v>
      </c>
      <c r="I209" s="156">
        <f t="shared" si="47"/>
        <v>3.7675512809557964E-2</v>
      </c>
    </row>
    <row r="210" spans="1:9" ht="51" x14ac:dyDescent="0.2">
      <c r="A210" s="151" t="s">
        <v>1104</v>
      </c>
      <c r="B210" s="150" t="s">
        <v>32</v>
      </c>
      <c r="C210" s="150" t="s">
        <v>1105</v>
      </c>
      <c r="D210" s="152" t="s">
        <v>1281</v>
      </c>
      <c r="E210" s="157">
        <f>95*2</f>
        <v>190</v>
      </c>
      <c r="F210" s="154">
        <v>553.78</v>
      </c>
      <c r="G210" s="154">
        <f t="shared" si="50"/>
        <v>687.96089399999994</v>
      </c>
      <c r="H210" s="155">
        <f t="shared" si="51"/>
        <v>130712.56985999999</v>
      </c>
      <c r="I210" s="156">
        <f t="shared" si="47"/>
        <v>6.9166621858344005E-2</v>
      </c>
    </row>
    <row r="211" spans="1:9" ht="25.5" x14ac:dyDescent="0.2">
      <c r="A211" s="162">
        <v>6</v>
      </c>
      <c r="B211" s="150" t="s">
        <v>1286</v>
      </c>
      <c r="C211" s="150" t="s">
        <v>1287</v>
      </c>
      <c r="D211" s="152" t="s">
        <v>1283</v>
      </c>
      <c r="E211" s="157">
        <f>5*96*0.2*0.25</f>
        <v>24</v>
      </c>
      <c r="F211" s="154">
        <f>F208</f>
        <v>8702.1899999999987</v>
      </c>
      <c r="G211" s="154">
        <f t="shared" si="50"/>
        <v>10810.730636999999</v>
      </c>
      <c r="H211" s="155">
        <f t="shared" si="51"/>
        <v>259457.53528799996</v>
      </c>
      <c r="I211" s="156">
        <f t="shared" si="47"/>
        <v>0.13729208484527486</v>
      </c>
    </row>
    <row r="212" spans="1:9" ht="63.75" x14ac:dyDescent="0.2">
      <c r="A212" s="151" t="s">
        <v>1085</v>
      </c>
      <c r="B212" s="150" t="s">
        <v>72</v>
      </c>
      <c r="C212" s="150" t="s">
        <v>1086</v>
      </c>
      <c r="D212" s="152" t="s">
        <v>1066</v>
      </c>
      <c r="E212" s="157">
        <f>10*(E205+E206+E207+E208+E209+E211+30*0.1)/2.83</f>
        <v>414.75265017667846</v>
      </c>
      <c r="F212" s="154">
        <f>F202</f>
        <v>3.14</v>
      </c>
      <c r="G212" s="154">
        <f t="shared" si="50"/>
        <v>3.9008220000000002</v>
      </c>
      <c r="H212" s="155">
        <f t="shared" si="51"/>
        <v>1617.8762623674913</v>
      </c>
      <c r="I212" s="156">
        <f t="shared" si="47"/>
        <v>8.5610003515818891E-4</v>
      </c>
    </row>
    <row r="213" spans="1:9" x14ac:dyDescent="0.2">
      <c r="A213" s="126"/>
      <c r="B213" s="126"/>
      <c r="C213" s="126" t="s">
        <v>1043</v>
      </c>
      <c r="D213" s="126"/>
      <c r="E213" s="127"/>
      <c r="F213" s="126"/>
      <c r="G213" s="122"/>
      <c r="H213" s="128">
        <f>H214</f>
        <v>13241.6757</v>
      </c>
      <c r="I213" s="9">
        <f>I214</f>
        <v>7.0068393337662941E-3</v>
      </c>
    </row>
    <row r="214" spans="1:9" ht="25.5" x14ac:dyDescent="0.2">
      <c r="A214" s="151" t="s">
        <v>1101</v>
      </c>
      <c r="B214" s="150" t="s">
        <v>72</v>
      </c>
      <c r="C214" s="150" t="s">
        <v>1102</v>
      </c>
      <c r="D214" s="163" t="s">
        <v>1281</v>
      </c>
      <c r="E214" s="157">
        <f>95*5</f>
        <v>475</v>
      </c>
      <c r="F214" s="154">
        <v>22.44</v>
      </c>
      <c r="G214" s="154">
        <f t="shared" ref="G214" si="52">F214*1.2423</f>
        <v>27.877212</v>
      </c>
      <c r="H214" s="155">
        <f>G214*E214</f>
        <v>13241.6757</v>
      </c>
      <c r="I214" s="156">
        <f t="shared" si="47"/>
        <v>7.0068393337662941E-3</v>
      </c>
    </row>
    <row r="215" spans="1:9" ht="15" x14ac:dyDescent="0.25">
      <c r="A215" s="145"/>
      <c r="B215" s="145"/>
      <c r="C215" s="145"/>
      <c r="D215" s="145"/>
      <c r="E215" s="145"/>
      <c r="F215" s="145"/>
      <c r="G215" s="123" t="s">
        <v>1277</v>
      </c>
      <c r="H215" s="164">
        <f>H191+H196+H204+H213</f>
        <v>1889821.5114178129</v>
      </c>
      <c r="I215" s="168">
        <f>I191+I196+I204+I213</f>
        <v>1.0000000000000002</v>
      </c>
    </row>
    <row r="217" spans="1:9" x14ac:dyDescent="0.2">
      <c r="A217" s="165"/>
      <c r="B217" s="165"/>
      <c r="C217" s="146" t="s">
        <v>1365</v>
      </c>
      <c r="D217" s="165"/>
      <c r="E217" s="165"/>
      <c r="F217" s="165"/>
      <c r="G217" s="165"/>
      <c r="H217" s="165"/>
      <c r="I217" s="165"/>
    </row>
    <row r="218" spans="1:9" x14ac:dyDescent="0.2">
      <c r="A218" s="171" t="s">
        <v>1288</v>
      </c>
      <c r="B218" s="171">
        <v>19</v>
      </c>
      <c r="C218" s="167" t="s">
        <v>1366</v>
      </c>
      <c r="D218" s="165"/>
      <c r="E218" s="165"/>
      <c r="F218" s="165"/>
      <c r="G218" s="165"/>
      <c r="H218" s="165"/>
      <c r="I218" s="165"/>
    </row>
    <row r="219" spans="1:9" x14ac:dyDescent="0.2">
      <c r="A219" s="146"/>
      <c r="B219" s="146"/>
      <c r="C219" s="146" t="s">
        <v>1037</v>
      </c>
      <c r="D219" s="146"/>
      <c r="E219" s="7"/>
      <c r="F219" s="146"/>
      <c r="G219" s="122"/>
      <c r="H219" s="8">
        <f>SUM(H220:H223)</f>
        <v>12445.49569263</v>
      </c>
      <c r="I219" s="9">
        <f>SUM(I220:I223)</f>
        <v>2.786462929026114E-2</v>
      </c>
    </row>
    <row r="220" spans="1:9" ht="63.75" x14ac:dyDescent="0.2">
      <c r="A220" s="151" t="s">
        <v>1067</v>
      </c>
      <c r="B220" s="150" t="s">
        <v>72</v>
      </c>
      <c r="C220" s="150" t="s">
        <v>1068</v>
      </c>
      <c r="D220" s="152" t="s">
        <v>1283</v>
      </c>
      <c r="E220" s="157">
        <f>21*1.5*1.5*1.5+5*0.8*0.8*7</f>
        <v>93.275000000000006</v>
      </c>
      <c r="F220" s="154">
        <v>38.15</v>
      </c>
      <c r="G220" s="154">
        <f t="shared" ref="G220:G223" si="53">F220*1.2423</f>
        <v>47.393744999999996</v>
      </c>
      <c r="H220" s="155">
        <f>G220*E220</f>
        <v>4420.6515648750001</v>
      </c>
      <c r="I220" s="156">
        <f>H220/$H$243</f>
        <v>9.8975420601044913E-3</v>
      </c>
    </row>
    <row r="221" spans="1:9" ht="38.25" x14ac:dyDescent="0.2">
      <c r="A221" s="151" t="s">
        <v>1069</v>
      </c>
      <c r="B221" s="150" t="s">
        <v>72</v>
      </c>
      <c r="C221" s="150" t="s">
        <v>1070</v>
      </c>
      <c r="D221" s="152" t="s">
        <v>1283</v>
      </c>
      <c r="E221" s="157">
        <f>E220*0.9</f>
        <v>83.947500000000005</v>
      </c>
      <c r="F221" s="154">
        <v>72.069999999999993</v>
      </c>
      <c r="G221" s="154">
        <f t="shared" si="53"/>
        <v>89.532560999999987</v>
      </c>
      <c r="H221" s="155">
        <f>G221*E221</f>
        <v>7516.0346645474992</v>
      </c>
      <c r="I221" s="156">
        <f t="shared" ref="I221:I242" si="54">H221/$H$243</f>
        <v>1.6827897002478571E-2</v>
      </c>
    </row>
    <row r="222" spans="1:9" ht="63.75" x14ac:dyDescent="0.2">
      <c r="A222" s="151" t="s">
        <v>1050</v>
      </c>
      <c r="B222" s="150" t="s">
        <v>72</v>
      </c>
      <c r="C222" s="150" t="s">
        <v>1051</v>
      </c>
      <c r="D222" s="152" t="s">
        <v>1283</v>
      </c>
      <c r="E222" s="157">
        <f>E220-E221</f>
        <v>9.3275000000000006</v>
      </c>
      <c r="F222" s="154">
        <v>7.9</v>
      </c>
      <c r="G222" s="154">
        <f t="shared" si="53"/>
        <v>9.8141700000000007</v>
      </c>
      <c r="H222" s="155">
        <f>G222*E222</f>
        <v>91.541670675000006</v>
      </c>
      <c r="I222" s="156">
        <f t="shared" si="54"/>
        <v>2.0495565471776011E-4</v>
      </c>
    </row>
    <row r="223" spans="1:9" ht="38.25" x14ac:dyDescent="0.2">
      <c r="A223" s="151" t="s">
        <v>1053</v>
      </c>
      <c r="B223" s="150" t="s">
        <v>72</v>
      </c>
      <c r="C223" s="150" t="s">
        <v>1054</v>
      </c>
      <c r="D223" s="152" t="s">
        <v>1055</v>
      </c>
      <c r="E223" s="169">
        <f>E222*10*1.3</f>
        <v>121.25750000000001</v>
      </c>
      <c r="F223" s="154">
        <v>2.77</v>
      </c>
      <c r="G223" s="154">
        <f t="shared" si="53"/>
        <v>3.4411709999999998</v>
      </c>
      <c r="H223" s="155">
        <f>G223*E223</f>
        <v>417.26779253249998</v>
      </c>
      <c r="I223" s="156">
        <f t="shared" si="54"/>
        <v>9.3423457296032159E-4</v>
      </c>
    </row>
    <row r="224" spans="1:9" x14ac:dyDescent="0.2">
      <c r="A224" s="146"/>
      <c r="B224" s="146"/>
      <c r="C224" s="146" t="s">
        <v>1039</v>
      </c>
      <c r="D224" s="146"/>
      <c r="E224" s="7"/>
      <c r="F224" s="146"/>
      <c r="G224" s="122"/>
      <c r="H224" s="8">
        <f>SUM(H225:H231)</f>
        <v>163780.63764401985</v>
      </c>
      <c r="I224" s="9">
        <f>SUM(I225:I231)</f>
        <v>0.36669385178251557</v>
      </c>
    </row>
    <row r="225" spans="1:11" ht="25.5" x14ac:dyDescent="0.2">
      <c r="A225" s="151" t="s">
        <v>1072</v>
      </c>
      <c r="B225" s="150" t="s">
        <v>1073</v>
      </c>
      <c r="C225" s="150" t="s">
        <v>1074</v>
      </c>
      <c r="D225" s="152" t="s">
        <v>121</v>
      </c>
      <c r="E225" s="157">
        <f>21*4*5</f>
        <v>420</v>
      </c>
      <c r="F225" s="154">
        <v>86.47</v>
      </c>
      <c r="G225" s="154">
        <f t="shared" ref="G225:G231" si="55">F225*1.2423</f>
        <v>107.42168099999999</v>
      </c>
      <c r="H225" s="154">
        <f t="shared" ref="H225:H231" si="56">G225*E225</f>
        <v>45117.106019999999</v>
      </c>
      <c r="I225" s="156">
        <f t="shared" si="54"/>
        <v>0.10101417130706845</v>
      </c>
    </row>
    <row r="226" spans="1:11" ht="51" x14ac:dyDescent="0.2">
      <c r="A226" s="151" t="s">
        <v>1076</v>
      </c>
      <c r="B226" s="150" t="s">
        <v>72</v>
      </c>
      <c r="C226" s="150" t="s">
        <v>1077</v>
      </c>
      <c r="D226" s="152" t="s">
        <v>1281</v>
      </c>
      <c r="E226" s="157">
        <f>21*1.5*1.5*2</f>
        <v>94.5</v>
      </c>
      <c r="F226" s="154">
        <v>151.01</v>
      </c>
      <c r="G226" s="154">
        <f t="shared" si="55"/>
        <v>187.59972299999998</v>
      </c>
      <c r="H226" s="154">
        <f t="shared" si="56"/>
        <v>17728.173823499998</v>
      </c>
      <c r="I226" s="156">
        <f t="shared" si="54"/>
        <v>3.9692190956899402E-2</v>
      </c>
    </row>
    <row r="227" spans="1:11" ht="38.25" x14ac:dyDescent="0.2">
      <c r="A227" s="151" t="s">
        <v>1079</v>
      </c>
      <c r="B227" s="150" t="s">
        <v>72</v>
      </c>
      <c r="C227" s="150" t="s">
        <v>1080</v>
      </c>
      <c r="D227" s="152" t="s">
        <v>1281</v>
      </c>
      <c r="E227" s="157">
        <f>21*1.5*1.5</f>
        <v>47.25</v>
      </c>
      <c r="F227" s="154">
        <v>29.12</v>
      </c>
      <c r="G227" s="154">
        <f t="shared" si="55"/>
        <v>36.175775999999999</v>
      </c>
      <c r="H227" s="154">
        <f t="shared" si="56"/>
        <v>1709.3054159999999</v>
      </c>
      <c r="I227" s="156">
        <f t="shared" si="54"/>
        <v>3.8270200670979097E-3</v>
      </c>
    </row>
    <row r="228" spans="1:11" ht="38.25" x14ac:dyDescent="0.2">
      <c r="A228" s="151" t="s">
        <v>1082</v>
      </c>
      <c r="B228" s="150" t="s">
        <v>72</v>
      </c>
      <c r="C228" s="150" t="s">
        <v>1083</v>
      </c>
      <c r="D228" s="152" t="s">
        <v>1283</v>
      </c>
      <c r="E228" s="170">
        <f>5*0.8*0.8*7</f>
        <v>22.400000000000002</v>
      </c>
      <c r="F228" s="154">
        <v>522.47</v>
      </c>
      <c r="G228" s="154">
        <f t="shared" si="55"/>
        <v>649.064481</v>
      </c>
      <c r="H228" s="154">
        <f t="shared" si="56"/>
        <v>14539.044374400002</v>
      </c>
      <c r="I228" s="156">
        <f t="shared" si="54"/>
        <v>3.2551944232098416E-2</v>
      </c>
    </row>
    <row r="229" spans="1:11" ht="25.5" x14ac:dyDescent="0.2">
      <c r="A229" s="151">
        <v>104486</v>
      </c>
      <c r="B229" s="150" t="s">
        <v>72</v>
      </c>
      <c r="C229" s="150" t="s">
        <v>1329</v>
      </c>
      <c r="D229" s="152" t="s">
        <v>1283</v>
      </c>
      <c r="E229" s="157">
        <f>21*0.8*0.8*1.5</f>
        <v>20.160000000000004</v>
      </c>
      <c r="F229" s="154">
        <v>3307.35</v>
      </c>
      <c r="G229" s="154">
        <f t="shared" si="55"/>
        <v>4108.7209050000001</v>
      </c>
      <c r="H229" s="154">
        <f t="shared" si="56"/>
        <v>82831.81344480002</v>
      </c>
      <c r="I229" s="156">
        <f t="shared" si="54"/>
        <v>0.18545486914163042</v>
      </c>
    </row>
    <row r="230" spans="1:11" ht="63.75" x14ac:dyDescent="0.2">
      <c r="A230" s="151" t="s">
        <v>1085</v>
      </c>
      <c r="B230" s="150" t="s">
        <v>72</v>
      </c>
      <c r="C230" s="150" t="s">
        <v>1086</v>
      </c>
      <c r="D230" s="152" t="s">
        <v>1066</v>
      </c>
      <c r="E230" s="157">
        <f>(3.14*0.25^2/4*E225)/2.83*10</f>
        <v>72.813604240282672</v>
      </c>
      <c r="F230" s="154">
        <v>3.14</v>
      </c>
      <c r="G230" s="154">
        <f t="shared" si="55"/>
        <v>3.9008220000000002</v>
      </c>
      <c r="H230" s="154">
        <f t="shared" si="56"/>
        <v>284.03290931978796</v>
      </c>
      <c r="I230" s="156">
        <f t="shared" si="54"/>
        <v>6.3593061456901714E-4</v>
      </c>
    </row>
    <row r="231" spans="1:11" ht="51" x14ac:dyDescent="0.2">
      <c r="A231" s="151" t="s">
        <v>1088</v>
      </c>
      <c r="B231" s="150" t="s">
        <v>72</v>
      </c>
      <c r="C231" s="150" t="s">
        <v>1089</v>
      </c>
      <c r="D231" s="152" t="s">
        <v>105</v>
      </c>
      <c r="E231" s="157">
        <v>8</v>
      </c>
      <c r="F231" s="154">
        <v>158.09</v>
      </c>
      <c r="G231" s="154">
        <f t="shared" si="55"/>
        <v>196.395207</v>
      </c>
      <c r="H231" s="154">
        <f t="shared" si="56"/>
        <v>1571.161656</v>
      </c>
      <c r="I231" s="156">
        <f t="shared" si="54"/>
        <v>3.5177254631519775E-3</v>
      </c>
    </row>
    <row r="232" spans="1:11" x14ac:dyDescent="0.2">
      <c r="A232" s="146"/>
      <c r="B232" s="146"/>
      <c r="C232" s="146" t="s">
        <v>1041</v>
      </c>
      <c r="D232" s="146"/>
      <c r="E232" s="7"/>
      <c r="F232" s="146"/>
      <c r="G232" s="122"/>
      <c r="H232" s="8">
        <f>SUM(H233:H240)</f>
        <v>267906.26934824785</v>
      </c>
      <c r="I232" s="9">
        <f>SUM(I233:I240)</f>
        <v>0.59982415038289572</v>
      </c>
    </row>
    <row r="233" spans="1:11" ht="25.5" x14ac:dyDescent="0.2">
      <c r="A233" s="151">
        <v>2</v>
      </c>
      <c r="B233" s="150" t="s">
        <v>1286</v>
      </c>
      <c r="C233" s="150" t="s">
        <v>1282</v>
      </c>
      <c r="D233" s="152" t="s">
        <v>1283</v>
      </c>
      <c r="E233" s="157">
        <f>18*5*0.08</f>
        <v>7.2</v>
      </c>
      <c r="F233" s="154">
        <f>COMP!G22</f>
        <v>8702.1899999999987</v>
      </c>
      <c r="G233" s="154">
        <f t="shared" ref="G233:G240" si="57">F233*1.2423</f>
        <v>10810.730636999999</v>
      </c>
      <c r="H233" s="155">
        <f t="shared" ref="H233:H240" si="58">G233*E233</f>
        <v>77837.260586399992</v>
      </c>
      <c r="I233" s="156">
        <f t="shared" si="54"/>
        <v>0.17427240061590141</v>
      </c>
    </row>
    <row r="234" spans="1:11" ht="25.5" x14ac:dyDescent="0.2">
      <c r="A234" s="158">
        <v>3</v>
      </c>
      <c r="B234" s="159" t="s">
        <v>1286</v>
      </c>
      <c r="C234" s="150" t="s">
        <v>1284</v>
      </c>
      <c r="D234" s="160" t="s">
        <v>1283</v>
      </c>
      <c r="E234" s="157">
        <f>18*2*0.2*0.3</f>
        <v>2.16</v>
      </c>
      <c r="F234" s="154">
        <f>F233</f>
        <v>8702.1899999999987</v>
      </c>
      <c r="G234" s="154">
        <f t="shared" si="57"/>
        <v>10810.730636999999</v>
      </c>
      <c r="H234" s="161">
        <f t="shared" si="58"/>
        <v>23351.178175919998</v>
      </c>
      <c r="I234" s="156">
        <f t="shared" si="54"/>
        <v>5.2281720184770425E-2</v>
      </c>
    </row>
    <row r="235" spans="1:11" ht="38.25" x14ac:dyDescent="0.2">
      <c r="A235" s="151">
        <v>4</v>
      </c>
      <c r="B235" s="150" t="s">
        <v>1286</v>
      </c>
      <c r="C235" s="150" t="s">
        <v>1370</v>
      </c>
      <c r="D235" s="152" t="s">
        <v>1283</v>
      </c>
      <c r="E235" s="157">
        <f>7*5*0.2*0.3</f>
        <v>2.1</v>
      </c>
      <c r="F235" s="154">
        <f>F234</f>
        <v>8702.1899999999987</v>
      </c>
      <c r="G235" s="154">
        <f t="shared" si="57"/>
        <v>10810.730636999999</v>
      </c>
      <c r="H235" s="155">
        <f t="shared" si="58"/>
        <v>22702.534337699999</v>
      </c>
      <c r="I235" s="156">
        <f t="shared" si="54"/>
        <v>5.0829450179637914E-2</v>
      </c>
    </row>
    <row r="236" spans="1:11" ht="38.25" x14ac:dyDescent="0.2">
      <c r="A236" s="151">
        <v>4</v>
      </c>
      <c r="B236" s="150" t="s">
        <v>1286</v>
      </c>
      <c r="C236" s="150" t="s">
        <v>1371</v>
      </c>
      <c r="D236" s="152" t="s">
        <v>1283</v>
      </c>
      <c r="E236" s="157">
        <f>120*0.15*0.25</f>
        <v>4.5</v>
      </c>
      <c r="F236" s="154">
        <f>F235</f>
        <v>8702.1899999999987</v>
      </c>
      <c r="G236" s="154">
        <f t="shared" si="57"/>
        <v>10810.730636999999</v>
      </c>
      <c r="H236" s="155">
        <f t="shared" si="58"/>
        <v>48648.287866499995</v>
      </c>
      <c r="I236" s="156">
        <f t="shared" si="54"/>
        <v>0.10892025038493838</v>
      </c>
      <c r="K236">
        <f>18/0.15</f>
        <v>120</v>
      </c>
    </row>
    <row r="237" spans="1:11" ht="25.5" x14ac:dyDescent="0.2">
      <c r="A237" s="151">
        <v>5</v>
      </c>
      <c r="B237" s="150" t="s">
        <v>1286</v>
      </c>
      <c r="C237" s="150" t="s">
        <v>1285</v>
      </c>
      <c r="D237" s="152" t="s">
        <v>1283</v>
      </c>
      <c r="E237" s="157">
        <f>2*18*0.8*0.05</f>
        <v>1.4400000000000002</v>
      </c>
      <c r="F237" s="154">
        <f>COMP!G48</f>
        <v>7541.19</v>
      </c>
      <c r="G237" s="154">
        <f t="shared" si="57"/>
        <v>9368.4203369999996</v>
      </c>
      <c r="H237" s="155">
        <f t="shared" si="58"/>
        <v>13490.52528528</v>
      </c>
      <c r="I237" s="156">
        <f t="shared" si="54"/>
        <v>3.0204380387020502E-2</v>
      </c>
    </row>
    <row r="238" spans="1:11" ht="51" x14ac:dyDescent="0.2">
      <c r="A238" s="151" t="s">
        <v>1104</v>
      </c>
      <c r="B238" s="150" t="s">
        <v>32</v>
      </c>
      <c r="C238" s="150" t="s">
        <v>1105</v>
      </c>
      <c r="D238" s="152" t="s">
        <v>1281</v>
      </c>
      <c r="E238" s="157">
        <v>36</v>
      </c>
      <c r="F238" s="154">
        <v>553.78</v>
      </c>
      <c r="G238" s="154">
        <f t="shared" si="57"/>
        <v>687.96089399999994</v>
      </c>
      <c r="H238" s="155">
        <f t="shared" si="58"/>
        <v>24766.592183999997</v>
      </c>
      <c r="I238" s="156">
        <f t="shared" si="54"/>
        <v>5.5450737120813193E-2</v>
      </c>
    </row>
    <row r="239" spans="1:11" ht="25.5" x14ac:dyDescent="0.2">
      <c r="A239" s="162">
        <v>6</v>
      </c>
      <c r="B239" s="150" t="s">
        <v>1286</v>
      </c>
      <c r="C239" s="150" t="s">
        <v>1287</v>
      </c>
      <c r="D239" s="152" t="s">
        <v>1283</v>
      </c>
      <c r="E239" s="157">
        <f>5*21*0.2*0.25</f>
        <v>5.25</v>
      </c>
      <c r="F239" s="154">
        <f>F236</f>
        <v>8702.1899999999987</v>
      </c>
      <c r="G239" s="154">
        <f t="shared" si="57"/>
        <v>10810.730636999999</v>
      </c>
      <c r="H239" s="155">
        <f t="shared" si="58"/>
        <v>56756.335844249996</v>
      </c>
      <c r="I239" s="156">
        <f t="shared" si="54"/>
        <v>0.12707362544909478</v>
      </c>
    </row>
    <row r="240" spans="1:11" ht="63.75" x14ac:dyDescent="0.2">
      <c r="A240" s="151" t="s">
        <v>1085</v>
      </c>
      <c r="B240" s="150" t="s">
        <v>72</v>
      </c>
      <c r="C240" s="150" t="s">
        <v>1086</v>
      </c>
      <c r="D240" s="152" t="s">
        <v>1066</v>
      </c>
      <c r="E240" s="157">
        <f>10*(E233+E234+E235+E236+E237+E239+30*0.1)/2.83</f>
        <v>90.63604240282686</v>
      </c>
      <c r="F240" s="154">
        <f>F230</f>
        <v>3.14</v>
      </c>
      <c r="G240" s="154">
        <f t="shared" si="57"/>
        <v>3.9008220000000002</v>
      </c>
      <c r="H240" s="155">
        <f t="shared" si="58"/>
        <v>353.5550681978799</v>
      </c>
      <c r="I240" s="156">
        <f t="shared" si="54"/>
        <v>7.9158606071921345E-4</v>
      </c>
    </row>
    <row r="241" spans="1:9" x14ac:dyDescent="0.2">
      <c r="A241" s="126"/>
      <c r="B241" s="126"/>
      <c r="C241" s="126" t="s">
        <v>1043</v>
      </c>
      <c r="D241" s="126"/>
      <c r="E241" s="127"/>
      <c r="F241" s="126"/>
      <c r="G241" s="122"/>
      <c r="H241" s="128">
        <f>H242</f>
        <v>2508.9490799999999</v>
      </c>
      <c r="I241" s="9">
        <f>I242</f>
        <v>5.6173685443273872E-3</v>
      </c>
    </row>
    <row r="242" spans="1:9" ht="25.5" x14ac:dyDescent="0.2">
      <c r="A242" s="151" t="s">
        <v>1101</v>
      </c>
      <c r="B242" s="150" t="s">
        <v>72</v>
      </c>
      <c r="C242" s="150" t="s">
        <v>1102</v>
      </c>
      <c r="D242" s="163" t="s">
        <v>1281</v>
      </c>
      <c r="E242" s="157">
        <f>18*5</f>
        <v>90</v>
      </c>
      <c r="F242" s="154">
        <v>22.44</v>
      </c>
      <c r="G242" s="154">
        <f t="shared" ref="G242" si="59">F242*1.2423</f>
        <v>27.877212</v>
      </c>
      <c r="H242" s="155">
        <f>G242*E242</f>
        <v>2508.9490799999999</v>
      </c>
      <c r="I242" s="156">
        <f t="shared" si="54"/>
        <v>5.6173685443273872E-3</v>
      </c>
    </row>
    <row r="243" spans="1:9" ht="15" x14ac:dyDescent="0.25">
      <c r="A243" s="145"/>
      <c r="B243" s="145"/>
      <c r="C243" s="145"/>
      <c r="D243" s="145"/>
      <c r="E243" s="145"/>
      <c r="F243" s="145"/>
      <c r="G243" s="123" t="s">
        <v>1277</v>
      </c>
      <c r="H243" s="164">
        <f>H219+H224+H232+H241</f>
        <v>446641.3517648977</v>
      </c>
      <c r="I243" s="168">
        <f>I219+I224+I232+I241</f>
        <v>0.99999999999999978</v>
      </c>
    </row>
    <row r="245" spans="1:9" ht="25.5" x14ac:dyDescent="0.2">
      <c r="A245" s="165"/>
      <c r="B245" s="165"/>
      <c r="C245" s="146" t="s">
        <v>1367</v>
      </c>
      <c r="D245" s="165"/>
      <c r="E245" s="165"/>
      <c r="F245" s="165"/>
      <c r="G245" s="165"/>
      <c r="H245" s="165"/>
      <c r="I245" s="165"/>
    </row>
    <row r="246" spans="1:9" x14ac:dyDescent="0.2">
      <c r="A246" s="171" t="s">
        <v>1288</v>
      </c>
      <c r="B246" s="171">
        <v>20</v>
      </c>
      <c r="C246" s="167" t="s">
        <v>1368</v>
      </c>
      <c r="D246" s="165"/>
      <c r="E246" s="165"/>
      <c r="F246" s="165"/>
      <c r="G246" s="165"/>
      <c r="H246" s="165"/>
      <c r="I246" s="165"/>
    </row>
    <row r="247" spans="1:9" x14ac:dyDescent="0.2">
      <c r="A247" s="146"/>
      <c r="B247" s="146"/>
      <c r="C247" s="146" t="s">
        <v>1037</v>
      </c>
      <c r="D247" s="146"/>
      <c r="E247" s="7"/>
      <c r="F247" s="146"/>
      <c r="G247" s="122"/>
      <c r="H247" s="8">
        <f>SUM(H248:H251)</f>
        <v>7111.7118243599989</v>
      </c>
      <c r="I247" s="9">
        <f>SUM(I248:I251)</f>
        <v>2.9352651615678668E-2</v>
      </c>
    </row>
    <row r="248" spans="1:9" ht="63.75" x14ac:dyDescent="0.2">
      <c r="A248" s="151" t="s">
        <v>1067</v>
      </c>
      <c r="B248" s="150" t="s">
        <v>72</v>
      </c>
      <c r="C248" s="150" t="s">
        <v>1068</v>
      </c>
      <c r="D248" s="152" t="s">
        <v>1283</v>
      </c>
      <c r="E248" s="157">
        <f>12*1.5*1.5*1.5+5*0.8*0.8*4</f>
        <v>53.3</v>
      </c>
      <c r="F248" s="154">
        <v>38.15</v>
      </c>
      <c r="G248" s="154">
        <f t="shared" ref="G248:G251" si="60">F248*1.2423</f>
        <v>47.393744999999996</v>
      </c>
      <c r="H248" s="155">
        <f>G248*E248</f>
        <v>2526.0866084999998</v>
      </c>
      <c r="I248" s="156">
        <f>H248/$H$271</f>
        <v>1.0426088964453292E-2</v>
      </c>
    </row>
    <row r="249" spans="1:9" ht="38.25" x14ac:dyDescent="0.2">
      <c r="A249" s="151" t="s">
        <v>1069</v>
      </c>
      <c r="B249" s="150" t="s">
        <v>72</v>
      </c>
      <c r="C249" s="150" t="s">
        <v>1070</v>
      </c>
      <c r="D249" s="152" t="s">
        <v>1283</v>
      </c>
      <c r="E249" s="157">
        <f>E248*0.9</f>
        <v>47.97</v>
      </c>
      <c r="F249" s="154">
        <v>72.069999999999993</v>
      </c>
      <c r="G249" s="154">
        <f t="shared" si="60"/>
        <v>89.532560999999987</v>
      </c>
      <c r="H249" s="155">
        <f>G249*E249</f>
        <v>4294.8769511699993</v>
      </c>
      <c r="I249" s="156">
        <f t="shared" ref="I249:I270" si="61">H249/$H$271</f>
        <v>1.7726537575395381E-2</v>
      </c>
    </row>
    <row r="250" spans="1:9" ht="63.75" x14ac:dyDescent="0.2">
      <c r="A250" s="151" t="s">
        <v>1050</v>
      </c>
      <c r="B250" s="150" t="s">
        <v>72</v>
      </c>
      <c r="C250" s="150" t="s">
        <v>1051</v>
      </c>
      <c r="D250" s="152" t="s">
        <v>1283</v>
      </c>
      <c r="E250" s="157">
        <f>E248-E249</f>
        <v>5.3299999999999983</v>
      </c>
      <c r="F250" s="154">
        <v>7.9</v>
      </c>
      <c r="G250" s="154">
        <f t="shared" si="60"/>
        <v>9.8141700000000007</v>
      </c>
      <c r="H250" s="155">
        <f>G250*E250</f>
        <v>52.309526099999985</v>
      </c>
      <c r="I250" s="156">
        <f t="shared" si="61"/>
        <v>2.1590066269772213E-4</v>
      </c>
    </row>
    <row r="251" spans="1:9" ht="38.25" x14ac:dyDescent="0.2">
      <c r="A251" s="151" t="s">
        <v>1053</v>
      </c>
      <c r="B251" s="150" t="s">
        <v>72</v>
      </c>
      <c r="C251" s="150" t="s">
        <v>1054</v>
      </c>
      <c r="D251" s="152" t="s">
        <v>1055</v>
      </c>
      <c r="E251" s="169">
        <f>E250*10*1.3</f>
        <v>69.289999999999978</v>
      </c>
      <c r="F251" s="154">
        <v>2.77</v>
      </c>
      <c r="G251" s="154">
        <f t="shared" si="60"/>
        <v>3.4411709999999998</v>
      </c>
      <c r="H251" s="155">
        <f>G251*E251</f>
        <v>238.4387385899999</v>
      </c>
      <c r="I251" s="156">
        <f t="shared" si="61"/>
        <v>9.8412441313227498E-4</v>
      </c>
    </row>
    <row r="252" spans="1:9" x14ac:dyDescent="0.2">
      <c r="A252" s="146"/>
      <c r="B252" s="146"/>
      <c r="C252" s="146" t="s">
        <v>1039</v>
      </c>
      <c r="D252" s="146"/>
      <c r="E252" s="7"/>
      <c r="F252" s="146"/>
      <c r="G252" s="122"/>
      <c r="H252" s="8">
        <f>SUM(H253:H259)</f>
        <v>94262.290792011307</v>
      </c>
      <c r="I252" s="9">
        <f>SUM(I253:I259)</f>
        <v>0.38905516005813401</v>
      </c>
    </row>
    <row r="253" spans="1:9" ht="25.5" x14ac:dyDescent="0.2">
      <c r="A253" s="151" t="s">
        <v>1072</v>
      </c>
      <c r="B253" s="150" t="s">
        <v>1073</v>
      </c>
      <c r="C253" s="150" t="s">
        <v>1074</v>
      </c>
      <c r="D253" s="152" t="s">
        <v>121</v>
      </c>
      <c r="E253" s="157">
        <f>12*4*5</f>
        <v>240</v>
      </c>
      <c r="F253" s="154">
        <v>86.47</v>
      </c>
      <c r="G253" s="154">
        <f t="shared" ref="G253:G259" si="62">F253*1.2423</f>
        <v>107.42168099999999</v>
      </c>
      <c r="H253" s="154">
        <f t="shared" ref="H253:H259" si="63">G253*E253</f>
        <v>25781.203439999997</v>
      </c>
      <c r="I253" s="156">
        <f t="shared" si="61"/>
        <v>0.10640851337861373</v>
      </c>
    </row>
    <row r="254" spans="1:9" ht="51" x14ac:dyDescent="0.2">
      <c r="A254" s="151" t="s">
        <v>1076</v>
      </c>
      <c r="B254" s="150" t="s">
        <v>72</v>
      </c>
      <c r="C254" s="150" t="s">
        <v>1077</v>
      </c>
      <c r="D254" s="152" t="s">
        <v>1281</v>
      </c>
      <c r="E254" s="157">
        <f>12*1.5*1.5*2</f>
        <v>54</v>
      </c>
      <c r="F254" s="154">
        <v>151.01</v>
      </c>
      <c r="G254" s="154">
        <f t="shared" si="62"/>
        <v>187.59972299999998</v>
      </c>
      <c r="H254" s="154">
        <f t="shared" si="63"/>
        <v>10130.385042</v>
      </c>
      <c r="I254" s="156">
        <f t="shared" si="61"/>
        <v>4.1811826774528785E-2</v>
      </c>
    </row>
    <row r="255" spans="1:9" ht="38.25" x14ac:dyDescent="0.2">
      <c r="A255" s="151" t="s">
        <v>1079</v>
      </c>
      <c r="B255" s="150" t="s">
        <v>72</v>
      </c>
      <c r="C255" s="150" t="s">
        <v>1080</v>
      </c>
      <c r="D255" s="152" t="s">
        <v>1281</v>
      </c>
      <c r="E255" s="157">
        <f>12*1.5*1.5</f>
        <v>27</v>
      </c>
      <c r="F255" s="154">
        <v>29.12</v>
      </c>
      <c r="G255" s="154">
        <f t="shared" si="62"/>
        <v>36.175775999999999</v>
      </c>
      <c r="H255" s="154">
        <f t="shared" si="63"/>
        <v>976.74595199999999</v>
      </c>
      <c r="I255" s="156">
        <f t="shared" si="61"/>
        <v>4.0313899598512616E-3</v>
      </c>
    </row>
    <row r="256" spans="1:9" ht="38.25" x14ac:dyDescent="0.2">
      <c r="A256" s="151" t="s">
        <v>1082</v>
      </c>
      <c r="B256" s="150" t="s">
        <v>72</v>
      </c>
      <c r="C256" s="150" t="s">
        <v>1083</v>
      </c>
      <c r="D256" s="152" t="s">
        <v>1283</v>
      </c>
      <c r="E256" s="170">
        <f>5*0.8*0.8*4</f>
        <v>12.8</v>
      </c>
      <c r="F256" s="154">
        <v>522.47</v>
      </c>
      <c r="G256" s="154">
        <f t="shared" si="62"/>
        <v>649.064481</v>
      </c>
      <c r="H256" s="154">
        <f t="shared" si="63"/>
        <v>8308.0253568000007</v>
      </c>
      <c r="I256" s="156">
        <f t="shared" si="61"/>
        <v>3.4290277774904176E-2</v>
      </c>
    </row>
    <row r="257" spans="1:9" ht="25.5" x14ac:dyDescent="0.2">
      <c r="A257" s="151">
        <v>104486</v>
      </c>
      <c r="B257" s="150" t="s">
        <v>72</v>
      </c>
      <c r="C257" s="150" t="s">
        <v>1329</v>
      </c>
      <c r="D257" s="152" t="s">
        <v>1283</v>
      </c>
      <c r="E257" s="157">
        <f>12*0.8*0.8*1.5</f>
        <v>11.520000000000003</v>
      </c>
      <c r="F257" s="154">
        <v>3307.35</v>
      </c>
      <c r="G257" s="154">
        <f t="shared" si="62"/>
        <v>4108.7209050000001</v>
      </c>
      <c r="H257" s="154">
        <f t="shared" si="63"/>
        <v>47332.464825600015</v>
      </c>
      <c r="I257" s="156">
        <f t="shared" si="61"/>
        <v>0.19535849939507804</v>
      </c>
    </row>
    <row r="258" spans="1:9" ht="63.75" x14ac:dyDescent="0.2">
      <c r="A258" s="151" t="s">
        <v>1085</v>
      </c>
      <c r="B258" s="150" t="s">
        <v>72</v>
      </c>
      <c r="C258" s="150" t="s">
        <v>1086</v>
      </c>
      <c r="D258" s="152" t="s">
        <v>1066</v>
      </c>
      <c r="E258" s="157">
        <f>(3.14*0.25^2/4*E253)/2.83*10</f>
        <v>41.60777385159011</v>
      </c>
      <c r="F258" s="154">
        <v>3.14</v>
      </c>
      <c r="G258" s="154">
        <f t="shared" si="62"/>
        <v>3.9008220000000002</v>
      </c>
      <c r="H258" s="154">
        <f t="shared" si="63"/>
        <v>162.30451961130746</v>
      </c>
      <c r="I258" s="156">
        <f t="shared" si="61"/>
        <v>6.6989047608513369E-4</v>
      </c>
    </row>
    <row r="259" spans="1:9" ht="51" x14ac:dyDescent="0.2">
      <c r="A259" s="151" t="s">
        <v>1088</v>
      </c>
      <c r="B259" s="150" t="s">
        <v>72</v>
      </c>
      <c r="C259" s="150" t="s">
        <v>1089</v>
      </c>
      <c r="D259" s="152" t="s">
        <v>105</v>
      </c>
      <c r="E259" s="157">
        <v>8</v>
      </c>
      <c r="F259" s="154">
        <v>158.09</v>
      </c>
      <c r="G259" s="154">
        <f t="shared" si="62"/>
        <v>196.395207</v>
      </c>
      <c r="H259" s="154">
        <f t="shared" si="63"/>
        <v>1571.161656</v>
      </c>
      <c r="I259" s="156">
        <f t="shared" si="61"/>
        <v>6.4847622990729147E-3</v>
      </c>
    </row>
    <row r="260" spans="1:9" x14ac:dyDescent="0.2">
      <c r="A260" s="146"/>
      <c r="B260" s="146"/>
      <c r="C260" s="146" t="s">
        <v>1041</v>
      </c>
      <c r="D260" s="146"/>
      <c r="E260" s="7"/>
      <c r="F260" s="146"/>
      <c r="G260" s="122"/>
      <c r="H260" s="8">
        <f>SUM(H261:H268)</f>
        <v>139656.68050077505</v>
      </c>
      <c r="I260" s="9">
        <f>SUM(I261:I268)</f>
        <v>0.57641451028709279</v>
      </c>
    </row>
    <row r="261" spans="1:9" ht="25.5" x14ac:dyDescent="0.2">
      <c r="A261" s="151">
        <v>2</v>
      </c>
      <c r="B261" s="150" t="s">
        <v>1286</v>
      </c>
      <c r="C261" s="150" t="s">
        <v>1282</v>
      </c>
      <c r="D261" s="152" t="s">
        <v>1283</v>
      </c>
      <c r="E261" s="157">
        <f>9*5*0.08</f>
        <v>3.6</v>
      </c>
      <c r="F261" s="154">
        <f>COMP!G31</f>
        <v>8702.1899999999987</v>
      </c>
      <c r="G261" s="154">
        <f t="shared" ref="G261:G268" si="64">F261*1.2423</f>
        <v>10810.730636999999</v>
      </c>
      <c r="H261" s="155">
        <f t="shared" ref="H261:H268" si="65">G261*E261</f>
        <v>38918.630293199996</v>
      </c>
      <c r="I261" s="156">
        <f t="shared" si="61"/>
        <v>0.16063150821757349</v>
      </c>
    </row>
    <row r="262" spans="1:9" ht="25.5" x14ac:dyDescent="0.2">
      <c r="A262" s="158">
        <v>3</v>
      </c>
      <c r="B262" s="159" t="s">
        <v>1286</v>
      </c>
      <c r="C262" s="150" t="s">
        <v>1284</v>
      </c>
      <c r="D262" s="160" t="s">
        <v>1283</v>
      </c>
      <c r="E262" s="157">
        <f>9*2*0.2*0.3</f>
        <v>1.08</v>
      </c>
      <c r="F262" s="154">
        <f>F261</f>
        <v>8702.1899999999987</v>
      </c>
      <c r="G262" s="154">
        <f t="shared" si="64"/>
        <v>10810.730636999999</v>
      </c>
      <c r="H262" s="161">
        <f t="shared" si="65"/>
        <v>11675.589087959999</v>
      </c>
      <c r="I262" s="156">
        <f t="shared" si="61"/>
        <v>4.8189452465272051E-2</v>
      </c>
    </row>
    <row r="263" spans="1:9" ht="38.25" x14ac:dyDescent="0.2">
      <c r="A263" s="151">
        <v>4</v>
      </c>
      <c r="B263" s="150" t="s">
        <v>1286</v>
      </c>
      <c r="C263" s="150" t="s">
        <v>1370</v>
      </c>
      <c r="D263" s="152" t="s">
        <v>1283</v>
      </c>
      <c r="E263" s="157">
        <f>4*5*0.2*0.3</f>
        <v>1.2</v>
      </c>
      <c r="F263" s="154">
        <f>F262</f>
        <v>8702.1899999999987</v>
      </c>
      <c r="G263" s="154">
        <f t="shared" si="64"/>
        <v>10810.730636999999</v>
      </c>
      <c r="H263" s="155">
        <f t="shared" si="65"/>
        <v>12972.876764399998</v>
      </c>
      <c r="I263" s="156">
        <f t="shared" si="61"/>
        <v>5.3543836072524498E-2</v>
      </c>
    </row>
    <row r="264" spans="1:9" ht="38.25" x14ac:dyDescent="0.2">
      <c r="A264" s="151">
        <v>4</v>
      </c>
      <c r="B264" s="150" t="s">
        <v>1286</v>
      </c>
      <c r="C264" s="150" t="s">
        <v>1371</v>
      </c>
      <c r="D264" s="152" t="s">
        <v>1283</v>
      </c>
      <c r="E264" s="157">
        <f>60*0.15*0.25</f>
        <v>2.25</v>
      </c>
      <c r="F264" s="154">
        <f>F263</f>
        <v>8702.1899999999987</v>
      </c>
      <c r="G264" s="154">
        <f t="shared" si="64"/>
        <v>10810.730636999999</v>
      </c>
      <c r="H264" s="155">
        <f t="shared" si="65"/>
        <v>24324.143933249998</v>
      </c>
      <c r="I264" s="156">
        <f t="shared" si="61"/>
        <v>0.10039469263598344</v>
      </c>
    </row>
    <row r="265" spans="1:9" ht="25.5" x14ac:dyDescent="0.2">
      <c r="A265" s="151">
        <v>5</v>
      </c>
      <c r="B265" s="150" t="s">
        <v>1286</v>
      </c>
      <c r="C265" s="150" t="s">
        <v>1285</v>
      </c>
      <c r="D265" s="152" t="s">
        <v>1283</v>
      </c>
      <c r="E265" s="157">
        <f>2*9*0.8*0.05</f>
        <v>0.72000000000000008</v>
      </c>
      <c r="F265" s="154">
        <f>COMP!G48</f>
        <v>7541.19</v>
      </c>
      <c r="G265" s="154">
        <f t="shared" si="64"/>
        <v>9368.4203369999996</v>
      </c>
      <c r="H265" s="155">
        <f t="shared" si="65"/>
        <v>6745.2626426400002</v>
      </c>
      <c r="I265" s="156">
        <f t="shared" si="61"/>
        <v>2.7840180999387124E-2</v>
      </c>
    </row>
    <row r="266" spans="1:9" ht="51" x14ac:dyDescent="0.2">
      <c r="A266" s="151" t="s">
        <v>1104</v>
      </c>
      <c r="B266" s="150" t="s">
        <v>32</v>
      </c>
      <c r="C266" s="150" t="s">
        <v>1105</v>
      </c>
      <c r="D266" s="152" t="s">
        <v>1281</v>
      </c>
      <c r="E266" s="157">
        <v>18</v>
      </c>
      <c r="F266" s="154">
        <v>553.78</v>
      </c>
      <c r="G266" s="154">
        <f t="shared" si="64"/>
        <v>687.96089399999994</v>
      </c>
      <c r="H266" s="155">
        <f t="shared" si="65"/>
        <v>12383.296091999999</v>
      </c>
      <c r="I266" s="156">
        <f t="shared" si="61"/>
        <v>5.1110419687876184E-2</v>
      </c>
    </row>
    <row r="267" spans="1:9" ht="25.5" x14ac:dyDescent="0.2">
      <c r="A267" s="162">
        <v>6</v>
      </c>
      <c r="B267" s="150" t="s">
        <v>1286</v>
      </c>
      <c r="C267" s="150" t="s">
        <v>1287</v>
      </c>
      <c r="D267" s="152" t="s">
        <v>1283</v>
      </c>
      <c r="E267" s="157">
        <f>5*12*0.2*0.25</f>
        <v>3</v>
      </c>
      <c r="F267" s="154">
        <f>F264</f>
        <v>8702.1899999999987</v>
      </c>
      <c r="G267" s="154">
        <f t="shared" si="64"/>
        <v>10810.730636999999</v>
      </c>
      <c r="H267" s="155">
        <f t="shared" si="65"/>
        <v>32432.191910999994</v>
      </c>
      <c r="I267" s="156">
        <f t="shared" si="61"/>
        <v>0.13385959018131124</v>
      </c>
    </row>
    <row r="268" spans="1:9" ht="63.75" x14ac:dyDescent="0.2">
      <c r="A268" s="151" t="s">
        <v>1085</v>
      </c>
      <c r="B268" s="150" t="s">
        <v>72</v>
      </c>
      <c r="C268" s="150" t="s">
        <v>1086</v>
      </c>
      <c r="D268" s="152" t="s">
        <v>1066</v>
      </c>
      <c r="E268" s="157">
        <f>10*(E261+E262+E263+E264+E265+E267+30*0.1)/2.83</f>
        <v>52.473498233215544</v>
      </c>
      <c r="F268" s="154">
        <f>F258</f>
        <v>3.14</v>
      </c>
      <c r="G268" s="154">
        <f t="shared" si="64"/>
        <v>3.9008220000000002</v>
      </c>
      <c r="H268" s="155">
        <f t="shared" si="65"/>
        <v>204.68977632508833</v>
      </c>
      <c r="I268" s="156">
        <f t="shared" si="61"/>
        <v>8.4483002716469072E-4</v>
      </c>
    </row>
    <row r="269" spans="1:9" x14ac:dyDescent="0.2">
      <c r="A269" s="126"/>
      <c r="B269" s="126"/>
      <c r="C269" s="126" t="s">
        <v>1043</v>
      </c>
      <c r="D269" s="126"/>
      <c r="E269" s="127"/>
      <c r="F269" s="126"/>
      <c r="G269" s="122"/>
      <c r="H269" s="128">
        <f>H270</f>
        <v>1254.4745399999999</v>
      </c>
      <c r="I269" s="9">
        <f>I270</f>
        <v>5.1776780390946839E-3</v>
      </c>
    </row>
    <row r="270" spans="1:9" ht="25.5" x14ac:dyDescent="0.2">
      <c r="A270" s="151" t="s">
        <v>1101</v>
      </c>
      <c r="B270" s="150" t="s">
        <v>72</v>
      </c>
      <c r="C270" s="150" t="s">
        <v>1102</v>
      </c>
      <c r="D270" s="163" t="s">
        <v>1281</v>
      </c>
      <c r="E270" s="157">
        <v>45</v>
      </c>
      <c r="F270" s="154">
        <v>22.44</v>
      </c>
      <c r="G270" s="154">
        <f t="shared" ref="G270" si="66">F270*1.2423</f>
        <v>27.877212</v>
      </c>
      <c r="H270" s="155">
        <f>G270*E270</f>
        <v>1254.4745399999999</v>
      </c>
      <c r="I270" s="156">
        <f t="shared" si="61"/>
        <v>5.1776780390946839E-3</v>
      </c>
    </row>
    <row r="271" spans="1:9" ht="15" x14ac:dyDescent="0.25">
      <c r="A271" s="145"/>
      <c r="B271" s="145"/>
      <c r="C271" s="145"/>
      <c r="D271" s="145"/>
      <c r="E271" s="145"/>
      <c r="F271" s="145"/>
      <c r="G271" s="123" t="s">
        <v>1277</v>
      </c>
      <c r="H271" s="164">
        <f>H247+H252+H260+H269</f>
        <v>242285.15765714637</v>
      </c>
      <c r="I271" s="168">
        <f>I247+I252+I260+I269</f>
        <v>1.0000000000000002</v>
      </c>
    </row>
  </sheetData>
  <pageMargins left="0.511811024" right="0.511811024" top="0.78740157499999996" bottom="0.78740157499999996" header="0.31496062000000002" footer="0.31496062000000002"/>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abSelected="1" view="pageBreakPreview" zoomScale="110" zoomScaleNormal="100" zoomScaleSheetLayoutView="110" workbookViewId="0">
      <selection activeCell="A7" sqref="A7:I7"/>
    </sheetView>
  </sheetViews>
  <sheetFormatPr defaultColWidth="9" defaultRowHeight="14.25" x14ac:dyDescent="0.2"/>
  <cols>
    <col min="1" max="2" width="10" style="71" bestFit="1" customWidth="1"/>
    <col min="3" max="3" width="60" style="71" bestFit="1" customWidth="1"/>
    <col min="4" max="4" width="24.375" style="71" customWidth="1"/>
    <col min="5" max="5" width="10" style="71" bestFit="1" customWidth="1"/>
    <col min="6" max="6" width="11.25" style="71" bestFit="1" customWidth="1"/>
    <col min="7" max="7" width="13.5" style="71" customWidth="1"/>
    <col min="8" max="8" width="10.5" style="71" bestFit="1" customWidth="1"/>
    <col min="9" max="11" width="15" style="71" bestFit="1" customWidth="1"/>
    <col min="12" max="16384" width="9" style="71"/>
  </cols>
  <sheetData>
    <row r="1" spans="1:9" x14ac:dyDescent="0.2">
      <c r="A1" s="14" t="str">
        <f>'PO-Analítica'!A1</f>
        <v>EMPREENDEDOR: PREFEITURA MUNICIPAL DE CENTRO DO GUILHERME-MA</v>
      </c>
      <c r="B1" s="14"/>
      <c r="C1" s="14"/>
      <c r="D1" s="14"/>
      <c r="E1" s="14"/>
      <c r="F1" s="14"/>
      <c r="G1" s="14"/>
      <c r="H1" s="14"/>
      <c r="I1" s="14"/>
    </row>
    <row r="2" spans="1:9" x14ac:dyDescent="0.2">
      <c r="A2" s="14" t="str">
        <f>'PO-Analítica'!A2</f>
        <v>OBJETO : ESTRADAS VICINAIS-RECUPERAÇÃO</v>
      </c>
      <c r="B2" s="14"/>
      <c r="C2" s="14"/>
      <c r="D2" s="14"/>
      <c r="E2" s="14"/>
      <c r="F2" s="14"/>
      <c r="G2" s="14"/>
      <c r="H2" s="14"/>
      <c r="I2" s="14"/>
    </row>
    <row r="3" spans="1:9" x14ac:dyDescent="0.2">
      <c r="A3" s="14" t="str">
        <f>'PO-Analítica'!A3</f>
        <v>LOCAL:   ESTRADA VICINAL 45 ASSENTAMENTO - CENTRO DO GUILHERME -MA-2,88 KM</v>
      </c>
      <c r="B3" s="14"/>
      <c r="C3" s="14"/>
      <c r="D3" s="14"/>
      <c r="E3" s="14"/>
      <c r="F3" s="14"/>
      <c r="G3" s="14"/>
      <c r="H3" s="14"/>
      <c r="I3" s="14"/>
    </row>
    <row r="4" spans="1:9" x14ac:dyDescent="0.2">
      <c r="A4" s="14"/>
      <c r="B4" s="14"/>
      <c r="C4" s="14"/>
      <c r="D4" s="14"/>
      <c r="E4" s="14"/>
      <c r="F4" s="14"/>
      <c r="G4" s="14"/>
      <c r="H4" s="14"/>
      <c r="I4" s="14"/>
    </row>
    <row r="5" spans="1:9" ht="15" customHeight="1" x14ac:dyDescent="0.2">
      <c r="A5" s="99"/>
      <c r="B5" s="99"/>
      <c r="C5" s="99" t="s">
        <v>0</v>
      </c>
      <c r="D5" s="99"/>
      <c r="E5" s="279"/>
      <c r="F5" s="279"/>
      <c r="G5" s="279"/>
      <c r="H5" s="279"/>
      <c r="I5" s="287"/>
    </row>
    <row r="6" spans="1:9" ht="63.75" customHeight="1" x14ac:dyDescent="0.2">
      <c r="A6" s="102"/>
      <c r="B6" s="102"/>
      <c r="C6" s="102" t="str">
        <f>'Resumo do Orçamento'!B6</f>
        <v>ESTRADAS VICINAIS-RECUPERAÇÃO-2,88 KM</v>
      </c>
      <c r="D6" s="102"/>
      <c r="E6" s="289"/>
      <c r="F6" s="289"/>
      <c r="G6" s="289"/>
      <c r="H6" s="289"/>
      <c r="I6" s="287"/>
    </row>
    <row r="7" spans="1:9" ht="15" customHeight="1" x14ac:dyDescent="0.25">
      <c r="A7" s="285" t="s">
        <v>1033</v>
      </c>
      <c r="B7" s="287"/>
      <c r="C7" s="287"/>
      <c r="D7" s="287"/>
      <c r="E7" s="287"/>
      <c r="F7" s="287"/>
      <c r="G7" s="287"/>
      <c r="H7" s="287"/>
      <c r="I7" s="287"/>
    </row>
    <row r="8" spans="1:9" ht="30" x14ac:dyDescent="0.2">
      <c r="A8" s="112" t="s">
        <v>24</v>
      </c>
      <c r="B8" s="103" t="s">
        <v>25</v>
      </c>
      <c r="C8" s="103" t="s">
        <v>10</v>
      </c>
      <c r="D8" s="120" t="s">
        <v>1278</v>
      </c>
      <c r="E8" s="119" t="s">
        <v>27</v>
      </c>
      <c r="F8" s="119" t="s">
        <v>1034</v>
      </c>
      <c r="G8" s="112" t="s">
        <v>11</v>
      </c>
      <c r="H8" s="112" t="s">
        <v>12</v>
      </c>
      <c r="I8" s="112" t="s">
        <v>1035</v>
      </c>
    </row>
    <row r="9" spans="1:9" ht="38.25" x14ac:dyDescent="0.2">
      <c r="A9" s="151">
        <v>102740</v>
      </c>
      <c r="B9" s="150" t="s">
        <v>72</v>
      </c>
      <c r="C9" s="150" t="s">
        <v>1392</v>
      </c>
      <c r="D9" s="152" t="s">
        <v>39</v>
      </c>
      <c r="E9" s="241">
        <v>46</v>
      </c>
      <c r="F9" s="153">
        <f>'PO-Sintético'!H27</f>
        <v>6789.877610999999</v>
      </c>
      <c r="G9" s="255">
        <f t="shared" ref="G9:G15" si="0">E9*F9</f>
        <v>312334.37010599993</v>
      </c>
      <c r="H9" s="256">
        <f t="shared" ref="H9:H15" si="1">G9/$G$16</f>
        <v>0.45114868309963913</v>
      </c>
      <c r="I9" s="257">
        <f>H9</f>
        <v>0.45114868309963913</v>
      </c>
    </row>
    <row r="10" spans="1:9" s="140" customFormat="1" ht="25.5" x14ac:dyDescent="0.2">
      <c r="A10" s="151">
        <v>93589</v>
      </c>
      <c r="B10" s="150" t="s">
        <v>72</v>
      </c>
      <c r="C10" s="150" t="s">
        <v>1054</v>
      </c>
      <c r="D10" s="152" t="s">
        <v>1055</v>
      </c>
      <c r="E10" s="241">
        <f>'PO-Sintético'!F21*2</f>
        <v>44928</v>
      </c>
      <c r="F10" s="153">
        <f>'PO-Sintético'!H24</f>
        <v>3.3666329999999998</v>
      </c>
      <c r="G10" s="255">
        <f t="shared" si="0"/>
        <v>151256.087424</v>
      </c>
      <c r="H10" s="256">
        <f t="shared" si="1"/>
        <v>0.21848054899940267</v>
      </c>
      <c r="I10" s="257">
        <f>H10+I9</f>
        <v>0.66962923209904179</v>
      </c>
    </row>
    <row r="11" spans="1:9" ht="63.75" x14ac:dyDescent="0.2">
      <c r="A11" s="151" t="s">
        <v>1334</v>
      </c>
      <c r="B11" s="150" t="s">
        <v>72</v>
      </c>
      <c r="C11" s="150" t="s">
        <v>1333</v>
      </c>
      <c r="D11" s="152" t="s">
        <v>1283</v>
      </c>
      <c r="E11" s="241">
        <f>'PO-Sintético'!F20*2</f>
        <v>6912</v>
      </c>
      <c r="F11" s="153">
        <f>'PO-Sintético'!H23</f>
        <v>13.590762</v>
      </c>
      <c r="G11" s="255">
        <f t="shared" si="0"/>
        <v>93939.346944000004</v>
      </c>
      <c r="H11" s="256">
        <f t="shared" si="1"/>
        <v>0.13568987828858731</v>
      </c>
      <c r="I11" s="257">
        <f t="shared" ref="I11:I15" si="2">H11+I10</f>
        <v>0.80531911038762916</v>
      </c>
    </row>
    <row r="12" spans="1:9" s="268" customFormat="1" x14ac:dyDescent="0.2">
      <c r="A12" s="151">
        <v>9</v>
      </c>
      <c r="B12" s="150" t="s">
        <v>1286</v>
      </c>
      <c r="C12" s="150" t="s">
        <v>1343</v>
      </c>
      <c r="D12" s="152" t="s">
        <v>121</v>
      </c>
      <c r="E12" s="241">
        <v>120</v>
      </c>
      <c r="F12" s="153">
        <f>'PO-Sintético'!H29</f>
        <v>681.04128300000002</v>
      </c>
      <c r="G12" s="255">
        <f t="shared" si="0"/>
        <v>81724.953959999999</v>
      </c>
      <c r="H12" s="256">
        <f t="shared" si="1"/>
        <v>0.11804690384513133</v>
      </c>
      <c r="I12" s="257">
        <f t="shared" si="2"/>
        <v>0.92336601423276043</v>
      </c>
    </row>
    <row r="13" spans="1:9" s="268" customFormat="1" ht="51" x14ac:dyDescent="0.2">
      <c r="A13" s="151" t="s">
        <v>1340</v>
      </c>
      <c r="B13" s="150" t="s">
        <v>72</v>
      </c>
      <c r="C13" s="150" t="s">
        <v>1341</v>
      </c>
      <c r="D13" s="152" t="s">
        <v>1283</v>
      </c>
      <c r="E13" s="241">
        <f>'PO-Sintético'!F25</f>
        <v>3456</v>
      </c>
      <c r="F13" s="153">
        <f>'PO-Sintético'!H25</f>
        <v>14.78337</v>
      </c>
      <c r="G13" s="255">
        <f t="shared" si="0"/>
        <v>51091.326719999997</v>
      </c>
      <c r="H13" s="256">
        <f t="shared" si="1"/>
        <v>7.3798425577430937E-2</v>
      </c>
      <c r="I13" s="257">
        <f t="shared" si="2"/>
        <v>0.99716443981019132</v>
      </c>
    </row>
    <row r="14" spans="1:9" s="269" customFormat="1" x14ac:dyDescent="0.2">
      <c r="A14" s="151">
        <v>99064</v>
      </c>
      <c r="B14" s="150" t="s">
        <v>72</v>
      </c>
      <c r="C14" s="150" t="s">
        <v>1335</v>
      </c>
      <c r="D14" s="152" t="s">
        <v>121</v>
      </c>
      <c r="E14" s="241">
        <f>'PO-Sintético'!F19</f>
        <v>2880</v>
      </c>
      <c r="F14" s="255">
        <f>'PO-Sintético'!H19</f>
        <v>0.53418900000000002</v>
      </c>
      <c r="G14" s="255">
        <f t="shared" si="0"/>
        <v>1538.46432</v>
      </c>
      <c r="H14" s="256">
        <f t="shared" si="1"/>
        <v>2.2222214984800631E-3</v>
      </c>
      <c r="I14" s="257">
        <f t="shared" si="2"/>
        <v>0.99938666130867138</v>
      </c>
    </row>
    <row r="15" spans="1:9" s="147" customFormat="1" ht="25.5" x14ac:dyDescent="0.2">
      <c r="A15" s="151" t="s">
        <v>1394</v>
      </c>
      <c r="B15" s="150" t="s">
        <v>1073</v>
      </c>
      <c r="C15" s="150" t="s">
        <v>1395</v>
      </c>
      <c r="D15" s="152" t="s">
        <v>121</v>
      </c>
      <c r="E15" s="241">
        <v>18</v>
      </c>
      <c r="F15" s="153">
        <v>23.59</v>
      </c>
      <c r="G15" s="255">
        <f t="shared" si="0"/>
        <v>424.62</v>
      </c>
      <c r="H15" s="256">
        <f t="shared" si="1"/>
        <v>6.1333869132863892E-4</v>
      </c>
      <c r="I15" s="257">
        <f t="shared" si="2"/>
        <v>1</v>
      </c>
    </row>
    <row r="16" spans="1:9" x14ac:dyDescent="0.2">
      <c r="A16" s="10"/>
      <c r="B16" s="109"/>
      <c r="C16" s="109"/>
      <c r="D16" s="109"/>
      <c r="E16" s="11"/>
      <c r="F16" s="71" t="s">
        <v>1277</v>
      </c>
      <c r="G16" s="240">
        <f>SUM(G9:G15)</f>
        <v>692309.16947399988</v>
      </c>
      <c r="H16" s="136">
        <f>SUM(H9:H15)</f>
        <v>1</v>
      </c>
      <c r="I16" s="121"/>
    </row>
    <row r="17" spans="1:9" x14ac:dyDescent="0.2">
      <c r="A17" s="10"/>
      <c r="B17" s="109"/>
      <c r="C17" s="109"/>
      <c r="D17" s="109"/>
      <c r="E17" s="11"/>
      <c r="F17" s="10"/>
      <c r="G17" s="12"/>
      <c r="H17" s="10"/>
      <c r="I17" s="10"/>
    </row>
    <row r="18" spans="1:9" x14ac:dyDescent="0.2">
      <c r="A18" s="10"/>
      <c r="B18" s="109"/>
      <c r="C18" s="109"/>
      <c r="D18" s="109"/>
      <c r="E18" s="11"/>
      <c r="F18" s="10"/>
      <c r="G18" s="12"/>
      <c r="H18" s="10"/>
      <c r="I18" s="10"/>
    </row>
    <row r="19" spans="1:9" x14ac:dyDescent="0.2">
      <c r="A19" s="114"/>
      <c r="B19" s="114"/>
      <c r="C19" s="114"/>
      <c r="D19" s="114"/>
      <c r="E19" s="114">
        <f>SUBTOTAL(9,E9:E18)</f>
        <v>58360</v>
      </c>
      <c r="F19" s="114"/>
      <c r="G19" s="139">
        <f>'Resumo do Orçamento'!G17-'Curva ABC Serviços'!G16</f>
        <v>104682.64115443151</v>
      </c>
      <c r="H19" s="114"/>
      <c r="I19" s="114"/>
    </row>
    <row r="20" spans="1:9" ht="14.1" customHeight="1" x14ac:dyDescent="0.2">
      <c r="A20" s="292"/>
      <c r="B20" s="292"/>
      <c r="C20" s="292"/>
      <c r="D20" s="13"/>
      <c r="E20" s="104"/>
      <c r="F20" s="117"/>
      <c r="G20" s="293"/>
      <c r="H20" s="292"/>
      <c r="I20" s="292"/>
    </row>
    <row r="21" spans="1:9" ht="14.25" customHeight="1" x14ac:dyDescent="0.2">
      <c r="A21" s="292"/>
      <c r="B21" s="292"/>
      <c r="C21" s="292"/>
      <c r="D21" s="13"/>
      <c r="E21" s="104"/>
      <c r="F21" s="117"/>
      <c r="G21" s="293"/>
      <c r="H21" s="292"/>
      <c r="I21" s="292"/>
    </row>
    <row r="22" spans="1:9" ht="14.25" customHeight="1" x14ac:dyDescent="0.2">
      <c r="A22" s="292"/>
      <c r="B22" s="292"/>
      <c r="C22" s="292"/>
      <c r="D22" s="13"/>
      <c r="E22" s="104"/>
      <c r="F22" s="117"/>
      <c r="G22" s="293"/>
      <c r="H22" s="292"/>
      <c r="I22" s="292"/>
    </row>
    <row r="23" spans="1:9" x14ac:dyDescent="0.2">
      <c r="A23" s="294"/>
      <c r="B23" s="295"/>
      <c r="C23" s="295"/>
      <c r="D23" s="295"/>
      <c r="E23" s="295"/>
      <c r="F23" s="295"/>
      <c r="G23" s="295"/>
      <c r="H23" s="295"/>
      <c r="I23" s="296"/>
    </row>
    <row r="24" spans="1:9" ht="14.25" customHeight="1" x14ac:dyDescent="0.2">
      <c r="A24" s="294" t="e">
        <f t="array" aca="1" ref="A24" ca="1">UPPER([2]!VExtenso(G22))</f>
        <v>#NAME?</v>
      </c>
      <c r="B24" s="295"/>
      <c r="C24" s="295"/>
      <c r="D24" s="295"/>
      <c r="E24" s="295"/>
      <c r="F24" s="295"/>
      <c r="G24" s="295"/>
      <c r="H24" s="295"/>
      <c r="I24" s="296"/>
    </row>
  </sheetData>
  <autoFilter ref="A8:I18">
    <sortState ref="A9:I30">
      <sortCondition descending="1" ref="G9:G30"/>
    </sortState>
  </autoFilter>
  <sortState ref="A9:I15">
    <sortCondition descending="1" ref="G9:G15"/>
  </sortState>
  <mergeCells count="13">
    <mergeCell ref="A23:I23"/>
    <mergeCell ref="A24:I24"/>
    <mergeCell ref="A21:C21"/>
    <mergeCell ref="G21:I21"/>
    <mergeCell ref="A22:C22"/>
    <mergeCell ref="G22:I22"/>
    <mergeCell ref="A20:C20"/>
    <mergeCell ref="G20:I20"/>
    <mergeCell ref="E5:F5"/>
    <mergeCell ref="G5:I5"/>
    <mergeCell ref="E6:F6"/>
    <mergeCell ref="G6:I6"/>
    <mergeCell ref="A7:I7"/>
  </mergeCells>
  <pageMargins left="0.51181102362204722" right="0.51181102362204722" top="1.6535433070866143" bottom="0.78740157480314965" header="0.31496062992125984" footer="0.31496062992125984"/>
  <pageSetup paperSize="9" scale="47" orientation="portrait" r:id="rId1"/>
  <headerFooter>
    <oddHeader>&amp;L&amp;G&amp;R]</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view="pageBreakPreview" zoomScale="120" zoomScaleNormal="100" zoomScaleSheetLayoutView="120" workbookViewId="0">
      <selection activeCell="A7" sqref="A7:I7"/>
    </sheetView>
  </sheetViews>
  <sheetFormatPr defaultColWidth="9" defaultRowHeight="14.25" x14ac:dyDescent="0.2"/>
  <cols>
    <col min="1" max="1" width="20" style="5" bestFit="1" customWidth="1"/>
    <col min="2" max="2" width="60" style="5" bestFit="1" customWidth="1"/>
    <col min="3" max="3" width="24.375" style="5" customWidth="1"/>
    <col min="4" max="6" width="12" style="5" bestFit="1" customWidth="1"/>
    <col min="7" max="7" width="12" style="147" customWidth="1"/>
    <col min="8" max="8" width="13" style="5" bestFit="1" customWidth="1"/>
    <col min="9" max="30" width="12" style="5" bestFit="1" customWidth="1"/>
    <col min="31" max="16384" width="9" style="5"/>
  </cols>
  <sheetData>
    <row r="1" spans="1:8" x14ac:dyDescent="0.2">
      <c r="A1" s="14" t="str">
        <f>'PO-Analítica'!A1</f>
        <v>EMPREENDEDOR: PREFEITURA MUNICIPAL DE CENTRO DO GUILHERME-MA</v>
      </c>
      <c r="B1" s="14"/>
      <c r="C1" s="14"/>
      <c r="D1" s="14"/>
      <c r="E1" s="14"/>
      <c r="F1" s="14"/>
      <c r="G1" s="14"/>
    </row>
    <row r="2" spans="1:8" x14ac:dyDescent="0.2">
      <c r="A2" s="14" t="str">
        <f>'PO-Analítica'!A2</f>
        <v>OBJETO : ESTRADAS VICINAIS-RECUPERAÇÃO</v>
      </c>
      <c r="B2" s="14"/>
      <c r="C2" s="14"/>
      <c r="D2" s="14"/>
      <c r="E2" s="14"/>
      <c r="F2" s="14"/>
      <c r="G2" s="14"/>
    </row>
    <row r="3" spans="1:8" x14ac:dyDescent="0.2">
      <c r="A3" s="14" t="str">
        <f>'PO-Analítica'!A3</f>
        <v>LOCAL:   ESTRADA VICINAL 45 ASSENTAMENTO - CENTRO DO GUILHERME -MA-2,88 KM</v>
      </c>
      <c r="B3" s="14"/>
      <c r="C3" s="14"/>
      <c r="D3" s="14"/>
      <c r="E3" s="14"/>
      <c r="F3" s="14"/>
      <c r="G3" s="14"/>
    </row>
    <row r="4" spans="1:8" x14ac:dyDescent="0.2">
      <c r="B4" s="14"/>
      <c r="C4" s="14"/>
      <c r="D4" s="14"/>
      <c r="E4" s="14"/>
      <c r="F4" s="14"/>
      <c r="G4" s="14"/>
    </row>
    <row r="5" spans="1:8" s="86" customFormat="1" ht="15" x14ac:dyDescent="0.2">
      <c r="A5" s="88"/>
      <c r="B5" s="88" t="s">
        <v>0</v>
      </c>
      <c r="C5" s="88" t="s">
        <v>1</v>
      </c>
      <c r="D5" s="279" t="s">
        <v>2</v>
      </c>
      <c r="E5" s="279"/>
      <c r="F5" s="279" t="s">
        <v>3</v>
      </c>
      <c r="G5" s="279"/>
    </row>
    <row r="6" spans="1:8" s="86" customFormat="1" ht="51" x14ac:dyDescent="0.2">
      <c r="A6" s="87"/>
      <c r="B6" s="87" t="str">
        <f>'Resumo do Orçamento'!B6</f>
        <v>ESTRADAS VICINAIS-RECUPERAÇÃO-2,88 KM</v>
      </c>
      <c r="C6" s="87" t="str">
        <f>'Resumo do Orçamento'!C6</f>
        <v xml:space="preserve">SINAPI - 10/2023 - Maranhão
ORSE 10/2023 - Sergipe
SEINFRA - 027 - Ceará
</v>
      </c>
      <c r="D6" s="289" t="s">
        <v>6</v>
      </c>
      <c r="E6" s="289"/>
      <c r="F6" s="289" t="s">
        <v>1377</v>
      </c>
      <c r="G6" s="289"/>
    </row>
    <row r="7" spans="1:8" s="86" customFormat="1" ht="15" x14ac:dyDescent="0.25">
      <c r="A7" s="285" t="s">
        <v>174</v>
      </c>
      <c r="B7" s="287"/>
      <c r="C7" s="287"/>
      <c r="D7" s="287"/>
      <c r="E7" s="287"/>
      <c r="F7" s="287"/>
      <c r="G7" s="287"/>
    </row>
    <row r="8" spans="1:8" s="86" customFormat="1" ht="15" x14ac:dyDescent="0.2">
      <c r="A8" s="90" t="s">
        <v>9</v>
      </c>
      <c r="B8" s="90" t="s">
        <v>10</v>
      </c>
      <c r="C8" s="112" t="s">
        <v>175</v>
      </c>
      <c r="D8" s="149" t="s">
        <v>176</v>
      </c>
      <c r="E8" s="149" t="s">
        <v>1374</v>
      </c>
      <c r="F8" s="149" t="s">
        <v>1375</v>
      </c>
      <c r="G8" s="149" t="s">
        <v>1376</v>
      </c>
      <c r="H8" s="242" t="s">
        <v>1277</v>
      </c>
    </row>
    <row r="9" spans="1:8" s="86" customFormat="1" x14ac:dyDescent="0.2">
      <c r="A9" s="89" t="s">
        <v>13</v>
      </c>
      <c r="B9" s="89" t="s">
        <v>14</v>
      </c>
      <c r="C9" s="8">
        <f>'PO-Sintético'!I9</f>
        <v>58748.078748431421</v>
      </c>
      <c r="D9" s="8">
        <f>C9</f>
        <v>58748.078748431421</v>
      </c>
      <c r="E9" s="7"/>
      <c r="F9" s="7"/>
      <c r="G9" s="238"/>
      <c r="H9" s="243">
        <f t="shared" ref="H9:H14" si="0">SUM(D9:G9)</f>
        <v>58748.078748431421</v>
      </c>
    </row>
    <row r="10" spans="1:8" s="86" customFormat="1" x14ac:dyDescent="0.2">
      <c r="A10" s="89" t="s">
        <v>15</v>
      </c>
      <c r="B10" s="89" t="s">
        <v>16</v>
      </c>
      <c r="C10" s="8">
        <f>'PO-Sintético'!I13</f>
        <v>45934.539420000001</v>
      </c>
      <c r="D10" s="125">
        <f>$C$10/4</f>
        <v>11483.634855</v>
      </c>
      <c r="E10" s="125">
        <f t="shared" ref="E10:G10" si="1">$C$10/4</f>
        <v>11483.634855</v>
      </c>
      <c r="F10" s="125">
        <f t="shared" si="1"/>
        <v>11483.634855</v>
      </c>
      <c r="G10" s="125">
        <f t="shared" si="1"/>
        <v>11483.634855</v>
      </c>
      <c r="H10" s="243">
        <f t="shared" si="0"/>
        <v>45934.539420000001</v>
      </c>
    </row>
    <row r="11" spans="1:8" s="147" customFormat="1" x14ac:dyDescent="0.2">
      <c r="A11" s="236">
        <v>3</v>
      </c>
      <c r="B11" s="148" t="str">
        <f>'Resumo do Orçamento'!B11:G11</f>
        <v>REVESTIMENTO PRIMARIO</v>
      </c>
      <c r="C11" s="8">
        <f>'PO-Sintético'!I18</f>
        <v>124136.18150400001</v>
      </c>
      <c r="D11" s="125">
        <f>$C$11/4</f>
        <v>31034.045376000002</v>
      </c>
      <c r="E11" s="125">
        <f t="shared" ref="E11:G11" si="2">$C$11/4</f>
        <v>31034.045376000002</v>
      </c>
      <c r="F11" s="125">
        <f t="shared" si="2"/>
        <v>31034.045376000002</v>
      </c>
      <c r="G11" s="125">
        <f t="shared" si="2"/>
        <v>31034.045376000002</v>
      </c>
      <c r="H11" s="243">
        <f t="shared" si="0"/>
        <v>124136.18150400001</v>
      </c>
    </row>
    <row r="12" spans="1:8" s="260" customFormat="1" x14ac:dyDescent="0.2">
      <c r="A12" s="236">
        <v>4</v>
      </c>
      <c r="B12" s="236" t="str">
        <f>'PO-Sintético'!D22</f>
        <v>TERRAPLENAGEM</v>
      </c>
      <c r="C12" s="237">
        <f>'PO-Sintético'!I22</f>
        <v>173689.04390400002</v>
      </c>
      <c r="D12" s="125">
        <f>$C$12/4</f>
        <v>43422.260976000005</v>
      </c>
      <c r="E12" s="125">
        <f t="shared" ref="E12:G12" si="3">$C$12/4</f>
        <v>43422.260976000005</v>
      </c>
      <c r="F12" s="125">
        <f t="shared" si="3"/>
        <v>43422.260976000005</v>
      </c>
      <c r="G12" s="125">
        <f t="shared" si="3"/>
        <v>43422.260976000005</v>
      </c>
      <c r="H12" s="243">
        <f t="shared" si="0"/>
        <v>173689.04390400002</v>
      </c>
    </row>
    <row r="13" spans="1:8" s="260" customFormat="1" x14ac:dyDescent="0.2">
      <c r="A13" s="236">
        <v>5</v>
      </c>
      <c r="B13" s="236" t="str">
        <f>'PO-Sintético'!D26</f>
        <v>OBRAS DE ARTE CORRENTE</v>
      </c>
      <c r="C13" s="237">
        <f>'PO-Sintético'!I26</f>
        <v>394483.96705199993</v>
      </c>
      <c r="D13" s="125">
        <f>$C$13/4</f>
        <v>98620.991762999984</v>
      </c>
      <c r="E13" s="125">
        <f t="shared" ref="E13:G13" si="4">$C$13/4</f>
        <v>98620.991762999984</v>
      </c>
      <c r="F13" s="125">
        <f t="shared" si="4"/>
        <v>98620.991762999984</v>
      </c>
      <c r="G13" s="125">
        <f t="shared" si="4"/>
        <v>98620.991762999984</v>
      </c>
      <c r="H13" s="243">
        <f t="shared" si="0"/>
        <v>394483.96705199993</v>
      </c>
    </row>
    <row r="14" spans="1:8" s="147" customFormat="1" x14ac:dyDescent="0.2">
      <c r="A14" s="236"/>
      <c r="B14" s="236" t="s">
        <v>1277</v>
      </c>
      <c r="C14" s="237">
        <f>SUM(C9:C13)</f>
        <v>796991.81062843138</v>
      </c>
      <c r="D14" s="237">
        <f>SUM(D9:D13)</f>
        <v>243309.01171843137</v>
      </c>
      <c r="E14" s="237">
        <f t="shared" ref="E14:G14" si="5">SUM(E9:E13)</f>
        <v>184560.93296999999</v>
      </c>
      <c r="F14" s="237">
        <f t="shared" si="5"/>
        <v>184560.93296999999</v>
      </c>
      <c r="G14" s="237">
        <f t="shared" si="5"/>
        <v>184560.93296999999</v>
      </c>
      <c r="H14" s="243">
        <f t="shared" si="0"/>
        <v>796991.81062843127</v>
      </c>
    </row>
    <row r="15" spans="1:8" x14ac:dyDescent="0.2">
      <c r="A15" s="244"/>
      <c r="B15" s="244"/>
      <c r="C15" s="244" t="s">
        <v>1378</v>
      </c>
      <c r="D15" s="245">
        <f>D14/$C$14</f>
        <v>0.30528420552600311</v>
      </c>
      <c r="E15" s="245">
        <f t="shared" ref="E15:G15" si="6">E14/$C$14</f>
        <v>0.23157193149133229</v>
      </c>
      <c r="F15" s="245">
        <f t="shared" si="6"/>
        <v>0.23157193149133229</v>
      </c>
      <c r="G15" s="245">
        <f t="shared" si="6"/>
        <v>0.23157193149133229</v>
      </c>
      <c r="H15" s="243"/>
    </row>
    <row r="16" spans="1:8" x14ac:dyDescent="0.2">
      <c r="A16" s="246"/>
      <c r="B16" s="246"/>
      <c r="C16" s="244" t="s">
        <v>1379</v>
      </c>
      <c r="D16" s="249">
        <f>D15</f>
        <v>0.30528420552600311</v>
      </c>
      <c r="E16" s="249">
        <f>D16+E15</f>
        <v>0.53685613701733537</v>
      </c>
      <c r="F16" s="249">
        <f>F15+E16</f>
        <v>0.76842806850866763</v>
      </c>
      <c r="G16" s="250">
        <f>G15+F16</f>
        <v>0.99999999999999989</v>
      </c>
    </row>
    <row r="17" spans="1:7" ht="14.25" customHeight="1" x14ac:dyDescent="0.2">
      <c r="A17" s="246"/>
      <c r="B17" s="246"/>
      <c r="C17" s="246" t="s">
        <v>1380</v>
      </c>
      <c r="D17" s="247">
        <f>D14</f>
        <v>243309.01171843137</v>
      </c>
      <c r="E17" s="247">
        <f>E14+D17</f>
        <v>427869.94468843134</v>
      </c>
      <c r="F17" s="247">
        <f>F14+E17</f>
        <v>612430.8776584313</v>
      </c>
      <c r="G17" s="248">
        <f>G14+F17</f>
        <v>796991.81062843127</v>
      </c>
    </row>
    <row r="18" spans="1:7" x14ac:dyDescent="0.2">
      <c r="A18" s="298"/>
      <c r="B18" s="298"/>
      <c r="C18" s="298"/>
      <c r="D18" s="298"/>
      <c r="E18" s="298"/>
      <c r="F18" s="298"/>
      <c r="G18" s="239"/>
    </row>
    <row r="19" spans="1:7" x14ac:dyDescent="0.2">
      <c r="A19" s="297"/>
      <c r="B19" s="297"/>
      <c r="C19" s="297"/>
      <c r="D19" s="297"/>
      <c r="E19" s="297"/>
      <c r="F19" s="297"/>
      <c r="G19" s="297"/>
    </row>
    <row r="20" spans="1:7" x14ac:dyDescent="0.2">
      <c r="A20" s="297"/>
      <c r="B20" s="297"/>
      <c r="C20" s="297"/>
      <c r="D20" s="297"/>
      <c r="E20" s="297"/>
      <c r="F20" s="297"/>
      <c r="G20" s="297"/>
    </row>
    <row r="21" spans="1:7" x14ac:dyDescent="0.2">
      <c r="A21" s="297"/>
      <c r="B21" s="297"/>
      <c r="C21" s="297"/>
      <c r="D21" s="297"/>
      <c r="E21" s="297"/>
      <c r="F21" s="297"/>
      <c r="G21" s="297"/>
    </row>
    <row r="22" spans="1:7" x14ac:dyDescent="0.2">
      <c r="A22" s="14"/>
      <c r="B22" s="14"/>
      <c r="C22" s="14"/>
      <c r="D22" s="14"/>
      <c r="E22" s="14"/>
      <c r="F22" s="14"/>
      <c r="G22" s="14"/>
    </row>
    <row r="23" spans="1:7" x14ac:dyDescent="0.2">
      <c r="A23" s="14"/>
      <c r="B23" s="14"/>
      <c r="C23" s="14"/>
      <c r="D23" s="14"/>
      <c r="E23" s="14"/>
      <c r="F23" s="14"/>
      <c r="G23" s="14"/>
    </row>
  </sheetData>
  <mergeCells count="9">
    <mergeCell ref="A20:G20"/>
    <mergeCell ref="A21:G21"/>
    <mergeCell ref="A19:G19"/>
    <mergeCell ref="A18:F18"/>
    <mergeCell ref="D5:E5"/>
    <mergeCell ref="F5:G5"/>
    <mergeCell ref="D6:E6"/>
    <mergeCell ref="F6:G6"/>
    <mergeCell ref="A7:G7"/>
  </mergeCells>
  <pageMargins left="0.51181102362204722" right="0.51181102362204722" top="1.5748031496062993" bottom="0.78740157480314965" header="0.31496062992125984" footer="0.31496062992125984"/>
  <pageSetup paperSize="9" scale="43"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abSelected="1" view="pageBreakPreview" topLeftCell="A4" zoomScaleNormal="100" zoomScaleSheetLayoutView="100" workbookViewId="0">
      <selection activeCell="A7" sqref="A7:I7"/>
    </sheetView>
  </sheetViews>
  <sheetFormatPr defaultColWidth="9" defaultRowHeight="14.25" x14ac:dyDescent="0.2"/>
  <cols>
    <col min="1" max="1" width="140.75" style="93" customWidth="1"/>
    <col min="2" max="2" width="23.25" style="93" customWidth="1"/>
    <col min="3" max="3" width="17.25" style="93" hidden="1" customWidth="1"/>
    <col min="4" max="4" width="19.625" style="93" bestFit="1" customWidth="1"/>
    <col min="5" max="5" width="16.5" style="93" bestFit="1" customWidth="1"/>
    <col min="6" max="6" width="11.625" style="93" customWidth="1"/>
    <col min="7" max="7" width="9.25" style="93" bestFit="1" customWidth="1"/>
    <col min="8" max="8" width="10.5" style="93" bestFit="1" customWidth="1"/>
    <col min="9" max="9" width="9.75" style="93" bestFit="1" customWidth="1"/>
    <col min="10" max="16384" width="9" style="93"/>
  </cols>
  <sheetData>
    <row r="1" spans="1:9" x14ac:dyDescent="0.2">
      <c r="A1" s="96" t="str">
        <f>'PO-Sintético'!$A$1</f>
        <v>EMPREENDEDOR: PREFEITURA MUNICIPAL DE CENTRO DO GUILHERME-MA</v>
      </c>
      <c r="B1" s="97"/>
      <c r="C1" s="98"/>
      <c r="D1" s="98"/>
      <c r="E1" s="98"/>
      <c r="F1" s="98"/>
      <c r="G1" s="98"/>
      <c r="H1" s="98"/>
      <c r="I1" s="98"/>
    </row>
    <row r="2" spans="1:9" x14ac:dyDescent="0.2">
      <c r="A2" s="96" t="str">
        <f>'PO-Sintético'!$A$2</f>
        <v>OBJETO : ESTRADAS VICINAIS-RECUPERAÇÃO</v>
      </c>
      <c r="B2" s="97"/>
      <c r="C2" s="98"/>
      <c r="D2" s="98"/>
      <c r="E2" s="98"/>
      <c r="F2" s="98"/>
      <c r="G2" s="98"/>
      <c r="H2" s="98"/>
      <c r="I2" s="98"/>
    </row>
    <row r="3" spans="1:9" x14ac:dyDescent="0.2">
      <c r="A3" s="96" t="str">
        <f>'PO-Sintético'!$A$3</f>
        <v>LOCAL:   ESTRADA VICINAL 45 ASSENTAMENTO - CENTRO DO GUILHERME -MA-2,88 KM</v>
      </c>
      <c r="B3" s="97"/>
      <c r="C3" s="98"/>
      <c r="D3" s="98"/>
      <c r="E3" s="98"/>
      <c r="F3" s="98"/>
      <c r="G3" s="98"/>
      <c r="H3" s="98"/>
      <c r="I3" s="98"/>
    </row>
    <row r="4" spans="1:9" x14ac:dyDescent="0.2">
      <c r="A4" s="96"/>
      <c r="B4" s="97"/>
      <c r="C4" s="98"/>
      <c r="D4" s="98"/>
      <c r="E4" s="98"/>
      <c r="F4" s="98"/>
      <c r="G4" s="98"/>
      <c r="H4" s="98"/>
      <c r="I4" s="98"/>
    </row>
    <row r="5" spans="1:9" x14ac:dyDescent="0.2">
      <c r="A5" s="96"/>
      <c r="B5" s="97"/>
      <c r="C5" s="98"/>
      <c r="D5" s="98"/>
      <c r="E5" s="98"/>
      <c r="F5" s="98"/>
      <c r="G5" s="98"/>
      <c r="H5" s="98"/>
      <c r="I5" s="98"/>
    </row>
    <row r="6" spans="1:9" ht="18.75" customHeight="1" x14ac:dyDescent="0.2">
      <c r="A6" s="96" t="s">
        <v>1328</v>
      </c>
      <c r="B6" s="97"/>
      <c r="C6" s="98"/>
      <c r="D6" s="98"/>
      <c r="E6" s="98"/>
      <c r="F6" s="98"/>
      <c r="G6" s="98"/>
      <c r="H6" s="98"/>
      <c r="I6" s="98"/>
    </row>
    <row r="7" spans="1:9" ht="15" x14ac:dyDescent="0.25">
      <c r="A7" s="132" t="s">
        <v>10</v>
      </c>
      <c r="B7" s="133" t="s">
        <v>26</v>
      </c>
      <c r="C7" s="134" t="s">
        <v>27</v>
      </c>
      <c r="D7" s="124" t="s">
        <v>1327</v>
      </c>
    </row>
    <row r="8" spans="1:9" ht="15" x14ac:dyDescent="0.25">
      <c r="A8" s="126"/>
      <c r="B8" s="126"/>
      <c r="C8" s="127"/>
      <c r="D8" s="123"/>
    </row>
    <row r="9" spans="1:9" x14ac:dyDescent="0.2">
      <c r="A9" s="258" t="s">
        <v>14</v>
      </c>
      <c r="B9" s="258"/>
      <c r="C9" s="258"/>
      <c r="D9" s="258"/>
    </row>
    <row r="10" spans="1:9" x14ac:dyDescent="0.2">
      <c r="A10" s="150" t="s">
        <v>33</v>
      </c>
      <c r="B10" s="152" t="s">
        <v>34</v>
      </c>
      <c r="C10" s="153">
        <v>6</v>
      </c>
      <c r="D10" s="153">
        <v>6</v>
      </c>
    </row>
    <row r="11" spans="1:9" x14ac:dyDescent="0.2">
      <c r="A11" s="150" t="s">
        <v>1058</v>
      </c>
      <c r="B11" s="152" t="s">
        <v>1281</v>
      </c>
      <c r="C11" s="153">
        <v>20</v>
      </c>
      <c r="D11" s="153">
        <v>20</v>
      </c>
    </row>
    <row r="12" spans="1:9" x14ac:dyDescent="0.2">
      <c r="A12" s="150" t="s">
        <v>38</v>
      </c>
      <c r="B12" s="152" t="s">
        <v>39</v>
      </c>
      <c r="C12" s="153">
        <v>2</v>
      </c>
      <c r="D12" s="153">
        <v>2</v>
      </c>
    </row>
    <row r="13" spans="1:9" x14ac:dyDescent="0.2">
      <c r="A13" s="259" t="s">
        <v>16</v>
      </c>
      <c r="B13" s="259"/>
      <c r="C13" s="153">
        <v>30</v>
      </c>
      <c r="D13" s="125"/>
    </row>
    <row r="14" spans="1:9" x14ac:dyDescent="0.2">
      <c r="A14" s="150" t="s">
        <v>145</v>
      </c>
      <c r="B14" s="152" t="s">
        <v>75</v>
      </c>
      <c r="C14" s="251"/>
      <c r="D14" s="153">
        <v>220</v>
      </c>
    </row>
    <row r="15" spans="1:9" x14ac:dyDescent="0.2">
      <c r="A15" s="150" t="s">
        <v>149</v>
      </c>
      <c r="B15" s="152" t="s">
        <v>75</v>
      </c>
      <c r="C15" s="153">
        <v>220</v>
      </c>
      <c r="D15" s="153">
        <v>220</v>
      </c>
    </row>
    <row r="16" spans="1:9" x14ac:dyDescent="0.2">
      <c r="A16" s="150" t="s">
        <v>1332</v>
      </c>
      <c r="B16" s="152" t="s">
        <v>75</v>
      </c>
      <c r="C16" s="151">
        <v>220</v>
      </c>
      <c r="D16" s="153">
        <v>220</v>
      </c>
    </row>
    <row r="17" spans="1:4" x14ac:dyDescent="0.2">
      <c r="A17" s="150"/>
      <c r="B17" s="152"/>
      <c r="C17" s="153">
        <v>220</v>
      </c>
      <c r="D17" s="153"/>
    </row>
    <row r="18" spans="1:4" x14ac:dyDescent="0.2">
      <c r="A18" s="259" t="s">
        <v>1338</v>
      </c>
      <c r="B18" s="259"/>
      <c r="C18" s="252"/>
      <c r="D18" s="7"/>
    </row>
    <row r="19" spans="1:4" x14ac:dyDescent="0.2">
      <c r="A19" s="173" t="s">
        <v>1335</v>
      </c>
      <c r="B19" s="174" t="s">
        <v>121</v>
      </c>
      <c r="C19" s="153">
        <v>7843</v>
      </c>
      <c r="D19" s="175">
        <v>2880</v>
      </c>
    </row>
    <row r="20" spans="1:4" ht="25.5" x14ac:dyDescent="0.2">
      <c r="A20" s="150" t="s">
        <v>1333</v>
      </c>
      <c r="B20" s="152" t="s">
        <v>1283</v>
      </c>
      <c r="C20" s="153">
        <v>7843</v>
      </c>
      <c r="D20" s="153">
        <f>D19*0.2*6</f>
        <v>3456</v>
      </c>
    </row>
    <row r="21" spans="1:4" x14ac:dyDescent="0.2">
      <c r="A21" s="150" t="s">
        <v>1054</v>
      </c>
      <c r="B21" s="152" t="s">
        <v>1055</v>
      </c>
      <c r="C21" s="153">
        <v>47058</v>
      </c>
      <c r="D21" s="153">
        <f>D20*1.3*5</f>
        <v>22464</v>
      </c>
    </row>
    <row r="22" spans="1:4" x14ac:dyDescent="0.2">
      <c r="A22" s="259" t="s">
        <v>1339</v>
      </c>
      <c r="B22" s="259"/>
      <c r="C22" s="253"/>
      <c r="D22" s="7"/>
    </row>
    <row r="23" spans="1:4" ht="25.5" x14ac:dyDescent="0.2">
      <c r="A23" s="150" t="s">
        <v>1333</v>
      </c>
      <c r="B23" s="152" t="s">
        <v>1283</v>
      </c>
      <c r="C23" s="151">
        <v>7843</v>
      </c>
      <c r="D23" s="153">
        <f>D20</f>
        <v>3456</v>
      </c>
    </row>
    <row r="24" spans="1:4" x14ac:dyDescent="0.2">
      <c r="A24" s="150" t="s">
        <v>1054</v>
      </c>
      <c r="B24" s="152" t="s">
        <v>1055</v>
      </c>
      <c r="C24" s="153">
        <v>47058</v>
      </c>
      <c r="D24" s="153">
        <f>D21</f>
        <v>22464</v>
      </c>
    </row>
    <row r="25" spans="1:4" ht="25.5" x14ac:dyDescent="0.2">
      <c r="A25" s="150" t="s">
        <v>1341</v>
      </c>
      <c r="B25" s="152" t="s">
        <v>1283</v>
      </c>
      <c r="C25" s="153">
        <v>7843</v>
      </c>
      <c r="D25" s="153">
        <f>D23</f>
        <v>3456</v>
      </c>
    </row>
    <row r="27" spans="1:4" x14ac:dyDescent="0.2">
      <c r="A27" s="261" t="s">
        <v>1388</v>
      </c>
      <c r="B27" s="261"/>
      <c r="C27" s="261"/>
      <c r="D27" s="261"/>
    </row>
    <row r="28" spans="1:4" ht="15" x14ac:dyDescent="0.25">
      <c r="A28" s="150" t="s">
        <v>1390</v>
      </c>
      <c r="B28" s="152" t="s">
        <v>39</v>
      </c>
      <c r="C28" s="153"/>
      <c r="D28" s="123">
        <v>46</v>
      </c>
    </row>
    <row r="29" spans="1:4" s="269" customFormat="1" ht="15" x14ac:dyDescent="0.25">
      <c r="A29" s="150" t="str">
        <f>'PO-Sintético'!D28</f>
        <v>LIMPEZA DE BUEIRO, INCLUINDO A RETIRADA DOS ENTULHOS BEM COMO A ROÇADA E LIMPEZA GERAL DAS BOCAS</v>
      </c>
      <c r="B29" s="152" t="s">
        <v>121</v>
      </c>
      <c r="C29" s="153"/>
      <c r="D29" s="123">
        <v>18</v>
      </c>
    </row>
    <row r="30" spans="1:4" ht="15" x14ac:dyDescent="0.25">
      <c r="A30" s="150" t="s">
        <v>1342</v>
      </c>
      <c r="B30" s="152" t="s">
        <v>121</v>
      </c>
      <c r="C30" s="153"/>
      <c r="D30" s="123">
        <f>20*6</f>
        <v>120</v>
      </c>
    </row>
  </sheetData>
  <pageMargins left="0.51181102362204722" right="0.51181102362204722" top="1.9685039370078741" bottom="0.78740157480314965" header="0.31496062992125984" footer="0.31496062992125984"/>
  <pageSetup paperSize="9" scale="56" orientation="landscape" r:id="rId1"/>
  <headerFooter>
    <oddHeader>&amp;L&amp;G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5"/>
  <sheetViews>
    <sheetView topLeftCell="A10" zoomScaleNormal="100" workbookViewId="0">
      <selection activeCell="C6" sqref="C6:D6"/>
    </sheetView>
  </sheetViews>
  <sheetFormatPr defaultColWidth="9" defaultRowHeight="14.25" x14ac:dyDescent="0.2"/>
  <cols>
    <col min="1" max="1" width="10" style="5" bestFit="1" customWidth="1"/>
    <col min="2" max="2" width="12" style="5" bestFit="1" customWidth="1"/>
    <col min="3" max="3" width="10" style="5" bestFit="1" customWidth="1"/>
    <col min="4" max="4" width="60" style="5" bestFit="1" customWidth="1"/>
    <col min="5" max="5" width="15" style="5" bestFit="1" customWidth="1"/>
    <col min="6" max="6" width="12" style="5" bestFit="1" customWidth="1"/>
    <col min="7" max="7" width="14.5" style="5" bestFit="1" customWidth="1"/>
    <col min="8" max="8" width="14.75" style="5" bestFit="1" customWidth="1"/>
    <col min="9" max="9" width="13" style="5" bestFit="1" customWidth="1"/>
    <col min="10" max="10" width="14" style="5" bestFit="1" customWidth="1"/>
    <col min="11" max="16384" width="9" style="5"/>
  </cols>
  <sheetData>
    <row r="1" spans="1:10" x14ac:dyDescent="0.2">
      <c r="A1" s="14" t="str">
        <f>'PO-Sintético'!A1</f>
        <v>EMPREENDEDOR: PREFEITURA MUNICIPAL DE CENTRO DO GUILHERME-MA</v>
      </c>
      <c r="B1" s="14"/>
      <c r="C1" s="14"/>
      <c r="D1" s="14"/>
      <c r="E1" s="14"/>
      <c r="F1" s="14"/>
      <c r="G1" s="14"/>
      <c r="H1" s="14"/>
      <c r="I1" s="14"/>
      <c r="J1" s="14"/>
    </row>
    <row r="2" spans="1:10" x14ac:dyDescent="0.2">
      <c r="A2" s="14" t="str">
        <f>'PO-Sintético'!A2</f>
        <v>OBJETO : ESTRADAS VICINAIS-RECUPERAÇÃO</v>
      </c>
      <c r="B2" s="14"/>
      <c r="C2" s="14"/>
      <c r="D2" s="14"/>
      <c r="E2" s="14"/>
      <c r="F2" s="14"/>
      <c r="G2" s="14"/>
      <c r="H2" s="14"/>
      <c r="I2" s="14"/>
      <c r="J2" s="14"/>
    </row>
    <row r="3" spans="1:10" x14ac:dyDescent="0.2">
      <c r="A3" s="14" t="str">
        <f>'PO-Sintético'!A3</f>
        <v>LOCAL:   ESTRADA VICINAL 45 ASSENTAMENTO - CENTRO DO GUILHERME -MA-2,88 KM</v>
      </c>
      <c r="B3" s="14"/>
      <c r="C3" s="14"/>
      <c r="D3" s="14"/>
      <c r="E3" s="14"/>
      <c r="F3" s="14"/>
      <c r="G3" s="14"/>
      <c r="H3" s="14"/>
      <c r="I3" s="14"/>
      <c r="J3" s="14"/>
    </row>
    <row r="4" spans="1:10" x14ac:dyDescent="0.2">
      <c r="A4" s="14"/>
      <c r="B4" s="14"/>
      <c r="C4" s="14"/>
      <c r="D4" s="14"/>
      <c r="E4" s="14"/>
      <c r="F4" s="14"/>
      <c r="G4" s="14"/>
      <c r="H4" s="14"/>
      <c r="I4" s="14"/>
      <c r="J4" s="14"/>
    </row>
    <row r="5" spans="1:10" ht="15" customHeight="1" x14ac:dyDescent="0.2">
      <c r="A5" s="99"/>
      <c r="B5" s="99"/>
      <c r="C5" s="279" t="s">
        <v>0</v>
      </c>
      <c r="D5" s="279"/>
      <c r="E5" s="279" t="s">
        <v>1</v>
      </c>
      <c r="F5" s="279"/>
      <c r="G5" s="279" t="s">
        <v>2</v>
      </c>
      <c r="H5" s="279"/>
      <c r="I5" s="279" t="s">
        <v>3</v>
      </c>
      <c r="J5" s="279"/>
    </row>
    <row r="6" spans="1:10" ht="80.099999999999994" customHeight="1" x14ac:dyDescent="0.2">
      <c r="A6" s="102"/>
      <c r="B6" s="102"/>
      <c r="C6" s="289" t="s">
        <v>1280</v>
      </c>
      <c r="D6" s="289"/>
      <c r="E6" s="289" t="s">
        <v>5</v>
      </c>
      <c r="F6" s="289"/>
      <c r="G6" s="289" t="s">
        <v>6</v>
      </c>
      <c r="H6" s="289"/>
      <c r="I6" s="289" t="s">
        <v>7</v>
      </c>
      <c r="J6" s="289"/>
    </row>
    <row r="7" spans="1:10" ht="15" customHeight="1" x14ac:dyDescent="0.25">
      <c r="A7" s="285" t="s">
        <v>52</v>
      </c>
      <c r="B7" s="287"/>
      <c r="C7" s="287"/>
      <c r="D7" s="287"/>
      <c r="E7" s="287"/>
      <c r="F7" s="287"/>
      <c r="G7" s="287"/>
      <c r="H7" s="287"/>
      <c r="I7" s="287"/>
      <c r="J7" s="287"/>
    </row>
    <row r="8" spans="1:10" ht="24" customHeight="1" x14ac:dyDescent="0.2">
      <c r="A8" s="110" t="s">
        <v>13</v>
      </c>
      <c r="B8" s="110"/>
      <c r="C8" s="110"/>
      <c r="D8" s="110" t="s">
        <v>14</v>
      </c>
      <c r="E8" s="110"/>
      <c r="F8" s="303"/>
      <c r="G8" s="303"/>
      <c r="H8" s="7"/>
      <c r="I8" s="110"/>
      <c r="J8" s="8">
        <v>13553.82</v>
      </c>
    </row>
    <row r="9" spans="1:10" ht="18" customHeight="1" x14ac:dyDescent="0.2">
      <c r="A9" s="103" t="s">
        <v>30</v>
      </c>
      <c r="B9" s="112" t="s">
        <v>24</v>
      </c>
      <c r="C9" s="103" t="s">
        <v>25</v>
      </c>
      <c r="D9" s="103" t="s">
        <v>10</v>
      </c>
      <c r="E9" s="283" t="s">
        <v>53</v>
      </c>
      <c r="F9" s="283"/>
      <c r="G9" s="113" t="s">
        <v>26</v>
      </c>
      <c r="H9" s="112" t="s">
        <v>27</v>
      </c>
      <c r="I9" s="112" t="s">
        <v>28</v>
      </c>
      <c r="J9" s="112" t="s">
        <v>11</v>
      </c>
    </row>
    <row r="10" spans="1:10" ht="24" customHeight="1" x14ac:dyDescent="0.2">
      <c r="A10" s="109" t="s">
        <v>54</v>
      </c>
      <c r="B10" s="10" t="s">
        <v>31</v>
      </c>
      <c r="C10" s="109" t="s">
        <v>32</v>
      </c>
      <c r="D10" s="109" t="s">
        <v>33</v>
      </c>
      <c r="E10" s="302" t="s">
        <v>55</v>
      </c>
      <c r="F10" s="302"/>
      <c r="G10" s="11" t="s">
        <v>34</v>
      </c>
      <c r="H10" s="19">
        <v>1</v>
      </c>
      <c r="I10" s="12">
        <v>355.4</v>
      </c>
      <c r="J10" s="12">
        <v>355.4</v>
      </c>
    </row>
    <row r="11" spans="1:10" ht="24" customHeight="1" x14ac:dyDescent="0.2">
      <c r="A11" s="107" t="s">
        <v>56</v>
      </c>
      <c r="B11" s="20" t="s">
        <v>57</v>
      </c>
      <c r="C11" s="107" t="s">
        <v>32</v>
      </c>
      <c r="D11" s="107" t="s">
        <v>58</v>
      </c>
      <c r="E11" s="300" t="s">
        <v>59</v>
      </c>
      <c r="F11" s="300"/>
      <c r="G11" s="21" t="s">
        <v>60</v>
      </c>
      <c r="H11" s="22">
        <v>2</v>
      </c>
      <c r="I11" s="23">
        <v>3.5</v>
      </c>
      <c r="J11" s="23">
        <v>7</v>
      </c>
    </row>
    <row r="12" spans="1:10" ht="24" customHeight="1" x14ac:dyDescent="0.2">
      <c r="A12" s="107" t="s">
        <v>56</v>
      </c>
      <c r="B12" s="20" t="s">
        <v>61</v>
      </c>
      <c r="C12" s="107" t="s">
        <v>32</v>
      </c>
      <c r="D12" s="107" t="s">
        <v>62</v>
      </c>
      <c r="E12" s="300" t="s">
        <v>59</v>
      </c>
      <c r="F12" s="300"/>
      <c r="G12" s="21" t="s">
        <v>60</v>
      </c>
      <c r="H12" s="22">
        <v>1</v>
      </c>
      <c r="I12" s="23">
        <v>3.41</v>
      </c>
      <c r="J12" s="23">
        <v>3.41</v>
      </c>
    </row>
    <row r="13" spans="1:10" ht="24" customHeight="1" x14ac:dyDescent="0.2">
      <c r="A13" s="108" t="s">
        <v>63</v>
      </c>
      <c r="B13" s="24" t="s">
        <v>64</v>
      </c>
      <c r="C13" s="108" t="s">
        <v>32</v>
      </c>
      <c r="D13" s="108" t="s">
        <v>65</v>
      </c>
      <c r="E13" s="301" t="s">
        <v>66</v>
      </c>
      <c r="F13" s="301"/>
      <c r="G13" s="25" t="s">
        <v>43</v>
      </c>
      <c r="H13" s="26">
        <v>4</v>
      </c>
      <c r="I13" s="27">
        <v>10.39</v>
      </c>
      <c r="J13" s="27">
        <v>41.56</v>
      </c>
    </row>
    <row r="14" spans="1:10" ht="24" customHeight="1" x14ac:dyDescent="0.2">
      <c r="A14" s="108" t="s">
        <v>63</v>
      </c>
      <c r="B14" s="24" t="s">
        <v>67</v>
      </c>
      <c r="C14" s="108" t="s">
        <v>32</v>
      </c>
      <c r="D14" s="108" t="s">
        <v>68</v>
      </c>
      <c r="E14" s="301" t="s">
        <v>66</v>
      </c>
      <c r="F14" s="301"/>
      <c r="G14" s="25" t="s">
        <v>34</v>
      </c>
      <c r="H14" s="26">
        <v>1</v>
      </c>
      <c r="I14" s="27">
        <v>257.20999999999998</v>
      </c>
      <c r="J14" s="27">
        <v>257.20999999999998</v>
      </c>
    </row>
    <row r="15" spans="1:10" ht="24" customHeight="1" x14ac:dyDescent="0.2">
      <c r="A15" s="108" t="s">
        <v>63</v>
      </c>
      <c r="B15" s="24" t="s">
        <v>69</v>
      </c>
      <c r="C15" s="108" t="s">
        <v>32</v>
      </c>
      <c r="D15" s="108" t="s">
        <v>70</v>
      </c>
      <c r="E15" s="301" t="s">
        <v>66</v>
      </c>
      <c r="F15" s="301"/>
      <c r="G15" s="25" t="s">
        <v>43</v>
      </c>
      <c r="H15" s="26">
        <v>1</v>
      </c>
      <c r="I15" s="27">
        <v>3.99</v>
      </c>
      <c r="J15" s="27">
        <v>3.99</v>
      </c>
    </row>
    <row r="16" spans="1:10" ht="24" customHeight="1" x14ac:dyDescent="0.2">
      <c r="A16" s="108" t="s">
        <v>63</v>
      </c>
      <c r="B16" s="24" t="s">
        <v>71</v>
      </c>
      <c r="C16" s="108" t="s">
        <v>72</v>
      </c>
      <c r="D16" s="108" t="s">
        <v>73</v>
      </c>
      <c r="E16" s="301" t="s">
        <v>74</v>
      </c>
      <c r="F16" s="301"/>
      <c r="G16" s="25" t="s">
        <v>75</v>
      </c>
      <c r="H16" s="26">
        <v>1</v>
      </c>
      <c r="I16" s="27">
        <v>16.39</v>
      </c>
      <c r="J16" s="27">
        <v>16.39</v>
      </c>
    </row>
    <row r="17" spans="1:10" ht="24" customHeight="1" x14ac:dyDescent="0.2">
      <c r="A17" s="108" t="s">
        <v>63</v>
      </c>
      <c r="B17" s="24" t="s">
        <v>76</v>
      </c>
      <c r="C17" s="108" t="s">
        <v>72</v>
      </c>
      <c r="D17" s="108" t="s">
        <v>77</v>
      </c>
      <c r="E17" s="301" t="s">
        <v>66</v>
      </c>
      <c r="F17" s="301"/>
      <c r="G17" s="25" t="s">
        <v>78</v>
      </c>
      <c r="H17" s="26">
        <v>0.15</v>
      </c>
      <c r="I17" s="27">
        <v>18.309999999999999</v>
      </c>
      <c r="J17" s="27">
        <v>2.74</v>
      </c>
    </row>
    <row r="18" spans="1:10" ht="24" customHeight="1" x14ac:dyDescent="0.2">
      <c r="A18" s="108" t="s">
        <v>63</v>
      </c>
      <c r="B18" s="24" t="s">
        <v>79</v>
      </c>
      <c r="C18" s="108" t="s">
        <v>72</v>
      </c>
      <c r="D18" s="108" t="s">
        <v>80</v>
      </c>
      <c r="E18" s="301" t="s">
        <v>74</v>
      </c>
      <c r="F18" s="301"/>
      <c r="G18" s="25" t="s">
        <v>75</v>
      </c>
      <c r="H18" s="26">
        <v>2</v>
      </c>
      <c r="I18" s="27">
        <v>11.55</v>
      </c>
      <c r="J18" s="27">
        <v>23.1</v>
      </c>
    </row>
    <row r="19" spans="1:10" x14ac:dyDescent="0.2">
      <c r="A19" s="106"/>
      <c r="B19" s="106"/>
      <c r="C19" s="106"/>
      <c r="D19" s="106"/>
      <c r="E19" s="106" t="s">
        <v>81</v>
      </c>
      <c r="F19" s="28">
        <v>18.311230599999998</v>
      </c>
      <c r="G19" s="106" t="s">
        <v>82</v>
      </c>
      <c r="H19" s="28">
        <v>21.18</v>
      </c>
      <c r="I19" s="106" t="s">
        <v>83</v>
      </c>
      <c r="J19" s="28">
        <v>39.49</v>
      </c>
    </row>
    <row r="20" spans="1:10" x14ac:dyDescent="0.2">
      <c r="A20" s="106"/>
      <c r="B20" s="106"/>
      <c r="C20" s="106"/>
      <c r="D20" s="106"/>
      <c r="E20" s="106" t="s">
        <v>84</v>
      </c>
      <c r="F20" s="28">
        <v>86.11</v>
      </c>
      <c r="G20" s="106"/>
      <c r="H20" s="299" t="s">
        <v>85</v>
      </c>
      <c r="I20" s="299"/>
      <c r="J20" s="28">
        <v>441.51</v>
      </c>
    </row>
    <row r="21" spans="1:10" ht="30" customHeight="1" thickBot="1" x14ac:dyDescent="0.25">
      <c r="A21" s="104"/>
      <c r="B21" s="104"/>
      <c r="C21" s="104"/>
      <c r="D21" s="104"/>
      <c r="E21" s="104"/>
      <c r="F21" s="104"/>
      <c r="G21" s="104" t="s">
        <v>86</v>
      </c>
      <c r="H21" s="29">
        <v>6</v>
      </c>
      <c r="I21" s="104" t="s">
        <v>87</v>
      </c>
      <c r="J21" s="105">
        <v>2649.06</v>
      </c>
    </row>
    <row r="22" spans="1:10" ht="0.95" customHeight="1" thickTop="1" x14ac:dyDescent="0.2">
      <c r="A22" s="30"/>
      <c r="B22" s="30"/>
      <c r="C22" s="30"/>
      <c r="D22" s="30"/>
      <c r="E22" s="30"/>
      <c r="F22" s="30"/>
      <c r="G22" s="30"/>
      <c r="H22" s="30"/>
      <c r="I22" s="30"/>
      <c r="J22" s="30"/>
    </row>
    <row r="23" spans="1:10" ht="18" customHeight="1" x14ac:dyDescent="0.2">
      <c r="A23" s="103" t="s">
        <v>35</v>
      </c>
      <c r="B23" s="112" t="s">
        <v>24</v>
      </c>
      <c r="C23" s="103" t="s">
        <v>25</v>
      </c>
      <c r="D23" s="103" t="s">
        <v>10</v>
      </c>
      <c r="E23" s="283" t="s">
        <v>53</v>
      </c>
      <c r="F23" s="283"/>
      <c r="G23" s="113" t="s">
        <v>26</v>
      </c>
      <c r="H23" s="112" t="s">
        <v>27</v>
      </c>
      <c r="I23" s="112" t="s">
        <v>28</v>
      </c>
      <c r="J23" s="112" t="s">
        <v>11</v>
      </c>
    </row>
    <row r="24" spans="1:10" ht="24" customHeight="1" x14ac:dyDescent="0.2">
      <c r="A24" s="109" t="s">
        <v>54</v>
      </c>
      <c r="B24" s="10" t="s">
        <v>36</v>
      </c>
      <c r="C24" s="109" t="s">
        <v>37</v>
      </c>
      <c r="D24" s="109" t="s">
        <v>38</v>
      </c>
      <c r="E24" s="302" t="s">
        <v>88</v>
      </c>
      <c r="F24" s="302"/>
      <c r="G24" s="11" t="s">
        <v>39</v>
      </c>
      <c r="H24" s="19">
        <v>1</v>
      </c>
      <c r="I24" s="12">
        <v>6978.24</v>
      </c>
      <c r="J24" s="12">
        <v>6978.24</v>
      </c>
    </row>
    <row r="25" spans="1:10" ht="60" customHeight="1" x14ac:dyDescent="0.2">
      <c r="A25" s="107" t="s">
        <v>56</v>
      </c>
      <c r="B25" s="20" t="s">
        <v>89</v>
      </c>
      <c r="C25" s="107" t="s">
        <v>72</v>
      </c>
      <c r="D25" s="107" t="s">
        <v>90</v>
      </c>
      <c r="E25" s="300" t="s">
        <v>91</v>
      </c>
      <c r="F25" s="300"/>
      <c r="G25" s="21" t="s">
        <v>92</v>
      </c>
      <c r="H25" s="22">
        <v>8</v>
      </c>
      <c r="I25" s="23">
        <v>40.06</v>
      </c>
      <c r="J25" s="23">
        <v>320.48</v>
      </c>
    </row>
    <row r="26" spans="1:10" ht="60" customHeight="1" x14ac:dyDescent="0.2">
      <c r="A26" s="107" t="s">
        <v>56</v>
      </c>
      <c r="B26" s="20" t="s">
        <v>89</v>
      </c>
      <c r="C26" s="107" t="s">
        <v>72</v>
      </c>
      <c r="D26" s="107" t="s">
        <v>90</v>
      </c>
      <c r="E26" s="300" t="s">
        <v>91</v>
      </c>
      <c r="F26" s="300"/>
      <c r="G26" s="21" t="s">
        <v>92</v>
      </c>
      <c r="H26" s="22">
        <v>8</v>
      </c>
      <c r="I26" s="23">
        <v>40.06</v>
      </c>
      <c r="J26" s="23">
        <v>320.48</v>
      </c>
    </row>
    <row r="27" spans="1:10" ht="60" customHeight="1" x14ac:dyDescent="0.2">
      <c r="A27" s="107" t="s">
        <v>56</v>
      </c>
      <c r="B27" s="20" t="s">
        <v>93</v>
      </c>
      <c r="C27" s="107" t="s">
        <v>72</v>
      </c>
      <c r="D27" s="107" t="s">
        <v>94</v>
      </c>
      <c r="E27" s="300" t="s">
        <v>91</v>
      </c>
      <c r="F27" s="300"/>
      <c r="G27" s="21" t="s">
        <v>92</v>
      </c>
      <c r="H27" s="22">
        <v>8</v>
      </c>
      <c r="I27" s="23">
        <v>48.95</v>
      </c>
      <c r="J27" s="23">
        <v>391.6</v>
      </c>
    </row>
    <row r="28" spans="1:10" ht="60" customHeight="1" x14ac:dyDescent="0.2">
      <c r="A28" s="107" t="s">
        <v>56</v>
      </c>
      <c r="B28" s="20" t="s">
        <v>95</v>
      </c>
      <c r="C28" s="107" t="s">
        <v>72</v>
      </c>
      <c r="D28" s="107" t="s">
        <v>96</v>
      </c>
      <c r="E28" s="300" t="s">
        <v>91</v>
      </c>
      <c r="F28" s="300"/>
      <c r="G28" s="21" t="s">
        <v>92</v>
      </c>
      <c r="H28" s="22">
        <v>8</v>
      </c>
      <c r="I28" s="23">
        <v>47.06</v>
      </c>
      <c r="J28" s="23">
        <v>376.48</v>
      </c>
    </row>
    <row r="29" spans="1:10" ht="36" customHeight="1" x14ac:dyDescent="0.2">
      <c r="A29" s="107" t="s">
        <v>56</v>
      </c>
      <c r="B29" s="20" t="s">
        <v>97</v>
      </c>
      <c r="C29" s="107" t="s">
        <v>72</v>
      </c>
      <c r="D29" s="107" t="s">
        <v>98</v>
      </c>
      <c r="E29" s="300" t="s">
        <v>91</v>
      </c>
      <c r="F29" s="300"/>
      <c r="G29" s="21" t="s">
        <v>92</v>
      </c>
      <c r="H29" s="22">
        <v>8</v>
      </c>
      <c r="I29" s="23">
        <v>54.81</v>
      </c>
      <c r="J29" s="23">
        <v>438.48</v>
      </c>
    </row>
    <row r="30" spans="1:10" ht="24" customHeight="1" x14ac:dyDescent="0.2">
      <c r="A30" s="107" t="s">
        <v>56</v>
      </c>
      <c r="B30" s="20" t="s">
        <v>99</v>
      </c>
      <c r="C30" s="107" t="s">
        <v>72</v>
      </c>
      <c r="D30" s="107" t="s">
        <v>100</v>
      </c>
      <c r="E30" s="300" t="s">
        <v>91</v>
      </c>
      <c r="F30" s="300"/>
      <c r="G30" s="21" t="s">
        <v>92</v>
      </c>
      <c r="H30" s="22">
        <v>8</v>
      </c>
      <c r="I30" s="23">
        <v>36.619999999999997</v>
      </c>
      <c r="J30" s="23">
        <v>292.95999999999998</v>
      </c>
    </row>
    <row r="31" spans="1:10" ht="36" customHeight="1" x14ac:dyDescent="0.2">
      <c r="A31" s="107" t="s">
        <v>56</v>
      </c>
      <c r="B31" s="20" t="s">
        <v>101</v>
      </c>
      <c r="C31" s="107" t="s">
        <v>72</v>
      </c>
      <c r="D31" s="107" t="s">
        <v>102</v>
      </c>
      <c r="E31" s="300" t="s">
        <v>91</v>
      </c>
      <c r="F31" s="300"/>
      <c r="G31" s="21" t="s">
        <v>92</v>
      </c>
      <c r="H31" s="22">
        <v>8</v>
      </c>
      <c r="I31" s="23">
        <v>64.86</v>
      </c>
      <c r="J31" s="23">
        <v>518.88</v>
      </c>
    </row>
    <row r="32" spans="1:10" ht="48" customHeight="1" x14ac:dyDescent="0.2">
      <c r="A32" s="107" t="s">
        <v>56</v>
      </c>
      <c r="B32" s="20" t="s">
        <v>103</v>
      </c>
      <c r="C32" s="107" t="s">
        <v>72</v>
      </c>
      <c r="D32" s="107" t="s">
        <v>104</v>
      </c>
      <c r="E32" s="300" t="s">
        <v>91</v>
      </c>
      <c r="F32" s="300"/>
      <c r="G32" s="21" t="s">
        <v>105</v>
      </c>
      <c r="H32" s="22">
        <v>16</v>
      </c>
      <c r="I32" s="23">
        <v>269.93</v>
      </c>
      <c r="J32" s="23">
        <v>4318.88</v>
      </c>
    </row>
    <row r="33" spans="1:10" x14ac:dyDescent="0.2">
      <c r="A33" s="106"/>
      <c r="B33" s="106"/>
      <c r="C33" s="106"/>
      <c r="D33" s="106"/>
      <c r="E33" s="106" t="s">
        <v>81</v>
      </c>
      <c r="F33" s="28">
        <v>600.0185477</v>
      </c>
      <c r="G33" s="106" t="s">
        <v>82</v>
      </c>
      <c r="H33" s="28">
        <v>693.98</v>
      </c>
      <c r="I33" s="106" t="s">
        <v>83</v>
      </c>
      <c r="J33" s="28">
        <v>1294</v>
      </c>
    </row>
    <row r="34" spans="1:10" x14ac:dyDescent="0.2">
      <c r="A34" s="106"/>
      <c r="B34" s="106"/>
      <c r="C34" s="106"/>
      <c r="D34" s="106"/>
      <c r="E34" s="106" t="s">
        <v>84</v>
      </c>
      <c r="F34" s="28">
        <v>1690.82</v>
      </c>
      <c r="G34" s="106"/>
      <c r="H34" s="299" t="s">
        <v>85</v>
      </c>
      <c r="I34" s="299"/>
      <c r="J34" s="28">
        <v>8669.06</v>
      </c>
    </row>
    <row r="35" spans="1:10" ht="30" customHeight="1" thickBot="1" x14ac:dyDescent="0.25">
      <c r="A35" s="104"/>
      <c r="B35" s="104"/>
      <c r="C35" s="104"/>
      <c r="D35" s="104"/>
      <c r="E35" s="104"/>
      <c r="F35" s="104"/>
      <c r="G35" s="104" t="s">
        <v>86</v>
      </c>
      <c r="H35" s="29">
        <v>1</v>
      </c>
      <c r="I35" s="104" t="s">
        <v>87</v>
      </c>
      <c r="J35" s="105">
        <v>8669.06</v>
      </c>
    </row>
    <row r="36" spans="1:10" ht="0.95" customHeight="1" thickTop="1" x14ac:dyDescent="0.2">
      <c r="A36" s="30"/>
      <c r="B36" s="30"/>
      <c r="C36" s="30"/>
      <c r="D36" s="30"/>
      <c r="E36" s="30"/>
      <c r="F36" s="30"/>
      <c r="G36" s="30"/>
      <c r="H36" s="30"/>
      <c r="I36" s="30"/>
      <c r="J36" s="30"/>
    </row>
    <row r="37" spans="1:10" ht="18" customHeight="1" x14ac:dyDescent="0.2">
      <c r="A37" s="103" t="s">
        <v>40</v>
      </c>
      <c r="B37" s="112" t="s">
        <v>24</v>
      </c>
      <c r="C37" s="103" t="s">
        <v>25</v>
      </c>
      <c r="D37" s="103" t="s">
        <v>10</v>
      </c>
      <c r="E37" s="283" t="s">
        <v>53</v>
      </c>
      <c r="F37" s="283"/>
      <c r="G37" s="113" t="s">
        <v>26</v>
      </c>
      <c r="H37" s="112" t="s">
        <v>27</v>
      </c>
      <c r="I37" s="112" t="s">
        <v>28</v>
      </c>
      <c r="J37" s="112" t="s">
        <v>11</v>
      </c>
    </row>
    <row r="38" spans="1:10" ht="24" customHeight="1" x14ac:dyDescent="0.2">
      <c r="A38" s="109" t="s">
        <v>54</v>
      </c>
      <c r="B38" s="10" t="s">
        <v>1046</v>
      </c>
      <c r="C38" s="109" t="s">
        <v>72</v>
      </c>
      <c r="D38" s="109" t="s">
        <v>1047</v>
      </c>
      <c r="E38" s="302" t="s">
        <v>1112</v>
      </c>
      <c r="F38" s="302"/>
      <c r="G38" s="11" t="s">
        <v>34</v>
      </c>
      <c r="H38" s="19">
        <v>1</v>
      </c>
      <c r="I38" s="12">
        <v>113.63</v>
      </c>
      <c r="J38" s="12">
        <v>113.63</v>
      </c>
    </row>
    <row r="39" spans="1:10" ht="24" customHeight="1" x14ac:dyDescent="0.2">
      <c r="A39" s="107" t="s">
        <v>56</v>
      </c>
      <c r="B39" s="20" t="s">
        <v>1113</v>
      </c>
      <c r="C39" s="107" t="s">
        <v>72</v>
      </c>
      <c r="D39" s="107" t="s">
        <v>1114</v>
      </c>
      <c r="E39" s="300" t="s">
        <v>91</v>
      </c>
      <c r="F39" s="300"/>
      <c r="G39" s="21" t="s">
        <v>105</v>
      </c>
      <c r="H39" s="22">
        <v>4.4000000000000003E-3</v>
      </c>
      <c r="I39" s="23">
        <v>19.98</v>
      </c>
      <c r="J39" s="23">
        <v>0.08</v>
      </c>
    </row>
    <row r="40" spans="1:10" ht="24" customHeight="1" x14ac:dyDescent="0.2">
      <c r="A40" s="107" t="s">
        <v>56</v>
      </c>
      <c r="B40" s="20" t="s">
        <v>1115</v>
      </c>
      <c r="C40" s="107" t="s">
        <v>72</v>
      </c>
      <c r="D40" s="107" t="s">
        <v>1116</v>
      </c>
      <c r="E40" s="300" t="s">
        <v>91</v>
      </c>
      <c r="F40" s="300"/>
      <c r="G40" s="21" t="s">
        <v>92</v>
      </c>
      <c r="H40" s="22">
        <v>1.9099999999999999E-2</v>
      </c>
      <c r="I40" s="23">
        <v>17.649999999999999</v>
      </c>
      <c r="J40" s="23">
        <v>0.33</v>
      </c>
    </row>
    <row r="41" spans="1:10" ht="24" customHeight="1" x14ac:dyDescent="0.2">
      <c r="A41" s="107" t="s">
        <v>56</v>
      </c>
      <c r="B41" s="20" t="s">
        <v>1117</v>
      </c>
      <c r="C41" s="107" t="s">
        <v>72</v>
      </c>
      <c r="D41" s="107" t="s">
        <v>1118</v>
      </c>
      <c r="E41" s="300" t="s">
        <v>147</v>
      </c>
      <c r="F41" s="300"/>
      <c r="G41" s="21" t="s">
        <v>154</v>
      </c>
      <c r="H41" s="22">
        <v>1.1999999999999999E-3</v>
      </c>
      <c r="I41" s="23">
        <v>316.8</v>
      </c>
      <c r="J41" s="23">
        <v>0.38</v>
      </c>
    </row>
    <row r="42" spans="1:10" ht="24" customHeight="1" x14ac:dyDescent="0.2">
      <c r="A42" s="107" t="s">
        <v>56</v>
      </c>
      <c r="B42" s="20" t="s">
        <v>152</v>
      </c>
      <c r="C42" s="107" t="s">
        <v>72</v>
      </c>
      <c r="D42" s="107" t="s">
        <v>153</v>
      </c>
      <c r="E42" s="300" t="s">
        <v>146</v>
      </c>
      <c r="F42" s="300"/>
      <c r="G42" s="21" t="s">
        <v>75</v>
      </c>
      <c r="H42" s="22">
        <v>0.18970000000000001</v>
      </c>
      <c r="I42" s="23">
        <v>15.62</v>
      </c>
      <c r="J42" s="23">
        <v>2.96</v>
      </c>
    </row>
    <row r="43" spans="1:10" ht="24" customHeight="1" x14ac:dyDescent="0.2">
      <c r="A43" s="107" t="s">
        <v>56</v>
      </c>
      <c r="B43" s="20" t="s">
        <v>150</v>
      </c>
      <c r="C43" s="107" t="s">
        <v>72</v>
      </c>
      <c r="D43" s="107" t="s">
        <v>151</v>
      </c>
      <c r="E43" s="300" t="s">
        <v>146</v>
      </c>
      <c r="F43" s="300"/>
      <c r="G43" s="21" t="s">
        <v>75</v>
      </c>
      <c r="H43" s="22">
        <v>0.56910000000000005</v>
      </c>
      <c r="I43" s="23">
        <v>19.12</v>
      </c>
      <c r="J43" s="23">
        <v>10.88</v>
      </c>
    </row>
    <row r="44" spans="1:10" ht="24" customHeight="1" x14ac:dyDescent="0.2">
      <c r="A44" s="108" t="s">
        <v>63</v>
      </c>
      <c r="B44" s="24" t="s">
        <v>1119</v>
      </c>
      <c r="C44" s="108" t="s">
        <v>72</v>
      </c>
      <c r="D44" s="108" t="s">
        <v>1120</v>
      </c>
      <c r="E44" s="301" t="s">
        <v>66</v>
      </c>
      <c r="F44" s="301"/>
      <c r="G44" s="25" t="s">
        <v>121</v>
      </c>
      <c r="H44" s="26">
        <v>1.2273000000000001</v>
      </c>
      <c r="I44" s="27">
        <v>23.46</v>
      </c>
      <c r="J44" s="27">
        <v>28.79</v>
      </c>
    </row>
    <row r="45" spans="1:10" ht="24" customHeight="1" x14ac:dyDescent="0.2">
      <c r="A45" s="108" t="s">
        <v>63</v>
      </c>
      <c r="B45" s="24" t="s">
        <v>1121</v>
      </c>
      <c r="C45" s="108" t="s">
        <v>72</v>
      </c>
      <c r="D45" s="108" t="s">
        <v>1122</v>
      </c>
      <c r="E45" s="301" t="s">
        <v>66</v>
      </c>
      <c r="F45" s="301"/>
      <c r="G45" s="25" t="s">
        <v>78</v>
      </c>
      <c r="H45" s="26">
        <v>4.2799999999999998E-2</v>
      </c>
      <c r="I45" s="27">
        <v>18</v>
      </c>
      <c r="J45" s="27">
        <v>0.77</v>
      </c>
    </row>
    <row r="46" spans="1:10" ht="24" customHeight="1" x14ac:dyDescent="0.2">
      <c r="A46" s="108" t="s">
        <v>63</v>
      </c>
      <c r="B46" s="24" t="s">
        <v>1123</v>
      </c>
      <c r="C46" s="108" t="s">
        <v>72</v>
      </c>
      <c r="D46" s="108" t="s">
        <v>1124</v>
      </c>
      <c r="E46" s="301" t="s">
        <v>66</v>
      </c>
      <c r="F46" s="301"/>
      <c r="G46" s="25" t="s">
        <v>121</v>
      </c>
      <c r="H46" s="26">
        <v>1</v>
      </c>
      <c r="I46" s="27">
        <v>27.84</v>
      </c>
      <c r="J46" s="27">
        <v>27.84</v>
      </c>
    </row>
    <row r="47" spans="1:10" ht="24" customHeight="1" x14ac:dyDescent="0.2">
      <c r="A47" s="108" t="s">
        <v>63</v>
      </c>
      <c r="B47" s="24" t="s">
        <v>1125</v>
      </c>
      <c r="C47" s="108" t="s">
        <v>72</v>
      </c>
      <c r="D47" s="108" t="s">
        <v>1126</v>
      </c>
      <c r="E47" s="301" t="s">
        <v>66</v>
      </c>
      <c r="F47" s="301"/>
      <c r="G47" s="25" t="s">
        <v>34</v>
      </c>
      <c r="H47" s="26">
        <v>0.58530000000000004</v>
      </c>
      <c r="I47" s="27">
        <v>71.08</v>
      </c>
      <c r="J47" s="27">
        <v>41.6</v>
      </c>
    </row>
    <row r="48" spans="1:10" x14ac:dyDescent="0.2">
      <c r="A48" s="106"/>
      <c r="B48" s="106"/>
      <c r="C48" s="106"/>
      <c r="D48" s="106"/>
      <c r="E48" s="106" t="s">
        <v>81</v>
      </c>
      <c r="F48" s="28">
        <v>5.7034220532319395</v>
      </c>
      <c r="G48" s="106" t="s">
        <v>82</v>
      </c>
      <c r="H48" s="28">
        <v>6.6</v>
      </c>
      <c r="I48" s="106" t="s">
        <v>83</v>
      </c>
      <c r="J48" s="28">
        <v>12.3</v>
      </c>
    </row>
    <row r="49" spans="1:10" x14ac:dyDescent="0.2">
      <c r="A49" s="106"/>
      <c r="B49" s="106"/>
      <c r="C49" s="106"/>
      <c r="D49" s="106"/>
      <c r="E49" s="106" t="s">
        <v>84</v>
      </c>
      <c r="F49" s="28">
        <v>27.53</v>
      </c>
      <c r="G49" s="106"/>
      <c r="H49" s="299" t="s">
        <v>85</v>
      </c>
      <c r="I49" s="299"/>
      <c r="J49" s="28">
        <v>141.16</v>
      </c>
    </row>
    <row r="50" spans="1:10" ht="30" customHeight="1" thickBot="1" x14ac:dyDescent="0.25">
      <c r="A50" s="104"/>
      <c r="B50" s="104"/>
      <c r="C50" s="104"/>
      <c r="D50" s="104"/>
      <c r="E50" s="104"/>
      <c r="F50" s="104"/>
      <c r="G50" s="104" t="s">
        <v>86</v>
      </c>
      <c r="H50" s="29">
        <v>12.5</v>
      </c>
      <c r="I50" s="104" t="s">
        <v>87</v>
      </c>
      <c r="J50" s="105">
        <v>1764.5</v>
      </c>
    </row>
    <row r="51" spans="1:10" ht="0.95" customHeight="1" thickTop="1" x14ac:dyDescent="0.2">
      <c r="A51" s="30"/>
      <c r="B51" s="30"/>
      <c r="C51" s="30"/>
      <c r="D51" s="30"/>
      <c r="E51" s="30"/>
      <c r="F51" s="30"/>
      <c r="G51" s="30"/>
      <c r="H51" s="30"/>
      <c r="I51" s="30"/>
      <c r="J51" s="30"/>
    </row>
    <row r="52" spans="1:10" ht="18" customHeight="1" x14ac:dyDescent="0.2">
      <c r="A52" s="103" t="s">
        <v>44</v>
      </c>
      <c r="B52" s="112" t="s">
        <v>24</v>
      </c>
      <c r="C52" s="103" t="s">
        <v>25</v>
      </c>
      <c r="D52" s="103" t="s">
        <v>10</v>
      </c>
      <c r="E52" s="283" t="s">
        <v>53</v>
      </c>
      <c r="F52" s="283"/>
      <c r="G52" s="113" t="s">
        <v>26</v>
      </c>
      <c r="H52" s="112" t="s">
        <v>27</v>
      </c>
      <c r="I52" s="112" t="s">
        <v>28</v>
      </c>
      <c r="J52" s="112" t="s">
        <v>11</v>
      </c>
    </row>
    <row r="53" spans="1:10" ht="24" customHeight="1" x14ac:dyDescent="0.2">
      <c r="A53" s="109" t="s">
        <v>54</v>
      </c>
      <c r="B53" s="10" t="s">
        <v>1048</v>
      </c>
      <c r="C53" s="109" t="s">
        <v>72</v>
      </c>
      <c r="D53" s="109" t="s">
        <v>1049</v>
      </c>
      <c r="E53" s="302" t="s">
        <v>1127</v>
      </c>
      <c r="F53" s="302"/>
      <c r="G53" s="11" t="s">
        <v>34</v>
      </c>
      <c r="H53" s="19">
        <v>1</v>
      </c>
      <c r="I53" s="12">
        <v>0.28000000000000003</v>
      </c>
      <c r="J53" s="12">
        <v>0.28000000000000003</v>
      </c>
    </row>
    <row r="54" spans="1:10" ht="15" customHeight="1" x14ac:dyDescent="0.2">
      <c r="A54" s="107" t="s">
        <v>56</v>
      </c>
      <c r="B54" s="20" t="s">
        <v>1128</v>
      </c>
      <c r="C54" s="107" t="s">
        <v>72</v>
      </c>
      <c r="D54" s="107" t="s">
        <v>1129</v>
      </c>
      <c r="E54" s="300" t="s">
        <v>91</v>
      </c>
      <c r="F54" s="300"/>
      <c r="G54" s="21" t="s">
        <v>105</v>
      </c>
      <c r="H54" s="22">
        <v>5.9999999999999995E-4</v>
      </c>
      <c r="I54" s="23">
        <v>135.30000000000001</v>
      </c>
      <c r="J54" s="23">
        <v>0.08</v>
      </c>
    </row>
    <row r="55" spans="1:10" ht="15" customHeight="1" x14ac:dyDescent="0.2">
      <c r="A55" s="107" t="s">
        <v>56</v>
      </c>
      <c r="B55" s="20" t="s">
        <v>1130</v>
      </c>
      <c r="C55" s="107" t="s">
        <v>72</v>
      </c>
      <c r="D55" s="107" t="s">
        <v>1131</v>
      </c>
      <c r="E55" s="300" t="s">
        <v>91</v>
      </c>
      <c r="F55" s="300"/>
      <c r="G55" s="21" t="s">
        <v>92</v>
      </c>
      <c r="H55" s="22">
        <v>2.3999999999999998E-3</v>
      </c>
      <c r="I55" s="23">
        <v>46.8</v>
      </c>
      <c r="J55" s="23">
        <v>0.11</v>
      </c>
    </row>
    <row r="56" spans="1:10" ht="24" customHeight="1" x14ac:dyDescent="0.2">
      <c r="A56" s="107" t="s">
        <v>56</v>
      </c>
      <c r="B56" s="20" t="s">
        <v>156</v>
      </c>
      <c r="C56" s="107" t="s">
        <v>72</v>
      </c>
      <c r="D56" s="107" t="s">
        <v>157</v>
      </c>
      <c r="E56" s="300" t="s">
        <v>146</v>
      </c>
      <c r="F56" s="300"/>
      <c r="G56" s="21" t="s">
        <v>75</v>
      </c>
      <c r="H56" s="22">
        <v>3.0000000000000001E-3</v>
      </c>
      <c r="I56" s="23">
        <v>14.31</v>
      </c>
      <c r="J56" s="23">
        <v>0.04</v>
      </c>
    </row>
    <row r="57" spans="1:10" ht="24" customHeight="1" x14ac:dyDescent="0.2">
      <c r="A57" s="107" t="s">
        <v>56</v>
      </c>
      <c r="B57" s="20" t="s">
        <v>1132</v>
      </c>
      <c r="C57" s="107" t="s">
        <v>72</v>
      </c>
      <c r="D57" s="107" t="s">
        <v>1133</v>
      </c>
      <c r="E57" s="300" t="s">
        <v>146</v>
      </c>
      <c r="F57" s="300"/>
      <c r="G57" s="21" t="s">
        <v>75</v>
      </c>
      <c r="H57" s="22">
        <v>3.0000000000000001E-3</v>
      </c>
      <c r="I57" s="23">
        <v>18.600000000000001</v>
      </c>
      <c r="J57" s="23">
        <v>0.05</v>
      </c>
    </row>
    <row r="58" spans="1:10" ht="20.100000000000001" customHeight="1" x14ac:dyDescent="0.2">
      <c r="A58" s="106"/>
      <c r="B58" s="106"/>
      <c r="C58" s="106"/>
      <c r="D58" s="106"/>
      <c r="E58" s="106" t="s">
        <v>81</v>
      </c>
      <c r="F58" s="28">
        <v>5.5643141982750624E-2</v>
      </c>
      <c r="G58" s="106" t="s">
        <v>82</v>
      </c>
      <c r="H58" s="28">
        <v>0.06</v>
      </c>
      <c r="I58" s="106" t="s">
        <v>83</v>
      </c>
      <c r="J58" s="28">
        <v>0.12</v>
      </c>
    </row>
    <row r="59" spans="1:10" ht="20.100000000000001" customHeight="1" x14ac:dyDescent="0.2">
      <c r="A59" s="106"/>
      <c r="B59" s="106"/>
      <c r="C59" s="106"/>
      <c r="D59" s="106"/>
      <c r="E59" s="106" t="s">
        <v>84</v>
      </c>
      <c r="F59" s="28">
        <v>0.06</v>
      </c>
      <c r="G59" s="106"/>
      <c r="H59" s="299" t="s">
        <v>85</v>
      </c>
      <c r="I59" s="299"/>
      <c r="J59" s="28">
        <v>0.34</v>
      </c>
    </row>
    <row r="60" spans="1:10" ht="24" customHeight="1" thickBot="1" x14ac:dyDescent="0.25">
      <c r="A60" s="104"/>
      <c r="B60" s="104"/>
      <c r="C60" s="104"/>
      <c r="D60" s="104"/>
      <c r="E60" s="104"/>
      <c r="F60" s="104"/>
      <c r="G60" s="104" t="s">
        <v>86</v>
      </c>
      <c r="H60" s="29">
        <v>80</v>
      </c>
      <c r="I60" s="104" t="s">
        <v>87</v>
      </c>
      <c r="J60" s="105">
        <v>27.2</v>
      </c>
    </row>
    <row r="61" spans="1:10" ht="24" customHeight="1" thickTop="1" x14ac:dyDescent="0.2">
      <c r="A61" s="30"/>
      <c r="B61" s="30"/>
      <c r="C61" s="30"/>
      <c r="D61" s="30"/>
      <c r="E61" s="30"/>
      <c r="F61" s="30"/>
      <c r="G61" s="30"/>
      <c r="H61" s="30"/>
      <c r="I61" s="30"/>
      <c r="J61" s="30"/>
    </row>
    <row r="62" spans="1:10" ht="24" customHeight="1" x14ac:dyDescent="0.2">
      <c r="A62" s="103" t="s">
        <v>1052</v>
      </c>
      <c r="B62" s="112" t="s">
        <v>24</v>
      </c>
      <c r="C62" s="103" t="s">
        <v>25</v>
      </c>
      <c r="D62" s="103" t="s">
        <v>10</v>
      </c>
      <c r="E62" s="283" t="s">
        <v>53</v>
      </c>
      <c r="F62" s="283"/>
      <c r="G62" s="113" t="s">
        <v>26</v>
      </c>
      <c r="H62" s="112" t="s">
        <v>27</v>
      </c>
      <c r="I62" s="112" t="s">
        <v>28</v>
      </c>
      <c r="J62" s="112" t="s">
        <v>11</v>
      </c>
    </row>
    <row r="63" spans="1:10" ht="24" customHeight="1" x14ac:dyDescent="0.2">
      <c r="A63" s="109" t="s">
        <v>54</v>
      </c>
      <c r="B63" s="10" t="s">
        <v>1050</v>
      </c>
      <c r="C63" s="109" t="s">
        <v>72</v>
      </c>
      <c r="D63" s="109" t="s">
        <v>1051</v>
      </c>
      <c r="E63" s="302" t="s">
        <v>1134</v>
      </c>
      <c r="F63" s="302"/>
      <c r="G63" s="11" t="s">
        <v>154</v>
      </c>
      <c r="H63" s="19">
        <v>1</v>
      </c>
      <c r="I63" s="12">
        <v>6.6</v>
      </c>
      <c r="J63" s="12">
        <v>6.6</v>
      </c>
    </row>
    <row r="64" spans="1:10" ht="20.100000000000001" customHeight="1" x14ac:dyDescent="0.2">
      <c r="A64" s="107" t="s">
        <v>56</v>
      </c>
      <c r="B64" s="20" t="s">
        <v>1135</v>
      </c>
      <c r="C64" s="107" t="s">
        <v>72</v>
      </c>
      <c r="D64" s="107" t="s">
        <v>1136</v>
      </c>
      <c r="E64" s="300" t="s">
        <v>91</v>
      </c>
      <c r="F64" s="300"/>
      <c r="G64" s="21" t="s">
        <v>105</v>
      </c>
      <c r="H64" s="22">
        <v>8.3000000000000001E-3</v>
      </c>
      <c r="I64" s="23">
        <v>153.03</v>
      </c>
      <c r="J64" s="23">
        <v>1.27</v>
      </c>
    </row>
    <row r="65" spans="1:10" ht="20.100000000000001" customHeight="1" x14ac:dyDescent="0.2">
      <c r="A65" s="107" t="s">
        <v>56</v>
      </c>
      <c r="B65" s="20" t="s">
        <v>1137</v>
      </c>
      <c r="C65" s="107" t="s">
        <v>72</v>
      </c>
      <c r="D65" s="107" t="s">
        <v>1138</v>
      </c>
      <c r="E65" s="300" t="s">
        <v>91</v>
      </c>
      <c r="F65" s="300"/>
      <c r="G65" s="21" t="s">
        <v>105</v>
      </c>
      <c r="H65" s="22">
        <v>1.9800000000000002E-2</v>
      </c>
      <c r="I65" s="23">
        <v>203.53</v>
      </c>
      <c r="J65" s="23">
        <v>4.0199999999999996</v>
      </c>
    </row>
    <row r="66" spans="1:10" ht="20.100000000000001" customHeight="1" x14ac:dyDescent="0.2">
      <c r="A66" s="107" t="s">
        <v>56</v>
      </c>
      <c r="B66" s="20" t="s">
        <v>93</v>
      </c>
      <c r="C66" s="107" t="s">
        <v>72</v>
      </c>
      <c r="D66" s="107" t="s">
        <v>94</v>
      </c>
      <c r="E66" s="300" t="s">
        <v>91</v>
      </c>
      <c r="F66" s="300"/>
      <c r="G66" s="21" t="s">
        <v>92</v>
      </c>
      <c r="H66" s="22">
        <v>1.38E-2</v>
      </c>
      <c r="I66" s="23">
        <v>48.95</v>
      </c>
      <c r="J66" s="23">
        <v>0.67</v>
      </c>
    </row>
    <row r="67" spans="1:10" ht="20.100000000000001" customHeight="1" x14ac:dyDescent="0.2">
      <c r="A67" s="107" t="s">
        <v>56</v>
      </c>
      <c r="B67" s="20" t="s">
        <v>1139</v>
      </c>
      <c r="C67" s="107" t="s">
        <v>72</v>
      </c>
      <c r="D67" s="107" t="s">
        <v>1140</v>
      </c>
      <c r="E67" s="300" t="s">
        <v>91</v>
      </c>
      <c r="F67" s="300"/>
      <c r="G67" s="21" t="s">
        <v>92</v>
      </c>
      <c r="H67" s="22">
        <v>1.0500000000000001E-2</v>
      </c>
      <c r="I67" s="23">
        <v>61.49</v>
      </c>
      <c r="J67" s="23">
        <v>0.64</v>
      </c>
    </row>
    <row r="68" spans="1:10" ht="20.100000000000001" customHeight="1" x14ac:dyDescent="0.2">
      <c r="A68" s="106"/>
      <c r="B68" s="106"/>
      <c r="C68" s="106"/>
      <c r="D68" s="106"/>
      <c r="E68" s="106" t="s">
        <v>81</v>
      </c>
      <c r="F68" s="28">
        <v>0.43123435036631735</v>
      </c>
      <c r="G68" s="106" t="s">
        <v>82</v>
      </c>
      <c r="H68" s="28">
        <v>0.5</v>
      </c>
      <c r="I68" s="106" t="s">
        <v>83</v>
      </c>
      <c r="J68" s="28">
        <v>0.93</v>
      </c>
    </row>
    <row r="69" spans="1:10" ht="20.100000000000001" customHeight="1" x14ac:dyDescent="0.2">
      <c r="A69" s="106"/>
      <c r="B69" s="106"/>
      <c r="C69" s="106"/>
      <c r="D69" s="106"/>
      <c r="E69" s="106" t="s">
        <v>84</v>
      </c>
      <c r="F69" s="28">
        <v>1.59</v>
      </c>
      <c r="G69" s="106"/>
      <c r="H69" s="299" t="s">
        <v>85</v>
      </c>
      <c r="I69" s="299"/>
      <c r="J69" s="28">
        <v>8.19</v>
      </c>
    </row>
    <row r="70" spans="1:10" ht="20.100000000000001" customHeight="1" thickBot="1" x14ac:dyDescent="0.25">
      <c r="A70" s="104"/>
      <c r="B70" s="104"/>
      <c r="C70" s="104"/>
      <c r="D70" s="104"/>
      <c r="E70" s="104"/>
      <c r="F70" s="104"/>
      <c r="G70" s="104" t="s">
        <v>86</v>
      </c>
      <c r="H70" s="29">
        <v>40</v>
      </c>
      <c r="I70" s="104" t="s">
        <v>87</v>
      </c>
      <c r="J70" s="105">
        <v>327.60000000000002</v>
      </c>
    </row>
    <row r="71" spans="1:10" ht="20.100000000000001" customHeight="1" thickTop="1" x14ac:dyDescent="0.2">
      <c r="A71" s="30"/>
      <c r="B71" s="30"/>
      <c r="C71" s="30"/>
      <c r="D71" s="30"/>
      <c r="E71" s="30"/>
      <c r="F71" s="30"/>
      <c r="G71" s="30"/>
      <c r="H71" s="30"/>
      <c r="I71" s="30"/>
      <c r="J71" s="30"/>
    </row>
    <row r="72" spans="1:10" ht="24" customHeight="1" x14ac:dyDescent="0.2">
      <c r="A72" s="103" t="s">
        <v>1279</v>
      </c>
      <c r="B72" s="112" t="s">
        <v>24</v>
      </c>
      <c r="C72" s="103" t="s">
        <v>25</v>
      </c>
      <c r="D72" s="103" t="s">
        <v>10</v>
      </c>
      <c r="E72" s="283" t="s">
        <v>53</v>
      </c>
      <c r="F72" s="283"/>
      <c r="G72" s="113" t="s">
        <v>26</v>
      </c>
      <c r="H72" s="112" t="s">
        <v>27</v>
      </c>
      <c r="I72" s="112" t="s">
        <v>28</v>
      </c>
      <c r="J72" s="112" t="s">
        <v>11</v>
      </c>
    </row>
    <row r="73" spans="1:10" ht="24" customHeight="1" x14ac:dyDescent="0.2">
      <c r="A73" s="109" t="s">
        <v>54</v>
      </c>
      <c r="B73" s="10" t="s">
        <v>1053</v>
      </c>
      <c r="C73" s="109" t="s">
        <v>72</v>
      </c>
      <c r="D73" s="109" t="s">
        <v>1054</v>
      </c>
      <c r="E73" s="302" t="s">
        <v>1134</v>
      </c>
      <c r="F73" s="302"/>
      <c r="G73" s="11" t="s">
        <v>1055</v>
      </c>
      <c r="H73" s="19">
        <v>1</v>
      </c>
      <c r="I73" s="12">
        <v>2.35</v>
      </c>
      <c r="J73" s="12">
        <v>2.35</v>
      </c>
    </row>
    <row r="74" spans="1:10" ht="24" customHeight="1" x14ac:dyDescent="0.2">
      <c r="A74" s="107" t="s">
        <v>56</v>
      </c>
      <c r="B74" s="20" t="s">
        <v>1137</v>
      </c>
      <c r="C74" s="107" t="s">
        <v>72</v>
      </c>
      <c r="D74" s="107" t="s">
        <v>1138</v>
      </c>
      <c r="E74" s="300" t="s">
        <v>91</v>
      </c>
      <c r="F74" s="300"/>
      <c r="G74" s="21" t="s">
        <v>105</v>
      </c>
      <c r="H74" s="22">
        <v>1.0500000000000001E-2</v>
      </c>
      <c r="I74" s="23">
        <v>203.53</v>
      </c>
      <c r="J74" s="23">
        <v>2.13</v>
      </c>
    </row>
    <row r="75" spans="1:10" ht="24" customHeight="1" x14ac:dyDescent="0.2">
      <c r="A75" s="107" t="s">
        <v>56</v>
      </c>
      <c r="B75" s="20" t="s">
        <v>93</v>
      </c>
      <c r="C75" s="107" t="s">
        <v>72</v>
      </c>
      <c r="D75" s="107" t="s">
        <v>94</v>
      </c>
      <c r="E75" s="300" t="s">
        <v>91</v>
      </c>
      <c r="F75" s="300"/>
      <c r="G75" s="21" t="s">
        <v>92</v>
      </c>
      <c r="H75" s="22">
        <v>4.4999999999999997E-3</v>
      </c>
      <c r="I75" s="23">
        <v>48.95</v>
      </c>
      <c r="J75" s="23">
        <v>0.22</v>
      </c>
    </row>
    <row r="76" spans="1:10" ht="24" customHeight="1" x14ac:dyDescent="0.2">
      <c r="A76" s="106"/>
      <c r="B76" s="106"/>
      <c r="C76" s="106"/>
      <c r="D76" s="106"/>
      <c r="E76" s="106" t="s">
        <v>81</v>
      </c>
      <c r="F76" s="28">
        <v>0.11128628396550126</v>
      </c>
      <c r="G76" s="106" t="s">
        <v>82</v>
      </c>
      <c r="H76" s="28">
        <v>0.13</v>
      </c>
      <c r="I76" s="106" t="s">
        <v>83</v>
      </c>
      <c r="J76" s="28">
        <v>0.24000000000000002</v>
      </c>
    </row>
    <row r="77" spans="1:10" ht="24" customHeight="1" x14ac:dyDescent="0.2">
      <c r="A77" s="106"/>
      <c r="B77" s="106"/>
      <c r="C77" s="106"/>
      <c r="D77" s="106"/>
      <c r="E77" s="106" t="s">
        <v>84</v>
      </c>
      <c r="F77" s="28">
        <v>0.56000000000000005</v>
      </c>
      <c r="G77" s="106"/>
      <c r="H77" s="299" t="s">
        <v>85</v>
      </c>
      <c r="I77" s="299"/>
      <c r="J77" s="28">
        <v>2.91</v>
      </c>
    </row>
    <row r="78" spans="1:10" ht="24" customHeight="1" thickBot="1" x14ac:dyDescent="0.25">
      <c r="A78" s="104"/>
      <c r="B78" s="104"/>
      <c r="C78" s="104"/>
      <c r="D78" s="104"/>
      <c r="E78" s="104"/>
      <c r="F78" s="104"/>
      <c r="G78" s="104" t="s">
        <v>86</v>
      </c>
      <c r="H78" s="29">
        <v>40</v>
      </c>
      <c r="I78" s="104" t="s">
        <v>87</v>
      </c>
      <c r="J78" s="105">
        <v>116.4</v>
      </c>
    </row>
    <row r="79" spans="1:10" ht="20.100000000000001" customHeight="1" thickTop="1" x14ac:dyDescent="0.2">
      <c r="A79" s="30"/>
      <c r="B79" s="30"/>
      <c r="C79" s="30"/>
      <c r="D79" s="30"/>
      <c r="E79" s="30"/>
      <c r="F79" s="30"/>
      <c r="G79" s="30"/>
      <c r="H79" s="30"/>
      <c r="I79" s="30"/>
      <c r="J79" s="30"/>
    </row>
    <row r="80" spans="1:10" ht="20.100000000000001" customHeight="1" x14ac:dyDescent="0.2">
      <c r="A80" s="110" t="s">
        <v>15</v>
      </c>
      <c r="B80" s="110"/>
      <c r="C80" s="110"/>
      <c r="D80" s="110" t="s">
        <v>16</v>
      </c>
      <c r="E80" s="110"/>
      <c r="F80" s="303"/>
      <c r="G80" s="303"/>
      <c r="H80" s="7"/>
      <c r="I80" s="110"/>
      <c r="J80" s="8">
        <v>15165.02</v>
      </c>
    </row>
    <row r="81" spans="1:10" ht="36" customHeight="1" x14ac:dyDescent="0.2">
      <c r="A81" s="103" t="s">
        <v>47</v>
      </c>
      <c r="B81" s="112" t="s">
        <v>24</v>
      </c>
      <c r="C81" s="103" t="s">
        <v>25</v>
      </c>
      <c r="D81" s="103" t="s">
        <v>10</v>
      </c>
      <c r="E81" s="283" t="s">
        <v>53</v>
      </c>
      <c r="F81" s="283"/>
      <c r="G81" s="113" t="s">
        <v>26</v>
      </c>
      <c r="H81" s="112" t="s">
        <v>27</v>
      </c>
      <c r="I81" s="112" t="s">
        <v>28</v>
      </c>
      <c r="J81" s="112" t="s">
        <v>11</v>
      </c>
    </row>
    <row r="82" spans="1:10" ht="36" customHeight="1" x14ac:dyDescent="0.2">
      <c r="A82" s="109" t="s">
        <v>54</v>
      </c>
      <c r="B82" s="10" t="s">
        <v>144</v>
      </c>
      <c r="C82" s="109" t="s">
        <v>72</v>
      </c>
      <c r="D82" s="109" t="s">
        <v>145</v>
      </c>
      <c r="E82" s="302" t="s">
        <v>146</v>
      </c>
      <c r="F82" s="302"/>
      <c r="G82" s="11" t="s">
        <v>75</v>
      </c>
      <c r="H82" s="19">
        <v>1</v>
      </c>
      <c r="I82" s="12">
        <v>106.52</v>
      </c>
      <c r="J82" s="12">
        <v>106.52</v>
      </c>
    </row>
    <row r="83" spans="1:10" ht="36" customHeight="1" x14ac:dyDescent="0.2">
      <c r="A83" s="107" t="s">
        <v>56</v>
      </c>
      <c r="B83" s="20" t="s">
        <v>1141</v>
      </c>
      <c r="C83" s="107" t="s">
        <v>72</v>
      </c>
      <c r="D83" s="107" t="s">
        <v>1142</v>
      </c>
      <c r="E83" s="300" t="s">
        <v>146</v>
      </c>
      <c r="F83" s="300"/>
      <c r="G83" s="21" t="s">
        <v>75</v>
      </c>
      <c r="H83" s="22">
        <v>1</v>
      </c>
      <c r="I83" s="23">
        <v>1.0900000000000001</v>
      </c>
      <c r="J83" s="23">
        <v>1.0900000000000001</v>
      </c>
    </row>
    <row r="84" spans="1:10" ht="36" customHeight="1" x14ac:dyDescent="0.2">
      <c r="A84" s="108" t="s">
        <v>63</v>
      </c>
      <c r="B84" s="24" t="s">
        <v>302</v>
      </c>
      <c r="C84" s="108" t="s">
        <v>72</v>
      </c>
      <c r="D84" s="108" t="s">
        <v>303</v>
      </c>
      <c r="E84" s="301" t="s">
        <v>74</v>
      </c>
      <c r="F84" s="301"/>
      <c r="G84" s="25" t="s">
        <v>75</v>
      </c>
      <c r="H84" s="26">
        <v>1</v>
      </c>
      <c r="I84" s="27">
        <v>104.31</v>
      </c>
      <c r="J84" s="27">
        <v>104.31</v>
      </c>
    </row>
    <row r="85" spans="1:10" ht="36" customHeight="1" x14ac:dyDescent="0.2">
      <c r="A85" s="108" t="s">
        <v>63</v>
      </c>
      <c r="B85" s="24" t="s">
        <v>635</v>
      </c>
      <c r="C85" s="108" t="s">
        <v>72</v>
      </c>
      <c r="D85" s="108" t="s">
        <v>636</v>
      </c>
      <c r="E85" s="301" t="s">
        <v>164</v>
      </c>
      <c r="F85" s="301"/>
      <c r="G85" s="25" t="s">
        <v>75</v>
      </c>
      <c r="H85" s="26">
        <v>1</v>
      </c>
      <c r="I85" s="27">
        <v>0.55000000000000004</v>
      </c>
      <c r="J85" s="27">
        <v>0.55000000000000004</v>
      </c>
    </row>
    <row r="86" spans="1:10" ht="36" customHeight="1" x14ac:dyDescent="0.2">
      <c r="A86" s="108" t="s">
        <v>63</v>
      </c>
      <c r="B86" s="24" t="s">
        <v>492</v>
      </c>
      <c r="C86" s="108" t="s">
        <v>72</v>
      </c>
      <c r="D86" s="108" t="s">
        <v>493</v>
      </c>
      <c r="E86" s="301" t="s">
        <v>494</v>
      </c>
      <c r="F86" s="301"/>
      <c r="G86" s="25" t="s">
        <v>75</v>
      </c>
      <c r="H86" s="26">
        <v>1</v>
      </c>
      <c r="I86" s="27">
        <v>0.55000000000000004</v>
      </c>
      <c r="J86" s="27">
        <v>0.55000000000000004</v>
      </c>
    </row>
    <row r="87" spans="1:10" ht="36" customHeight="1" x14ac:dyDescent="0.2">
      <c r="A87" s="108" t="s">
        <v>63</v>
      </c>
      <c r="B87" s="24" t="s">
        <v>887</v>
      </c>
      <c r="C87" s="108" t="s">
        <v>72</v>
      </c>
      <c r="D87" s="108" t="s">
        <v>888</v>
      </c>
      <c r="E87" s="301" t="s">
        <v>164</v>
      </c>
      <c r="F87" s="301"/>
      <c r="G87" s="25" t="s">
        <v>75</v>
      </c>
      <c r="H87" s="26">
        <v>1</v>
      </c>
      <c r="I87" s="27">
        <v>0.01</v>
      </c>
      <c r="J87" s="27">
        <v>0.01</v>
      </c>
    </row>
    <row r="88" spans="1:10" ht="20.100000000000001" customHeight="1" x14ac:dyDescent="0.2">
      <c r="A88" s="108" t="s">
        <v>63</v>
      </c>
      <c r="B88" s="24" t="s">
        <v>826</v>
      </c>
      <c r="C88" s="108" t="s">
        <v>72</v>
      </c>
      <c r="D88" s="108" t="s">
        <v>827</v>
      </c>
      <c r="E88" s="301" t="s">
        <v>828</v>
      </c>
      <c r="F88" s="301"/>
      <c r="G88" s="25" t="s">
        <v>75</v>
      </c>
      <c r="H88" s="26">
        <v>1</v>
      </c>
      <c r="I88" s="27">
        <v>0.01</v>
      </c>
      <c r="J88" s="27">
        <v>0.01</v>
      </c>
    </row>
    <row r="89" spans="1:10" x14ac:dyDescent="0.2">
      <c r="A89" s="106"/>
      <c r="B89" s="106"/>
      <c r="C89" s="106"/>
      <c r="D89" s="106"/>
      <c r="E89" s="106" t="s">
        <v>81</v>
      </c>
      <c r="F89" s="28">
        <v>48.8732264</v>
      </c>
      <c r="G89" s="106" t="s">
        <v>82</v>
      </c>
      <c r="H89" s="28">
        <v>56.53</v>
      </c>
      <c r="I89" s="106" t="s">
        <v>83</v>
      </c>
      <c r="J89" s="28">
        <v>105.4</v>
      </c>
    </row>
    <row r="90" spans="1:10" x14ac:dyDescent="0.2">
      <c r="A90" s="106"/>
      <c r="B90" s="106"/>
      <c r="C90" s="106"/>
      <c r="D90" s="106"/>
      <c r="E90" s="106" t="s">
        <v>84</v>
      </c>
      <c r="F90" s="28">
        <v>25.8</v>
      </c>
      <c r="G90" s="106"/>
      <c r="H90" s="299" t="s">
        <v>85</v>
      </c>
      <c r="I90" s="299"/>
      <c r="J90" s="28">
        <v>132.32</v>
      </c>
    </row>
    <row r="91" spans="1:10" ht="30" customHeight="1" thickBot="1" x14ac:dyDescent="0.25">
      <c r="A91" s="104"/>
      <c r="B91" s="104"/>
      <c r="C91" s="104"/>
      <c r="D91" s="104"/>
      <c r="E91" s="104"/>
      <c r="F91" s="104"/>
      <c r="G91" s="104" t="s">
        <v>86</v>
      </c>
      <c r="H91" s="29">
        <v>40</v>
      </c>
      <c r="I91" s="104" t="s">
        <v>87</v>
      </c>
      <c r="J91" s="105">
        <v>5292.8</v>
      </c>
    </row>
    <row r="92" spans="1:10" ht="0.95" customHeight="1" thickTop="1" x14ac:dyDescent="0.2">
      <c r="A92" s="30"/>
      <c r="B92" s="30"/>
      <c r="C92" s="30"/>
      <c r="D92" s="30"/>
      <c r="E92" s="30"/>
      <c r="F92" s="30"/>
      <c r="G92" s="30"/>
      <c r="H92" s="30"/>
      <c r="I92" s="30"/>
      <c r="J92" s="30"/>
    </row>
    <row r="93" spans="1:10" ht="24" customHeight="1" x14ac:dyDescent="0.2">
      <c r="A93" s="103" t="s">
        <v>1056</v>
      </c>
      <c r="B93" s="112" t="s">
        <v>24</v>
      </c>
      <c r="C93" s="103" t="s">
        <v>25</v>
      </c>
      <c r="D93" s="103" t="s">
        <v>10</v>
      </c>
      <c r="E93" s="283" t="s">
        <v>53</v>
      </c>
      <c r="F93" s="283"/>
      <c r="G93" s="113" t="s">
        <v>26</v>
      </c>
      <c r="H93" s="112" t="s">
        <v>27</v>
      </c>
      <c r="I93" s="112" t="s">
        <v>28</v>
      </c>
      <c r="J93" s="112" t="s">
        <v>11</v>
      </c>
    </row>
    <row r="94" spans="1:10" ht="18" customHeight="1" x14ac:dyDescent="0.2">
      <c r="A94" s="109" t="s">
        <v>54</v>
      </c>
      <c r="B94" s="10" t="s">
        <v>1057</v>
      </c>
      <c r="C94" s="109" t="s">
        <v>72</v>
      </c>
      <c r="D94" s="109" t="s">
        <v>1058</v>
      </c>
      <c r="E94" s="302" t="s">
        <v>1112</v>
      </c>
      <c r="F94" s="302"/>
      <c r="G94" s="11" t="s">
        <v>34</v>
      </c>
      <c r="H94" s="19">
        <v>1</v>
      </c>
      <c r="I94" s="12">
        <v>780.08</v>
      </c>
      <c r="J94" s="12">
        <v>780.08</v>
      </c>
    </row>
    <row r="95" spans="1:10" ht="24" customHeight="1" x14ac:dyDescent="0.2">
      <c r="A95" s="107" t="s">
        <v>56</v>
      </c>
      <c r="B95" s="20" t="s">
        <v>1143</v>
      </c>
      <c r="C95" s="107" t="s">
        <v>72</v>
      </c>
      <c r="D95" s="107" t="s">
        <v>1144</v>
      </c>
      <c r="E95" s="300" t="s">
        <v>1112</v>
      </c>
      <c r="F95" s="300"/>
      <c r="G95" s="21" t="s">
        <v>34</v>
      </c>
      <c r="H95" s="22">
        <v>0.51359999999999995</v>
      </c>
      <c r="I95" s="23">
        <v>123.74</v>
      </c>
      <c r="J95" s="23">
        <v>63.55</v>
      </c>
    </row>
    <row r="96" spans="1:10" ht="24" customHeight="1" x14ac:dyDescent="0.2">
      <c r="A96" s="107" t="s">
        <v>56</v>
      </c>
      <c r="B96" s="20" t="s">
        <v>1145</v>
      </c>
      <c r="C96" s="107" t="s">
        <v>72</v>
      </c>
      <c r="D96" s="107" t="s">
        <v>1146</v>
      </c>
      <c r="E96" s="300" t="s">
        <v>1112</v>
      </c>
      <c r="F96" s="300"/>
      <c r="G96" s="21" t="s">
        <v>34</v>
      </c>
      <c r="H96" s="22">
        <v>0.59109999999999996</v>
      </c>
      <c r="I96" s="23">
        <v>126.11</v>
      </c>
      <c r="J96" s="23">
        <v>74.540000000000006</v>
      </c>
    </row>
    <row r="97" spans="1:10" ht="38.25" x14ac:dyDescent="0.2">
      <c r="A97" s="107" t="s">
        <v>56</v>
      </c>
      <c r="B97" s="20" t="s">
        <v>1147</v>
      </c>
      <c r="C97" s="107" t="s">
        <v>72</v>
      </c>
      <c r="D97" s="107" t="s">
        <v>1148</v>
      </c>
      <c r="E97" s="300" t="s">
        <v>1112</v>
      </c>
      <c r="F97" s="300"/>
      <c r="G97" s="21" t="s">
        <v>34</v>
      </c>
      <c r="H97" s="22">
        <v>0.80230000000000001</v>
      </c>
      <c r="I97" s="23">
        <v>149.28</v>
      </c>
      <c r="J97" s="23">
        <v>119.76</v>
      </c>
    </row>
    <row r="98" spans="1:10" ht="38.25" x14ac:dyDescent="0.2">
      <c r="A98" s="107" t="s">
        <v>56</v>
      </c>
      <c r="B98" s="20" t="s">
        <v>1149</v>
      </c>
      <c r="C98" s="107" t="s">
        <v>72</v>
      </c>
      <c r="D98" s="107" t="s">
        <v>1150</v>
      </c>
      <c r="E98" s="300" t="s">
        <v>1112</v>
      </c>
      <c r="F98" s="300"/>
      <c r="G98" s="21" t="s">
        <v>34</v>
      </c>
      <c r="H98" s="22">
        <v>0.62549999999999994</v>
      </c>
      <c r="I98" s="23">
        <v>191.08</v>
      </c>
      <c r="J98" s="23">
        <v>119.52</v>
      </c>
    </row>
    <row r="99" spans="1:10" ht="30" customHeight="1" x14ac:dyDescent="0.2">
      <c r="A99" s="107" t="s">
        <v>56</v>
      </c>
      <c r="B99" s="20" t="s">
        <v>1151</v>
      </c>
      <c r="C99" s="107" t="s">
        <v>72</v>
      </c>
      <c r="D99" s="107" t="s">
        <v>1152</v>
      </c>
      <c r="E99" s="300" t="s">
        <v>1153</v>
      </c>
      <c r="F99" s="300"/>
      <c r="G99" s="21" t="s">
        <v>34</v>
      </c>
      <c r="H99" s="22">
        <v>1.7192000000000001</v>
      </c>
      <c r="I99" s="23">
        <v>20.07</v>
      </c>
      <c r="J99" s="23">
        <v>34.5</v>
      </c>
    </row>
    <row r="100" spans="1:10" ht="0.95" customHeight="1" x14ac:dyDescent="0.2">
      <c r="A100" s="107" t="s">
        <v>56</v>
      </c>
      <c r="B100" s="20" t="s">
        <v>1154</v>
      </c>
      <c r="C100" s="107" t="s">
        <v>72</v>
      </c>
      <c r="D100" s="107" t="s">
        <v>1155</v>
      </c>
      <c r="E100" s="300" t="s">
        <v>1153</v>
      </c>
      <c r="F100" s="300"/>
      <c r="G100" s="21" t="s">
        <v>34</v>
      </c>
      <c r="H100" s="22">
        <v>1.7192000000000001</v>
      </c>
      <c r="I100" s="23">
        <v>52.99</v>
      </c>
      <c r="J100" s="23">
        <v>91.1</v>
      </c>
    </row>
    <row r="101" spans="1:10" ht="24" customHeight="1" x14ac:dyDescent="0.2">
      <c r="A101" s="107" t="s">
        <v>56</v>
      </c>
      <c r="B101" s="20" t="s">
        <v>1156</v>
      </c>
      <c r="C101" s="107" t="s">
        <v>72</v>
      </c>
      <c r="D101" s="107" t="s">
        <v>1157</v>
      </c>
      <c r="E101" s="300" t="s">
        <v>1158</v>
      </c>
      <c r="F101" s="300"/>
      <c r="G101" s="21" t="s">
        <v>34</v>
      </c>
      <c r="H101" s="22">
        <v>6.6199999999999995E-2</v>
      </c>
      <c r="I101" s="23">
        <v>696.85</v>
      </c>
      <c r="J101" s="23">
        <v>46.13</v>
      </c>
    </row>
    <row r="102" spans="1:10" ht="18" customHeight="1" x14ac:dyDescent="0.2">
      <c r="A102" s="107" t="s">
        <v>56</v>
      </c>
      <c r="B102" s="20" t="s">
        <v>1159</v>
      </c>
      <c r="C102" s="107" t="s">
        <v>72</v>
      </c>
      <c r="D102" s="107" t="s">
        <v>1160</v>
      </c>
      <c r="E102" s="300" t="s">
        <v>1158</v>
      </c>
      <c r="F102" s="300"/>
      <c r="G102" s="21" t="s">
        <v>34</v>
      </c>
      <c r="H102" s="22">
        <v>0.153</v>
      </c>
      <c r="I102" s="23">
        <v>514.11</v>
      </c>
      <c r="J102" s="23">
        <v>78.650000000000006</v>
      </c>
    </row>
    <row r="103" spans="1:10" ht="24" customHeight="1" x14ac:dyDescent="0.2">
      <c r="A103" s="107" t="s">
        <v>56</v>
      </c>
      <c r="B103" s="20" t="s">
        <v>1161</v>
      </c>
      <c r="C103" s="107" t="s">
        <v>72</v>
      </c>
      <c r="D103" s="107" t="s">
        <v>1162</v>
      </c>
      <c r="E103" s="300" t="s">
        <v>147</v>
      </c>
      <c r="F103" s="300"/>
      <c r="G103" s="21" t="s">
        <v>34</v>
      </c>
      <c r="H103" s="22">
        <v>9.2999999999999992E-3</v>
      </c>
      <c r="I103" s="23">
        <v>13.2</v>
      </c>
      <c r="J103" s="23">
        <v>0.12</v>
      </c>
    </row>
    <row r="104" spans="1:10" ht="24" customHeight="1" x14ac:dyDescent="0.2">
      <c r="A104" s="107" t="s">
        <v>56</v>
      </c>
      <c r="B104" s="20" t="s">
        <v>1163</v>
      </c>
      <c r="C104" s="107" t="s">
        <v>72</v>
      </c>
      <c r="D104" s="107" t="s">
        <v>1164</v>
      </c>
      <c r="E104" s="300" t="s">
        <v>147</v>
      </c>
      <c r="F104" s="300"/>
      <c r="G104" s="21" t="s">
        <v>34</v>
      </c>
      <c r="H104" s="22">
        <v>1.5109999999999999</v>
      </c>
      <c r="I104" s="23">
        <v>22.01</v>
      </c>
      <c r="J104" s="23">
        <v>33.25</v>
      </c>
    </row>
    <row r="105" spans="1:10" ht="24" customHeight="1" x14ac:dyDescent="0.2">
      <c r="A105" s="107" t="s">
        <v>56</v>
      </c>
      <c r="B105" s="20" t="s">
        <v>1165</v>
      </c>
      <c r="C105" s="107" t="s">
        <v>72</v>
      </c>
      <c r="D105" s="107" t="s">
        <v>1166</v>
      </c>
      <c r="E105" s="300" t="s">
        <v>147</v>
      </c>
      <c r="F105" s="300"/>
      <c r="G105" s="21" t="s">
        <v>154</v>
      </c>
      <c r="H105" s="22">
        <v>4.1700000000000001E-2</v>
      </c>
      <c r="I105" s="23">
        <v>740.16</v>
      </c>
      <c r="J105" s="23">
        <v>30.86</v>
      </c>
    </row>
    <row r="106" spans="1:10" ht="24" customHeight="1" x14ac:dyDescent="0.2">
      <c r="A106" s="107" t="s">
        <v>56</v>
      </c>
      <c r="B106" s="20" t="s">
        <v>1167</v>
      </c>
      <c r="C106" s="107" t="s">
        <v>72</v>
      </c>
      <c r="D106" s="107" t="s">
        <v>1168</v>
      </c>
      <c r="E106" s="300" t="s">
        <v>1169</v>
      </c>
      <c r="F106" s="300"/>
      <c r="G106" s="21" t="s">
        <v>121</v>
      </c>
      <c r="H106" s="22">
        <v>6.6199999999999995E-2</v>
      </c>
      <c r="I106" s="23">
        <v>5.89</v>
      </c>
      <c r="J106" s="23">
        <v>0.38</v>
      </c>
    </row>
    <row r="107" spans="1:10" ht="24" customHeight="1" x14ac:dyDescent="0.2">
      <c r="A107" s="107" t="s">
        <v>56</v>
      </c>
      <c r="B107" s="20" t="s">
        <v>1170</v>
      </c>
      <c r="C107" s="107" t="s">
        <v>72</v>
      </c>
      <c r="D107" s="107" t="s">
        <v>1171</v>
      </c>
      <c r="E107" s="300" t="s">
        <v>1169</v>
      </c>
      <c r="F107" s="300"/>
      <c r="G107" s="21" t="s">
        <v>121</v>
      </c>
      <c r="H107" s="22">
        <v>0.13250000000000001</v>
      </c>
      <c r="I107" s="23">
        <v>7.49</v>
      </c>
      <c r="J107" s="23">
        <v>0.99</v>
      </c>
    </row>
    <row r="108" spans="1:10" ht="24" customHeight="1" x14ac:dyDescent="0.2">
      <c r="A108" s="107" t="s">
        <v>56</v>
      </c>
      <c r="B108" s="20" t="s">
        <v>1172</v>
      </c>
      <c r="C108" s="107" t="s">
        <v>72</v>
      </c>
      <c r="D108" s="107" t="s">
        <v>1173</v>
      </c>
      <c r="E108" s="300" t="s">
        <v>1169</v>
      </c>
      <c r="F108" s="300"/>
      <c r="G108" s="21" t="s">
        <v>121</v>
      </c>
      <c r="H108" s="22">
        <v>0.17219999999999999</v>
      </c>
      <c r="I108" s="23">
        <v>7.67</v>
      </c>
      <c r="J108" s="23">
        <v>1.32</v>
      </c>
    </row>
    <row r="109" spans="1:10" ht="36" customHeight="1" x14ac:dyDescent="0.2">
      <c r="A109" s="107" t="s">
        <v>56</v>
      </c>
      <c r="B109" s="20" t="s">
        <v>1174</v>
      </c>
      <c r="C109" s="107" t="s">
        <v>72</v>
      </c>
      <c r="D109" s="107" t="s">
        <v>1175</v>
      </c>
      <c r="E109" s="300" t="s">
        <v>1169</v>
      </c>
      <c r="F109" s="300"/>
      <c r="G109" s="21" t="s">
        <v>121</v>
      </c>
      <c r="H109" s="22">
        <v>0.67549999999999999</v>
      </c>
      <c r="I109" s="23">
        <v>2.62</v>
      </c>
      <c r="J109" s="23">
        <v>1.76</v>
      </c>
    </row>
    <row r="110" spans="1:10" ht="36" customHeight="1" x14ac:dyDescent="0.2">
      <c r="A110" s="107" t="s">
        <v>56</v>
      </c>
      <c r="B110" s="20" t="s">
        <v>1176</v>
      </c>
      <c r="C110" s="107" t="s">
        <v>72</v>
      </c>
      <c r="D110" s="107" t="s">
        <v>1177</v>
      </c>
      <c r="E110" s="300" t="s">
        <v>1169</v>
      </c>
      <c r="F110" s="300"/>
      <c r="G110" s="21" t="s">
        <v>39</v>
      </c>
      <c r="H110" s="22">
        <v>0.13250000000000001</v>
      </c>
      <c r="I110" s="23">
        <v>20.28</v>
      </c>
      <c r="J110" s="23">
        <v>2.68</v>
      </c>
    </row>
    <row r="111" spans="1:10" ht="24" customHeight="1" x14ac:dyDescent="0.2">
      <c r="A111" s="107" t="s">
        <v>56</v>
      </c>
      <c r="B111" s="20" t="s">
        <v>1178</v>
      </c>
      <c r="C111" s="107" t="s">
        <v>72</v>
      </c>
      <c r="D111" s="107" t="s">
        <v>1179</v>
      </c>
      <c r="E111" s="300" t="s">
        <v>1169</v>
      </c>
      <c r="F111" s="300"/>
      <c r="G111" s="21" t="s">
        <v>39</v>
      </c>
      <c r="H111" s="22">
        <v>6.6199999999999995E-2</v>
      </c>
      <c r="I111" s="23">
        <v>39.18</v>
      </c>
      <c r="J111" s="23">
        <v>2.59</v>
      </c>
    </row>
    <row r="112" spans="1:10" ht="24" customHeight="1" x14ac:dyDescent="0.2">
      <c r="A112" s="107" t="s">
        <v>56</v>
      </c>
      <c r="B112" s="20" t="s">
        <v>1180</v>
      </c>
      <c r="C112" s="107" t="s">
        <v>72</v>
      </c>
      <c r="D112" s="107" t="s">
        <v>1181</v>
      </c>
      <c r="E112" s="300" t="s">
        <v>1169</v>
      </c>
      <c r="F112" s="300"/>
      <c r="G112" s="21" t="s">
        <v>39</v>
      </c>
      <c r="H112" s="22">
        <v>6.6199999999999995E-2</v>
      </c>
      <c r="I112" s="23">
        <v>119.68</v>
      </c>
      <c r="J112" s="23">
        <v>7.92</v>
      </c>
    </row>
    <row r="113" spans="1:10" ht="36" customHeight="1" x14ac:dyDescent="0.2">
      <c r="A113" s="107" t="s">
        <v>56</v>
      </c>
      <c r="B113" s="20" t="s">
        <v>1182</v>
      </c>
      <c r="C113" s="107" t="s">
        <v>72</v>
      </c>
      <c r="D113" s="107" t="s">
        <v>1183</v>
      </c>
      <c r="E113" s="300" t="s">
        <v>1184</v>
      </c>
      <c r="F113" s="300"/>
      <c r="G113" s="21" t="s">
        <v>121</v>
      </c>
      <c r="H113" s="22">
        <v>0.13250000000000001</v>
      </c>
      <c r="I113" s="23">
        <v>2.78</v>
      </c>
      <c r="J113" s="23">
        <v>0.36</v>
      </c>
    </row>
    <row r="114" spans="1:10" ht="24" customHeight="1" x14ac:dyDescent="0.2">
      <c r="A114" s="107" t="s">
        <v>56</v>
      </c>
      <c r="B114" s="20" t="s">
        <v>1185</v>
      </c>
      <c r="C114" s="107" t="s">
        <v>72</v>
      </c>
      <c r="D114" s="107" t="s">
        <v>1186</v>
      </c>
      <c r="E114" s="300" t="s">
        <v>1184</v>
      </c>
      <c r="F114" s="300"/>
      <c r="G114" s="21" t="s">
        <v>121</v>
      </c>
      <c r="H114" s="22">
        <v>0.17219999999999999</v>
      </c>
      <c r="I114" s="23">
        <v>1.4</v>
      </c>
      <c r="J114" s="23">
        <v>0.24</v>
      </c>
    </row>
    <row r="115" spans="1:10" ht="24" customHeight="1" x14ac:dyDescent="0.2">
      <c r="A115" s="107" t="s">
        <v>56</v>
      </c>
      <c r="B115" s="20" t="s">
        <v>1187</v>
      </c>
      <c r="C115" s="107" t="s">
        <v>72</v>
      </c>
      <c r="D115" s="107" t="s">
        <v>1188</v>
      </c>
      <c r="E115" s="300" t="s">
        <v>1189</v>
      </c>
      <c r="F115" s="300"/>
      <c r="G115" s="21" t="s">
        <v>154</v>
      </c>
      <c r="H115" s="22">
        <v>4.0399999999999998E-2</v>
      </c>
      <c r="I115" s="23">
        <v>56.61</v>
      </c>
      <c r="J115" s="23">
        <v>2.2799999999999998</v>
      </c>
    </row>
    <row r="116" spans="1:10" ht="25.5" customHeight="1" x14ac:dyDescent="0.2">
      <c r="A116" s="107" t="s">
        <v>56</v>
      </c>
      <c r="B116" s="20" t="s">
        <v>1190</v>
      </c>
      <c r="C116" s="107" t="s">
        <v>72</v>
      </c>
      <c r="D116" s="107" t="s">
        <v>1191</v>
      </c>
      <c r="E116" s="300" t="s">
        <v>1189</v>
      </c>
      <c r="F116" s="300"/>
      <c r="G116" s="21" t="s">
        <v>154</v>
      </c>
      <c r="H116" s="22">
        <v>1.06E-2</v>
      </c>
      <c r="I116" s="23">
        <v>34.32</v>
      </c>
      <c r="J116" s="23">
        <v>0.36</v>
      </c>
    </row>
    <row r="117" spans="1:10" ht="25.5" x14ac:dyDescent="0.2">
      <c r="A117" s="107" t="s">
        <v>56</v>
      </c>
      <c r="B117" s="20" t="s">
        <v>1192</v>
      </c>
      <c r="C117" s="107" t="s">
        <v>72</v>
      </c>
      <c r="D117" s="107" t="s">
        <v>1193</v>
      </c>
      <c r="E117" s="300" t="s">
        <v>155</v>
      </c>
      <c r="F117" s="300"/>
      <c r="G117" s="21" t="s">
        <v>34</v>
      </c>
      <c r="H117" s="22">
        <v>5.0648999999999997</v>
      </c>
      <c r="I117" s="23">
        <v>13.1</v>
      </c>
      <c r="J117" s="23">
        <v>66.349999999999994</v>
      </c>
    </row>
    <row r="118" spans="1:10" ht="30" customHeight="1" x14ac:dyDescent="0.2">
      <c r="A118" s="108" t="s">
        <v>63</v>
      </c>
      <c r="B118" s="24" t="s">
        <v>1194</v>
      </c>
      <c r="C118" s="108" t="s">
        <v>72</v>
      </c>
      <c r="D118" s="108" t="s">
        <v>1195</v>
      </c>
      <c r="E118" s="301" t="s">
        <v>66</v>
      </c>
      <c r="F118" s="301"/>
      <c r="G118" s="25" t="s">
        <v>39</v>
      </c>
      <c r="H118" s="26">
        <v>6.6199999999999995E-2</v>
      </c>
      <c r="I118" s="27">
        <v>13.19</v>
      </c>
      <c r="J118" s="27">
        <v>0.87</v>
      </c>
    </row>
    <row r="119" spans="1:10" ht="0.95" customHeight="1" x14ac:dyDescent="0.2">
      <c r="A119" s="106"/>
      <c r="B119" s="106"/>
      <c r="C119" s="106"/>
      <c r="D119" s="106"/>
      <c r="E119" s="106" t="s">
        <v>81</v>
      </c>
      <c r="F119" s="28">
        <v>61.722155244366135</v>
      </c>
      <c r="G119" s="106" t="s">
        <v>82</v>
      </c>
      <c r="H119" s="28">
        <v>71.39</v>
      </c>
      <c r="I119" s="106" t="s">
        <v>83</v>
      </c>
      <c r="J119" s="28">
        <v>133.11000000000001</v>
      </c>
    </row>
    <row r="120" spans="1:10" ht="24" customHeight="1" x14ac:dyDescent="0.2">
      <c r="A120" s="106"/>
      <c r="B120" s="106"/>
      <c r="C120" s="106"/>
      <c r="D120" s="106"/>
      <c r="E120" s="106" t="s">
        <v>84</v>
      </c>
      <c r="F120" s="28">
        <v>189.01</v>
      </c>
      <c r="G120" s="106"/>
      <c r="H120" s="299" t="s">
        <v>85</v>
      </c>
      <c r="I120" s="299"/>
      <c r="J120" s="28">
        <v>969.09</v>
      </c>
    </row>
    <row r="121" spans="1:10" ht="18" customHeight="1" thickBot="1" x14ac:dyDescent="0.25">
      <c r="A121" s="104"/>
      <c r="B121" s="104"/>
      <c r="C121" s="104"/>
      <c r="D121" s="104"/>
      <c r="E121" s="104"/>
      <c r="F121" s="104"/>
      <c r="G121" s="104" t="s">
        <v>86</v>
      </c>
      <c r="H121" s="29">
        <v>8</v>
      </c>
      <c r="I121" s="104" t="s">
        <v>87</v>
      </c>
      <c r="J121" s="105">
        <v>7752.72</v>
      </c>
    </row>
    <row r="122" spans="1:10" ht="36" customHeight="1" thickTop="1" x14ac:dyDescent="0.2">
      <c r="A122" s="30"/>
      <c r="B122" s="30"/>
      <c r="C122" s="30"/>
      <c r="D122" s="30"/>
      <c r="E122" s="30"/>
      <c r="F122" s="30"/>
      <c r="G122" s="30"/>
      <c r="H122" s="30"/>
      <c r="I122" s="30"/>
      <c r="J122" s="30"/>
    </row>
    <row r="123" spans="1:10" ht="15" customHeight="1" x14ac:dyDescent="0.2">
      <c r="A123" s="103" t="s">
        <v>1056</v>
      </c>
      <c r="B123" s="112" t="s">
        <v>24</v>
      </c>
      <c r="C123" s="103" t="s">
        <v>25</v>
      </c>
      <c r="D123" s="103" t="s">
        <v>10</v>
      </c>
      <c r="E123" s="283" t="s">
        <v>53</v>
      </c>
      <c r="F123" s="283"/>
      <c r="G123" s="113" t="s">
        <v>26</v>
      </c>
      <c r="H123" s="112" t="s">
        <v>27</v>
      </c>
      <c r="I123" s="112" t="s">
        <v>28</v>
      </c>
      <c r="J123" s="112" t="s">
        <v>11</v>
      </c>
    </row>
    <row r="124" spans="1:10" ht="15" customHeight="1" x14ac:dyDescent="0.2">
      <c r="A124" s="109" t="s">
        <v>54</v>
      </c>
      <c r="B124" s="10" t="s">
        <v>148</v>
      </c>
      <c r="C124" s="109" t="s">
        <v>72</v>
      </c>
      <c r="D124" s="109" t="s">
        <v>149</v>
      </c>
      <c r="E124" s="302" t="s">
        <v>146</v>
      </c>
      <c r="F124" s="302"/>
      <c r="G124" s="11" t="s">
        <v>75</v>
      </c>
      <c r="H124" s="19">
        <v>1</v>
      </c>
      <c r="I124" s="12">
        <v>25.3</v>
      </c>
      <c r="J124" s="12">
        <v>25.3</v>
      </c>
    </row>
    <row r="125" spans="1:10" ht="24" customHeight="1" x14ac:dyDescent="0.2">
      <c r="A125" s="107" t="s">
        <v>56</v>
      </c>
      <c r="B125" s="20" t="s">
        <v>1196</v>
      </c>
      <c r="C125" s="107" t="s">
        <v>72</v>
      </c>
      <c r="D125" s="107" t="s">
        <v>1197</v>
      </c>
      <c r="E125" s="300" t="s">
        <v>146</v>
      </c>
      <c r="F125" s="300"/>
      <c r="G125" s="21" t="s">
        <v>75</v>
      </c>
      <c r="H125" s="22">
        <v>1</v>
      </c>
      <c r="I125" s="23">
        <v>0.35</v>
      </c>
      <c r="J125" s="23">
        <v>0.35</v>
      </c>
    </row>
    <row r="126" spans="1:10" ht="20.100000000000001" customHeight="1" x14ac:dyDescent="0.2">
      <c r="A126" s="108" t="s">
        <v>63</v>
      </c>
      <c r="B126" s="24" t="s">
        <v>675</v>
      </c>
      <c r="C126" s="108" t="s">
        <v>72</v>
      </c>
      <c r="D126" s="108" t="s">
        <v>676</v>
      </c>
      <c r="E126" s="301" t="s">
        <v>74</v>
      </c>
      <c r="F126" s="301"/>
      <c r="G126" s="25" t="s">
        <v>75</v>
      </c>
      <c r="H126" s="26">
        <v>1</v>
      </c>
      <c r="I126" s="27">
        <v>23.37</v>
      </c>
      <c r="J126" s="27">
        <v>23.37</v>
      </c>
    </row>
    <row r="127" spans="1:10" ht="20.100000000000001" customHeight="1" x14ac:dyDescent="0.2">
      <c r="A127" s="108" t="s">
        <v>63</v>
      </c>
      <c r="B127" s="24" t="s">
        <v>862</v>
      </c>
      <c r="C127" s="108" t="s">
        <v>72</v>
      </c>
      <c r="D127" s="108" t="s">
        <v>863</v>
      </c>
      <c r="E127" s="301" t="s">
        <v>164</v>
      </c>
      <c r="F127" s="301"/>
      <c r="G127" s="25" t="s">
        <v>75</v>
      </c>
      <c r="H127" s="26">
        <v>1</v>
      </c>
      <c r="I127" s="27">
        <v>0.94</v>
      </c>
      <c r="J127" s="27">
        <v>0.94</v>
      </c>
    </row>
    <row r="128" spans="1:10" ht="24" customHeight="1" x14ac:dyDescent="0.2">
      <c r="A128" s="108" t="s">
        <v>63</v>
      </c>
      <c r="B128" s="24" t="s">
        <v>492</v>
      </c>
      <c r="C128" s="108" t="s">
        <v>72</v>
      </c>
      <c r="D128" s="108" t="s">
        <v>493</v>
      </c>
      <c r="E128" s="301" t="s">
        <v>494</v>
      </c>
      <c r="F128" s="301"/>
      <c r="G128" s="25" t="s">
        <v>75</v>
      </c>
      <c r="H128" s="26">
        <v>1</v>
      </c>
      <c r="I128" s="27">
        <v>0.55000000000000004</v>
      </c>
      <c r="J128" s="27">
        <v>0.55000000000000004</v>
      </c>
    </row>
    <row r="129" spans="1:10" ht="24" customHeight="1" x14ac:dyDescent="0.2">
      <c r="A129" s="108" t="s">
        <v>63</v>
      </c>
      <c r="B129" s="24" t="s">
        <v>949</v>
      </c>
      <c r="C129" s="108" t="s">
        <v>72</v>
      </c>
      <c r="D129" s="108" t="s">
        <v>950</v>
      </c>
      <c r="E129" s="301" t="s">
        <v>164</v>
      </c>
      <c r="F129" s="301"/>
      <c r="G129" s="25" t="s">
        <v>75</v>
      </c>
      <c r="H129" s="26">
        <v>1</v>
      </c>
      <c r="I129" s="27">
        <v>0.08</v>
      </c>
      <c r="J129" s="27">
        <v>0.08</v>
      </c>
    </row>
    <row r="130" spans="1:10" ht="20.100000000000001" customHeight="1" x14ac:dyDescent="0.2">
      <c r="A130" s="108" t="s">
        <v>63</v>
      </c>
      <c r="B130" s="24" t="s">
        <v>826</v>
      </c>
      <c r="C130" s="108" t="s">
        <v>72</v>
      </c>
      <c r="D130" s="108" t="s">
        <v>827</v>
      </c>
      <c r="E130" s="301" t="s">
        <v>828</v>
      </c>
      <c r="F130" s="301"/>
      <c r="G130" s="25" t="s">
        <v>75</v>
      </c>
      <c r="H130" s="26">
        <v>1</v>
      </c>
      <c r="I130" s="27">
        <v>0.01</v>
      </c>
      <c r="J130" s="27">
        <v>0.01</v>
      </c>
    </row>
    <row r="131" spans="1:10" ht="20.100000000000001" customHeight="1" x14ac:dyDescent="0.2">
      <c r="A131" s="106"/>
      <c r="B131" s="106"/>
      <c r="C131" s="106"/>
      <c r="D131" s="106"/>
      <c r="E131" s="106" t="s">
        <v>81</v>
      </c>
      <c r="F131" s="28">
        <v>10.9987944</v>
      </c>
      <c r="G131" s="106" t="s">
        <v>82</v>
      </c>
      <c r="H131" s="28">
        <v>12.72</v>
      </c>
      <c r="I131" s="106" t="s">
        <v>83</v>
      </c>
      <c r="J131" s="28">
        <v>23.72</v>
      </c>
    </row>
    <row r="132" spans="1:10" ht="20.100000000000001" customHeight="1" x14ac:dyDescent="0.2">
      <c r="A132" s="106"/>
      <c r="B132" s="106"/>
      <c r="C132" s="106"/>
      <c r="D132" s="106"/>
      <c r="E132" s="106" t="s">
        <v>84</v>
      </c>
      <c r="F132" s="28">
        <v>6.13</v>
      </c>
      <c r="G132" s="106"/>
      <c r="H132" s="299" t="s">
        <v>85</v>
      </c>
      <c r="I132" s="299"/>
      <c r="J132" s="28">
        <v>31.43</v>
      </c>
    </row>
    <row r="133" spans="1:10" ht="20.100000000000001" customHeight="1" thickBot="1" x14ac:dyDescent="0.25">
      <c r="A133" s="104"/>
      <c r="B133" s="104"/>
      <c r="C133" s="104"/>
      <c r="D133" s="104"/>
      <c r="E133" s="104"/>
      <c r="F133" s="104"/>
      <c r="G133" s="104" t="s">
        <v>86</v>
      </c>
      <c r="H133" s="29">
        <v>60</v>
      </c>
      <c r="I133" s="104" t="s">
        <v>87</v>
      </c>
      <c r="J133" s="105">
        <v>1885.8</v>
      </c>
    </row>
    <row r="134" spans="1:10" ht="20.100000000000001" customHeight="1" thickTop="1" x14ac:dyDescent="0.2">
      <c r="A134" s="30"/>
      <c r="B134" s="30"/>
      <c r="C134" s="30"/>
      <c r="D134" s="30"/>
      <c r="E134" s="30"/>
      <c r="F134" s="30"/>
      <c r="G134" s="30"/>
      <c r="H134" s="30"/>
      <c r="I134" s="30"/>
      <c r="J134" s="30"/>
    </row>
    <row r="135" spans="1:10" ht="20.100000000000001" customHeight="1" x14ac:dyDescent="0.2">
      <c r="A135" s="103" t="s">
        <v>1059</v>
      </c>
      <c r="B135" s="112" t="s">
        <v>24</v>
      </c>
      <c r="C135" s="103" t="s">
        <v>25</v>
      </c>
      <c r="D135" s="103" t="s">
        <v>10</v>
      </c>
      <c r="E135" s="283" t="s">
        <v>53</v>
      </c>
      <c r="F135" s="283"/>
      <c r="G135" s="113" t="s">
        <v>26</v>
      </c>
      <c r="H135" s="112" t="s">
        <v>27</v>
      </c>
      <c r="I135" s="112" t="s">
        <v>28</v>
      </c>
      <c r="J135" s="112" t="s">
        <v>11</v>
      </c>
    </row>
    <row r="136" spans="1:10" ht="20.100000000000001" customHeight="1" x14ac:dyDescent="0.2">
      <c r="A136" s="109" t="s">
        <v>54</v>
      </c>
      <c r="B136" s="10" t="s">
        <v>1060</v>
      </c>
      <c r="C136" s="109" t="s">
        <v>32</v>
      </c>
      <c r="D136" s="109" t="s">
        <v>1061</v>
      </c>
      <c r="E136" s="302" t="s">
        <v>1198</v>
      </c>
      <c r="F136" s="302"/>
      <c r="G136" s="11" t="s">
        <v>43</v>
      </c>
      <c r="H136" s="19">
        <v>1</v>
      </c>
      <c r="I136" s="12">
        <v>15.87</v>
      </c>
      <c r="J136" s="12">
        <v>15.87</v>
      </c>
    </row>
    <row r="137" spans="1:10" ht="20.100000000000001" customHeight="1" x14ac:dyDescent="0.2">
      <c r="A137" s="107" t="s">
        <v>56</v>
      </c>
      <c r="B137" s="20" t="s">
        <v>57</v>
      </c>
      <c r="C137" s="107" t="s">
        <v>32</v>
      </c>
      <c r="D137" s="107" t="s">
        <v>58</v>
      </c>
      <c r="E137" s="300" t="s">
        <v>59</v>
      </c>
      <c r="F137" s="300"/>
      <c r="G137" s="21" t="s">
        <v>60</v>
      </c>
      <c r="H137" s="22">
        <v>0.05</v>
      </c>
      <c r="I137" s="23">
        <v>3.5</v>
      </c>
      <c r="J137" s="23">
        <v>0.17</v>
      </c>
    </row>
    <row r="138" spans="1:10" ht="24" customHeight="1" x14ac:dyDescent="0.2">
      <c r="A138" s="107" t="s">
        <v>56</v>
      </c>
      <c r="B138" s="20" t="s">
        <v>109</v>
      </c>
      <c r="C138" s="107" t="s">
        <v>32</v>
      </c>
      <c r="D138" s="107" t="s">
        <v>110</v>
      </c>
      <c r="E138" s="300" t="s">
        <v>59</v>
      </c>
      <c r="F138" s="300"/>
      <c r="G138" s="21" t="s">
        <v>60</v>
      </c>
      <c r="H138" s="22">
        <v>0.05</v>
      </c>
      <c r="I138" s="23">
        <v>3.36</v>
      </c>
      <c r="J138" s="23">
        <v>0.16</v>
      </c>
    </row>
    <row r="139" spans="1:10" ht="20.100000000000001" customHeight="1" x14ac:dyDescent="0.2">
      <c r="A139" s="108" t="s">
        <v>63</v>
      </c>
      <c r="B139" s="24" t="s">
        <v>1199</v>
      </c>
      <c r="C139" s="108" t="s">
        <v>32</v>
      </c>
      <c r="D139" s="108" t="s">
        <v>1200</v>
      </c>
      <c r="E139" s="301" t="s">
        <v>74</v>
      </c>
      <c r="F139" s="301"/>
      <c r="G139" s="25" t="s">
        <v>60</v>
      </c>
      <c r="H139" s="26">
        <v>0.01</v>
      </c>
      <c r="I139" s="27">
        <v>17.96</v>
      </c>
      <c r="J139" s="27">
        <v>0.17</v>
      </c>
    </row>
    <row r="140" spans="1:10" x14ac:dyDescent="0.2">
      <c r="A140" s="108" t="s">
        <v>63</v>
      </c>
      <c r="B140" s="24" t="s">
        <v>1201</v>
      </c>
      <c r="C140" s="108" t="s">
        <v>32</v>
      </c>
      <c r="D140" s="108" t="s">
        <v>1202</v>
      </c>
      <c r="E140" s="301" t="s">
        <v>66</v>
      </c>
      <c r="F140" s="301"/>
      <c r="G140" s="25" t="s">
        <v>46</v>
      </c>
      <c r="H140" s="26">
        <v>0.05</v>
      </c>
      <c r="I140" s="27">
        <v>46.9</v>
      </c>
      <c r="J140" s="27">
        <v>2.34</v>
      </c>
    </row>
    <row r="141" spans="1:10" x14ac:dyDescent="0.2">
      <c r="A141" s="108" t="s">
        <v>63</v>
      </c>
      <c r="B141" s="24" t="s">
        <v>111</v>
      </c>
      <c r="C141" s="108" t="s">
        <v>32</v>
      </c>
      <c r="D141" s="108" t="s">
        <v>112</v>
      </c>
      <c r="E141" s="301" t="s">
        <v>66</v>
      </c>
      <c r="F141" s="301"/>
      <c r="G141" s="25" t="s">
        <v>46</v>
      </c>
      <c r="H141" s="26">
        <v>0.02</v>
      </c>
      <c r="I141" s="27">
        <v>3</v>
      </c>
      <c r="J141" s="27">
        <v>0.06</v>
      </c>
    </row>
    <row r="142" spans="1:10" ht="30" customHeight="1" x14ac:dyDescent="0.2">
      <c r="A142" s="108" t="s">
        <v>63</v>
      </c>
      <c r="B142" s="24" t="s">
        <v>113</v>
      </c>
      <c r="C142" s="108" t="s">
        <v>32</v>
      </c>
      <c r="D142" s="108" t="s">
        <v>114</v>
      </c>
      <c r="E142" s="301" t="s">
        <v>66</v>
      </c>
      <c r="F142" s="301"/>
      <c r="G142" s="25" t="s">
        <v>46</v>
      </c>
      <c r="H142" s="26">
        <v>0.06</v>
      </c>
      <c r="I142" s="27">
        <v>7.6</v>
      </c>
      <c r="J142" s="27">
        <v>0.45</v>
      </c>
    </row>
    <row r="143" spans="1:10" ht="0.95" customHeight="1" x14ac:dyDescent="0.2">
      <c r="A143" s="108" t="s">
        <v>63</v>
      </c>
      <c r="B143" s="24" t="s">
        <v>115</v>
      </c>
      <c r="C143" s="108" t="s">
        <v>72</v>
      </c>
      <c r="D143" s="108" t="s">
        <v>116</v>
      </c>
      <c r="E143" s="301" t="s">
        <v>66</v>
      </c>
      <c r="F143" s="301"/>
      <c r="G143" s="25" t="s">
        <v>39</v>
      </c>
      <c r="H143" s="26">
        <v>0.06</v>
      </c>
      <c r="I143" s="27">
        <v>4.96</v>
      </c>
      <c r="J143" s="27">
        <v>0.28999999999999998</v>
      </c>
    </row>
    <row r="144" spans="1:10" ht="18" customHeight="1" x14ac:dyDescent="0.2">
      <c r="A144" s="108" t="s">
        <v>63</v>
      </c>
      <c r="B144" s="24" t="s">
        <v>1203</v>
      </c>
      <c r="C144" s="108" t="s">
        <v>72</v>
      </c>
      <c r="D144" s="108" t="s">
        <v>1204</v>
      </c>
      <c r="E144" s="301" t="s">
        <v>66</v>
      </c>
      <c r="F144" s="301"/>
      <c r="G144" s="25" t="s">
        <v>154</v>
      </c>
      <c r="H144" s="26">
        <v>2.7E-2</v>
      </c>
      <c r="I144" s="27">
        <v>356.5</v>
      </c>
      <c r="J144" s="27">
        <v>9.6199999999999992</v>
      </c>
    </row>
    <row r="145" spans="1:10" ht="24" customHeight="1" x14ac:dyDescent="0.2">
      <c r="A145" s="108" t="s">
        <v>63</v>
      </c>
      <c r="B145" s="24" t="s">
        <v>117</v>
      </c>
      <c r="C145" s="108" t="s">
        <v>72</v>
      </c>
      <c r="D145" s="108" t="s">
        <v>118</v>
      </c>
      <c r="E145" s="301" t="s">
        <v>74</v>
      </c>
      <c r="F145" s="301"/>
      <c r="G145" s="25" t="s">
        <v>75</v>
      </c>
      <c r="H145" s="26">
        <v>0.05</v>
      </c>
      <c r="I145" s="27">
        <v>16.39</v>
      </c>
      <c r="J145" s="27">
        <v>0.81</v>
      </c>
    </row>
    <row r="146" spans="1:10" ht="24" customHeight="1" x14ac:dyDescent="0.2">
      <c r="A146" s="108" t="s">
        <v>63</v>
      </c>
      <c r="B146" s="24" t="s">
        <v>119</v>
      </c>
      <c r="C146" s="108" t="s">
        <v>72</v>
      </c>
      <c r="D146" s="108" t="s">
        <v>120</v>
      </c>
      <c r="E146" s="301" t="s">
        <v>66</v>
      </c>
      <c r="F146" s="301"/>
      <c r="G146" s="25" t="s">
        <v>121</v>
      </c>
      <c r="H146" s="26">
        <v>0.5</v>
      </c>
      <c r="I146" s="27">
        <v>2.4700000000000002</v>
      </c>
      <c r="J146" s="27">
        <v>1.23</v>
      </c>
    </row>
    <row r="147" spans="1:10" ht="24" customHeight="1" x14ac:dyDescent="0.2">
      <c r="A147" s="108" t="s">
        <v>63</v>
      </c>
      <c r="B147" s="24" t="s">
        <v>79</v>
      </c>
      <c r="C147" s="108" t="s">
        <v>72</v>
      </c>
      <c r="D147" s="108" t="s">
        <v>80</v>
      </c>
      <c r="E147" s="301" t="s">
        <v>74</v>
      </c>
      <c r="F147" s="301"/>
      <c r="G147" s="25" t="s">
        <v>75</v>
      </c>
      <c r="H147" s="26">
        <v>0.05</v>
      </c>
      <c r="I147" s="27">
        <v>11.55</v>
      </c>
      <c r="J147" s="27">
        <v>0.56999999999999995</v>
      </c>
    </row>
    <row r="148" spans="1:10" ht="24" customHeight="1" x14ac:dyDescent="0.2">
      <c r="A148" s="106"/>
      <c r="B148" s="106"/>
      <c r="C148" s="106"/>
      <c r="D148" s="106"/>
      <c r="E148" s="106" t="s">
        <v>81</v>
      </c>
      <c r="F148" s="28">
        <v>0.71872389999999997</v>
      </c>
      <c r="G148" s="106" t="s">
        <v>82</v>
      </c>
      <c r="H148" s="28">
        <v>0.83</v>
      </c>
      <c r="I148" s="106" t="s">
        <v>83</v>
      </c>
      <c r="J148" s="28">
        <v>1.55</v>
      </c>
    </row>
    <row r="149" spans="1:10" ht="24" customHeight="1" x14ac:dyDescent="0.2">
      <c r="A149" s="106"/>
      <c r="B149" s="106"/>
      <c r="C149" s="106"/>
      <c r="D149" s="106"/>
      <c r="E149" s="106" t="s">
        <v>84</v>
      </c>
      <c r="F149" s="28">
        <v>3.84</v>
      </c>
      <c r="G149" s="106"/>
      <c r="H149" s="299" t="s">
        <v>85</v>
      </c>
      <c r="I149" s="299"/>
      <c r="J149" s="28">
        <v>19.71</v>
      </c>
    </row>
    <row r="150" spans="1:10" ht="15" thickBot="1" x14ac:dyDescent="0.25">
      <c r="A150" s="104"/>
      <c r="B150" s="104"/>
      <c r="C150" s="104"/>
      <c r="D150" s="104"/>
      <c r="E150" s="104"/>
      <c r="F150" s="104"/>
      <c r="G150" s="104" t="s">
        <v>86</v>
      </c>
      <c r="H150" s="29">
        <v>10</v>
      </c>
      <c r="I150" s="104" t="s">
        <v>87</v>
      </c>
      <c r="J150" s="105">
        <v>197.1</v>
      </c>
    </row>
    <row r="151" spans="1:10" ht="15" thickTop="1" x14ac:dyDescent="0.2">
      <c r="A151" s="30"/>
      <c r="B151" s="30"/>
      <c r="C151" s="30"/>
      <c r="D151" s="30"/>
      <c r="E151" s="30"/>
      <c r="F151" s="30"/>
      <c r="G151" s="30"/>
      <c r="H151" s="30"/>
      <c r="I151" s="30"/>
      <c r="J151" s="30"/>
    </row>
    <row r="152" spans="1:10" ht="30" customHeight="1" x14ac:dyDescent="0.2">
      <c r="A152" s="103" t="s">
        <v>1062</v>
      </c>
      <c r="B152" s="112" t="s">
        <v>24</v>
      </c>
      <c r="C152" s="103" t="s">
        <v>25</v>
      </c>
      <c r="D152" s="103" t="s">
        <v>10</v>
      </c>
      <c r="E152" s="283" t="s">
        <v>53</v>
      </c>
      <c r="F152" s="283"/>
      <c r="G152" s="113" t="s">
        <v>26</v>
      </c>
      <c r="H152" s="112" t="s">
        <v>27</v>
      </c>
      <c r="I152" s="112" t="s">
        <v>28</v>
      </c>
      <c r="J152" s="112" t="s">
        <v>11</v>
      </c>
    </row>
    <row r="153" spans="1:10" ht="0.95" customHeight="1" x14ac:dyDescent="0.2">
      <c r="A153" s="109" t="s">
        <v>54</v>
      </c>
      <c r="B153" s="10" t="s">
        <v>41</v>
      </c>
      <c r="C153" s="109" t="s">
        <v>32</v>
      </c>
      <c r="D153" s="109" t="s">
        <v>42</v>
      </c>
      <c r="E153" s="302" t="s">
        <v>106</v>
      </c>
      <c r="F153" s="302"/>
      <c r="G153" s="11" t="s">
        <v>43</v>
      </c>
      <c r="H153" s="19">
        <v>1</v>
      </c>
      <c r="I153" s="12">
        <v>2.95</v>
      </c>
      <c r="J153" s="12">
        <v>2.95</v>
      </c>
    </row>
    <row r="154" spans="1:10" ht="25.5" customHeight="1" x14ac:dyDescent="0.2">
      <c r="A154" s="107" t="s">
        <v>56</v>
      </c>
      <c r="B154" s="20" t="s">
        <v>107</v>
      </c>
      <c r="C154" s="107" t="s">
        <v>32</v>
      </c>
      <c r="D154" s="107" t="s">
        <v>108</v>
      </c>
      <c r="E154" s="300" t="s">
        <v>106</v>
      </c>
      <c r="F154" s="300"/>
      <c r="G154" s="21" t="s">
        <v>43</v>
      </c>
      <c r="H154" s="22">
        <v>0.14299999999999999</v>
      </c>
      <c r="I154" s="23">
        <v>4.17</v>
      </c>
      <c r="J154" s="23">
        <v>0.59</v>
      </c>
    </row>
    <row r="155" spans="1:10" ht="25.5" x14ac:dyDescent="0.2">
      <c r="A155" s="107" t="s">
        <v>56</v>
      </c>
      <c r="B155" s="20" t="s">
        <v>57</v>
      </c>
      <c r="C155" s="107" t="s">
        <v>32</v>
      </c>
      <c r="D155" s="107" t="s">
        <v>58</v>
      </c>
      <c r="E155" s="300" t="s">
        <v>59</v>
      </c>
      <c r="F155" s="300"/>
      <c r="G155" s="21" t="s">
        <v>60</v>
      </c>
      <c r="H155" s="22">
        <v>2.9000000000000001E-2</v>
      </c>
      <c r="I155" s="23">
        <v>3.5</v>
      </c>
      <c r="J155" s="23">
        <v>0.1</v>
      </c>
    </row>
    <row r="156" spans="1:10" ht="25.5" x14ac:dyDescent="0.2">
      <c r="A156" s="107" t="s">
        <v>56</v>
      </c>
      <c r="B156" s="20" t="s">
        <v>109</v>
      </c>
      <c r="C156" s="107" t="s">
        <v>32</v>
      </c>
      <c r="D156" s="107" t="s">
        <v>110</v>
      </c>
      <c r="E156" s="300" t="s">
        <v>59</v>
      </c>
      <c r="F156" s="300"/>
      <c r="G156" s="21" t="s">
        <v>60</v>
      </c>
      <c r="H156" s="22">
        <v>1.4E-2</v>
      </c>
      <c r="I156" s="23">
        <v>3.36</v>
      </c>
      <c r="J156" s="23">
        <v>0.04</v>
      </c>
    </row>
    <row r="157" spans="1:10" x14ac:dyDescent="0.2">
      <c r="A157" s="108" t="s">
        <v>63</v>
      </c>
      <c r="B157" s="24" t="s">
        <v>111</v>
      </c>
      <c r="C157" s="108" t="s">
        <v>32</v>
      </c>
      <c r="D157" s="108" t="s">
        <v>112</v>
      </c>
      <c r="E157" s="301" t="s">
        <v>66</v>
      </c>
      <c r="F157" s="301"/>
      <c r="G157" s="25" t="s">
        <v>46</v>
      </c>
      <c r="H157" s="26">
        <v>7.0999999999999994E-2</v>
      </c>
      <c r="I157" s="27">
        <v>3</v>
      </c>
      <c r="J157" s="27">
        <v>0.21</v>
      </c>
    </row>
    <row r="158" spans="1:10" ht="60" customHeight="1" x14ac:dyDescent="0.2">
      <c r="A158" s="108" t="s">
        <v>63</v>
      </c>
      <c r="B158" s="24" t="s">
        <v>113</v>
      </c>
      <c r="C158" s="108" t="s">
        <v>32</v>
      </c>
      <c r="D158" s="108" t="s">
        <v>114</v>
      </c>
      <c r="E158" s="301" t="s">
        <v>66</v>
      </c>
      <c r="F158" s="301"/>
      <c r="G158" s="25" t="s">
        <v>46</v>
      </c>
      <c r="H158" s="26">
        <v>7.0999999999999994E-2</v>
      </c>
      <c r="I158" s="27">
        <v>7.6</v>
      </c>
      <c r="J158" s="27">
        <v>0.53</v>
      </c>
    </row>
    <row r="159" spans="1:10" ht="69.95" customHeight="1" x14ac:dyDescent="0.2">
      <c r="A159" s="108" t="s">
        <v>63</v>
      </c>
      <c r="B159" s="24" t="s">
        <v>115</v>
      </c>
      <c r="C159" s="108" t="s">
        <v>72</v>
      </c>
      <c r="D159" s="108" t="s">
        <v>116</v>
      </c>
      <c r="E159" s="301" t="s">
        <v>66</v>
      </c>
      <c r="F159" s="301"/>
      <c r="G159" s="25" t="s">
        <v>39</v>
      </c>
      <c r="H159" s="26">
        <v>3.5999999999999997E-2</v>
      </c>
      <c r="I159" s="27">
        <v>4.96</v>
      </c>
      <c r="J159" s="27">
        <v>0.17</v>
      </c>
    </row>
    <row r="160" spans="1:10" x14ac:dyDescent="0.2">
      <c r="A160" s="108" t="s">
        <v>63</v>
      </c>
      <c r="B160" s="24" t="s">
        <v>117</v>
      </c>
      <c r="C160" s="108" t="s">
        <v>72</v>
      </c>
      <c r="D160" s="108" t="s">
        <v>118</v>
      </c>
      <c r="E160" s="301" t="s">
        <v>74</v>
      </c>
      <c r="F160" s="301"/>
      <c r="G160" s="25" t="s">
        <v>75</v>
      </c>
      <c r="H160" s="26">
        <v>1.4E-2</v>
      </c>
      <c r="I160" s="27">
        <v>16.39</v>
      </c>
      <c r="J160" s="27">
        <v>0.22</v>
      </c>
    </row>
    <row r="161" spans="1:10" ht="25.5" x14ac:dyDescent="0.2">
      <c r="A161" s="108" t="s">
        <v>63</v>
      </c>
      <c r="B161" s="24" t="s">
        <v>119</v>
      </c>
      <c r="C161" s="108" t="s">
        <v>72</v>
      </c>
      <c r="D161" s="108" t="s">
        <v>120</v>
      </c>
      <c r="E161" s="301" t="s">
        <v>66</v>
      </c>
      <c r="F161" s="301"/>
      <c r="G161" s="25" t="s">
        <v>121</v>
      </c>
      <c r="H161" s="26">
        <v>0.314</v>
      </c>
      <c r="I161" s="27">
        <v>2.4700000000000002</v>
      </c>
      <c r="J161" s="27">
        <v>0.77</v>
      </c>
    </row>
    <row r="162" spans="1:10" x14ac:dyDescent="0.2">
      <c r="A162" s="108" t="s">
        <v>63</v>
      </c>
      <c r="B162" s="24" t="s">
        <v>79</v>
      </c>
      <c r="C162" s="108" t="s">
        <v>72</v>
      </c>
      <c r="D162" s="108" t="s">
        <v>80</v>
      </c>
      <c r="E162" s="301" t="s">
        <v>74</v>
      </c>
      <c r="F162" s="301"/>
      <c r="G162" s="25" t="s">
        <v>75</v>
      </c>
      <c r="H162" s="26">
        <v>2.8000000000000001E-2</v>
      </c>
      <c r="I162" s="27">
        <v>11.55</v>
      </c>
      <c r="J162" s="27">
        <v>0.32</v>
      </c>
    </row>
    <row r="163" spans="1:10" x14ac:dyDescent="0.2">
      <c r="A163" s="106"/>
      <c r="B163" s="106"/>
      <c r="C163" s="106"/>
      <c r="D163" s="106"/>
      <c r="E163" s="106" t="s">
        <v>81</v>
      </c>
      <c r="F163" s="28">
        <v>0.35240656589075398</v>
      </c>
      <c r="G163" s="106" t="s">
        <v>82</v>
      </c>
      <c r="H163" s="28">
        <v>0.41</v>
      </c>
      <c r="I163" s="106" t="s">
        <v>83</v>
      </c>
      <c r="J163" s="28">
        <v>0.76</v>
      </c>
    </row>
    <row r="164" spans="1:10" x14ac:dyDescent="0.2">
      <c r="A164" s="106"/>
      <c r="B164" s="106"/>
      <c r="C164" s="106"/>
      <c r="D164" s="106"/>
      <c r="E164" s="106" t="s">
        <v>84</v>
      </c>
      <c r="F164" s="28">
        <v>0.71</v>
      </c>
      <c r="G164" s="106"/>
      <c r="H164" s="299" t="s">
        <v>85</v>
      </c>
      <c r="I164" s="299"/>
      <c r="J164" s="28">
        <v>3.66</v>
      </c>
    </row>
    <row r="165" spans="1:10" ht="15" thickBot="1" x14ac:dyDescent="0.25">
      <c r="A165" s="104"/>
      <c r="B165" s="104"/>
      <c r="C165" s="104"/>
      <c r="D165" s="104"/>
      <c r="E165" s="104"/>
      <c r="F165" s="104"/>
      <c r="G165" s="104" t="s">
        <v>86</v>
      </c>
      <c r="H165" s="29">
        <v>10</v>
      </c>
      <c r="I165" s="104" t="s">
        <v>87</v>
      </c>
      <c r="J165" s="105">
        <v>36.6</v>
      </c>
    </row>
    <row r="166" spans="1:10" ht="15" thickTop="1" x14ac:dyDescent="0.2">
      <c r="A166" s="30"/>
      <c r="B166" s="30"/>
      <c r="C166" s="30"/>
      <c r="D166" s="30"/>
      <c r="E166" s="30"/>
      <c r="F166" s="30"/>
      <c r="G166" s="30"/>
      <c r="H166" s="30"/>
      <c r="I166" s="30"/>
      <c r="J166" s="30"/>
    </row>
    <row r="167" spans="1:10" x14ac:dyDescent="0.2">
      <c r="A167" s="110" t="s">
        <v>17</v>
      </c>
      <c r="B167" s="110"/>
      <c r="C167" s="110"/>
      <c r="D167" s="110" t="s">
        <v>1036</v>
      </c>
      <c r="E167" s="110"/>
      <c r="F167" s="303"/>
      <c r="G167" s="303"/>
      <c r="H167" s="7"/>
      <c r="I167" s="110"/>
      <c r="J167" s="8">
        <v>1427.86</v>
      </c>
    </row>
    <row r="168" spans="1:10" ht="15" x14ac:dyDescent="0.2">
      <c r="A168" s="103" t="s">
        <v>48</v>
      </c>
      <c r="B168" s="112" t="s">
        <v>24</v>
      </c>
      <c r="C168" s="103" t="s">
        <v>25</v>
      </c>
      <c r="D168" s="103" t="s">
        <v>10</v>
      </c>
      <c r="E168" s="283" t="s">
        <v>53</v>
      </c>
      <c r="F168" s="283"/>
      <c r="G168" s="113" t="s">
        <v>26</v>
      </c>
      <c r="H168" s="112" t="s">
        <v>27</v>
      </c>
      <c r="I168" s="112" t="s">
        <v>28</v>
      </c>
      <c r="J168" s="112" t="s">
        <v>11</v>
      </c>
    </row>
    <row r="169" spans="1:10" ht="25.5" customHeight="1" x14ac:dyDescent="0.2">
      <c r="A169" s="109" t="s">
        <v>54</v>
      </c>
      <c r="B169" s="10" t="s">
        <v>1063</v>
      </c>
      <c r="C169" s="109" t="s">
        <v>72</v>
      </c>
      <c r="D169" s="109" t="s">
        <v>1064</v>
      </c>
      <c r="E169" s="302" t="s">
        <v>88</v>
      </c>
      <c r="F169" s="302"/>
      <c r="G169" s="11" t="s">
        <v>154</v>
      </c>
      <c r="H169" s="19">
        <v>1</v>
      </c>
      <c r="I169" s="12">
        <v>44.96</v>
      </c>
      <c r="J169" s="12">
        <v>44.96</v>
      </c>
    </row>
    <row r="170" spans="1:10" ht="38.25" customHeight="1" x14ac:dyDescent="0.2">
      <c r="A170" s="107" t="s">
        <v>56</v>
      </c>
      <c r="B170" s="20" t="s">
        <v>1088</v>
      </c>
      <c r="C170" s="107" t="s">
        <v>72</v>
      </c>
      <c r="D170" s="107" t="s">
        <v>1089</v>
      </c>
      <c r="E170" s="300" t="s">
        <v>91</v>
      </c>
      <c r="F170" s="300"/>
      <c r="G170" s="21" t="s">
        <v>105</v>
      </c>
      <c r="H170" s="22">
        <v>0.24</v>
      </c>
      <c r="I170" s="23">
        <v>155.51</v>
      </c>
      <c r="J170" s="23">
        <v>37.32</v>
      </c>
    </row>
    <row r="171" spans="1:10" ht="38.25" customHeight="1" x14ac:dyDescent="0.2">
      <c r="A171" s="107" t="s">
        <v>56</v>
      </c>
      <c r="B171" s="20" t="s">
        <v>97</v>
      </c>
      <c r="C171" s="107" t="s">
        <v>72</v>
      </c>
      <c r="D171" s="107" t="s">
        <v>98</v>
      </c>
      <c r="E171" s="300" t="s">
        <v>91</v>
      </c>
      <c r="F171" s="300"/>
      <c r="G171" s="21" t="s">
        <v>92</v>
      </c>
      <c r="H171" s="22">
        <v>0.1394</v>
      </c>
      <c r="I171" s="23">
        <v>54.81</v>
      </c>
      <c r="J171" s="23">
        <v>7.64</v>
      </c>
    </row>
    <row r="172" spans="1:10" x14ac:dyDescent="0.2">
      <c r="A172" s="106"/>
      <c r="B172" s="106"/>
      <c r="C172" s="106"/>
      <c r="D172" s="106"/>
      <c r="E172" s="106" t="s">
        <v>81</v>
      </c>
      <c r="F172" s="28">
        <v>3.0557358805527217</v>
      </c>
      <c r="G172" s="106" t="s">
        <v>82</v>
      </c>
      <c r="H172" s="28">
        <v>3.53</v>
      </c>
      <c r="I172" s="106" t="s">
        <v>83</v>
      </c>
      <c r="J172" s="28">
        <v>6.59</v>
      </c>
    </row>
    <row r="173" spans="1:10" x14ac:dyDescent="0.2">
      <c r="A173" s="106"/>
      <c r="B173" s="106"/>
      <c r="C173" s="106"/>
      <c r="D173" s="106"/>
      <c r="E173" s="106" t="s">
        <v>84</v>
      </c>
      <c r="F173" s="28">
        <v>10.89</v>
      </c>
      <c r="G173" s="106"/>
      <c r="H173" s="299" t="s">
        <v>85</v>
      </c>
      <c r="I173" s="299"/>
      <c r="J173" s="28">
        <v>55.85</v>
      </c>
    </row>
    <row r="174" spans="1:10" ht="15" thickBot="1" x14ac:dyDescent="0.25">
      <c r="A174" s="104"/>
      <c r="B174" s="104"/>
      <c r="C174" s="104"/>
      <c r="D174" s="104"/>
      <c r="E174" s="104"/>
      <c r="F174" s="104"/>
      <c r="G174" s="104" t="s">
        <v>86</v>
      </c>
      <c r="H174" s="29">
        <v>24.3</v>
      </c>
      <c r="I174" s="104" t="s">
        <v>87</v>
      </c>
      <c r="J174" s="105">
        <v>1357.15</v>
      </c>
    </row>
    <row r="175" spans="1:10" ht="15" thickTop="1" x14ac:dyDescent="0.2">
      <c r="A175" s="30"/>
      <c r="B175" s="30"/>
      <c r="C175" s="30"/>
      <c r="D175" s="30"/>
      <c r="E175" s="30"/>
      <c r="F175" s="30"/>
      <c r="G175" s="30"/>
      <c r="H175" s="30"/>
      <c r="I175" s="30"/>
      <c r="J175" s="30"/>
    </row>
    <row r="176" spans="1:10" ht="15" x14ac:dyDescent="0.2">
      <c r="A176" s="103" t="s">
        <v>1065</v>
      </c>
      <c r="B176" s="112" t="s">
        <v>24</v>
      </c>
      <c r="C176" s="103" t="s">
        <v>25</v>
      </c>
      <c r="D176" s="103" t="s">
        <v>10</v>
      </c>
      <c r="E176" s="283" t="s">
        <v>53</v>
      </c>
      <c r="F176" s="283"/>
      <c r="G176" s="113" t="s">
        <v>26</v>
      </c>
      <c r="H176" s="112" t="s">
        <v>27</v>
      </c>
      <c r="I176" s="112" t="s">
        <v>28</v>
      </c>
      <c r="J176" s="112" t="s">
        <v>11</v>
      </c>
    </row>
    <row r="177" spans="1:10" ht="25.5" customHeight="1" x14ac:dyDescent="0.2">
      <c r="A177" s="109" t="s">
        <v>54</v>
      </c>
      <c r="B177" s="10" t="s">
        <v>1053</v>
      </c>
      <c r="C177" s="109" t="s">
        <v>72</v>
      </c>
      <c r="D177" s="109" t="s">
        <v>1054</v>
      </c>
      <c r="E177" s="302" t="s">
        <v>1134</v>
      </c>
      <c r="F177" s="302"/>
      <c r="G177" s="11" t="s">
        <v>1055</v>
      </c>
      <c r="H177" s="19">
        <v>1</v>
      </c>
      <c r="I177" s="12">
        <v>2.35</v>
      </c>
      <c r="J177" s="12">
        <v>2.35</v>
      </c>
    </row>
    <row r="178" spans="1:10" ht="51" x14ac:dyDescent="0.2">
      <c r="A178" s="107" t="s">
        <v>56</v>
      </c>
      <c r="B178" s="20" t="s">
        <v>1137</v>
      </c>
      <c r="C178" s="107" t="s">
        <v>72</v>
      </c>
      <c r="D178" s="107" t="s">
        <v>1138</v>
      </c>
      <c r="E178" s="300" t="s">
        <v>91</v>
      </c>
      <c r="F178" s="300"/>
      <c r="G178" s="21" t="s">
        <v>105</v>
      </c>
      <c r="H178" s="22">
        <v>1.0500000000000001E-2</v>
      </c>
      <c r="I178" s="23">
        <v>203.53</v>
      </c>
      <c r="J178" s="23">
        <v>2.13</v>
      </c>
    </row>
    <row r="179" spans="1:10" ht="51" x14ac:dyDescent="0.2">
      <c r="A179" s="107" t="s">
        <v>56</v>
      </c>
      <c r="B179" s="20" t="s">
        <v>93</v>
      </c>
      <c r="C179" s="107" t="s">
        <v>72</v>
      </c>
      <c r="D179" s="107" t="s">
        <v>94</v>
      </c>
      <c r="E179" s="300" t="s">
        <v>91</v>
      </c>
      <c r="F179" s="300"/>
      <c r="G179" s="21" t="s">
        <v>92</v>
      </c>
      <c r="H179" s="22">
        <v>4.4999999999999997E-3</v>
      </c>
      <c r="I179" s="23">
        <v>48.95</v>
      </c>
      <c r="J179" s="23">
        <v>0.22</v>
      </c>
    </row>
    <row r="180" spans="1:10" x14ac:dyDescent="0.2">
      <c r="A180" s="106"/>
      <c r="B180" s="106"/>
      <c r="C180" s="106"/>
      <c r="D180" s="106"/>
      <c r="E180" s="106" t="s">
        <v>81</v>
      </c>
      <c r="F180" s="28">
        <v>0.11128628396550126</v>
      </c>
      <c r="G180" s="106" t="s">
        <v>82</v>
      </c>
      <c r="H180" s="28">
        <v>0.13</v>
      </c>
      <c r="I180" s="106" t="s">
        <v>83</v>
      </c>
      <c r="J180" s="28">
        <v>0.24000000000000002</v>
      </c>
    </row>
    <row r="181" spans="1:10" x14ac:dyDescent="0.2">
      <c r="A181" s="106"/>
      <c r="B181" s="106"/>
      <c r="C181" s="106"/>
      <c r="D181" s="106"/>
      <c r="E181" s="106" t="s">
        <v>84</v>
      </c>
      <c r="F181" s="28">
        <v>0.56000000000000005</v>
      </c>
      <c r="G181" s="106"/>
      <c r="H181" s="299" t="s">
        <v>85</v>
      </c>
      <c r="I181" s="299"/>
      <c r="J181" s="28">
        <v>2.91</v>
      </c>
    </row>
    <row r="182" spans="1:10" ht="15" thickBot="1" x14ac:dyDescent="0.25">
      <c r="A182" s="104"/>
      <c r="B182" s="104"/>
      <c r="C182" s="104"/>
      <c r="D182" s="104"/>
      <c r="E182" s="104"/>
      <c r="F182" s="104"/>
      <c r="G182" s="104" t="s">
        <v>86</v>
      </c>
      <c r="H182" s="29">
        <v>24.3</v>
      </c>
      <c r="I182" s="104" t="s">
        <v>87</v>
      </c>
      <c r="J182" s="105">
        <v>70.709999999999994</v>
      </c>
    </row>
    <row r="183" spans="1:10" ht="15" thickTop="1" x14ac:dyDescent="0.2">
      <c r="A183" s="30"/>
      <c r="B183" s="30"/>
      <c r="C183" s="30"/>
      <c r="D183" s="30"/>
      <c r="E183" s="30"/>
      <c r="F183" s="30"/>
      <c r="G183" s="30"/>
      <c r="H183" s="30"/>
      <c r="I183" s="30"/>
      <c r="J183" s="30"/>
    </row>
    <row r="184" spans="1:10" x14ac:dyDescent="0.2">
      <c r="A184" s="110" t="s">
        <v>18</v>
      </c>
      <c r="B184" s="110"/>
      <c r="C184" s="110"/>
      <c r="D184" s="110" t="s">
        <v>1037</v>
      </c>
      <c r="E184" s="110"/>
      <c r="F184" s="303"/>
      <c r="G184" s="303"/>
      <c r="H184" s="7"/>
      <c r="I184" s="110"/>
      <c r="J184" s="8">
        <v>1181.71</v>
      </c>
    </row>
    <row r="185" spans="1:10" ht="15" x14ac:dyDescent="0.2">
      <c r="A185" s="103" t="s">
        <v>49</v>
      </c>
      <c r="B185" s="112" t="s">
        <v>24</v>
      </c>
      <c r="C185" s="103" t="s">
        <v>25</v>
      </c>
      <c r="D185" s="103" t="s">
        <v>10</v>
      </c>
      <c r="E185" s="283" t="s">
        <v>53</v>
      </c>
      <c r="F185" s="283"/>
      <c r="G185" s="113" t="s">
        <v>26</v>
      </c>
      <c r="H185" s="112" t="s">
        <v>27</v>
      </c>
      <c r="I185" s="112" t="s">
        <v>28</v>
      </c>
      <c r="J185" s="112" t="s">
        <v>11</v>
      </c>
    </row>
    <row r="186" spans="1:10" ht="38.25" x14ac:dyDescent="0.2">
      <c r="A186" s="109" t="s">
        <v>54</v>
      </c>
      <c r="B186" s="10" t="s">
        <v>1067</v>
      </c>
      <c r="C186" s="109" t="s">
        <v>72</v>
      </c>
      <c r="D186" s="109" t="s">
        <v>1068</v>
      </c>
      <c r="E186" s="302" t="s">
        <v>1189</v>
      </c>
      <c r="F186" s="302"/>
      <c r="G186" s="11" t="s">
        <v>154</v>
      </c>
      <c r="H186" s="19">
        <v>1</v>
      </c>
      <c r="I186" s="12">
        <v>32.01</v>
      </c>
      <c r="J186" s="12">
        <v>32.01</v>
      </c>
    </row>
    <row r="187" spans="1:10" ht="51" x14ac:dyDescent="0.2">
      <c r="A187" s="107" t="s">
        <v>56</v>
      </c>
      <c r="B187" s="20" t="s">
        <v>1205</v>
      </c>
      <c r="C187" s="107" t="s">
        <v>72</v>
      </c>
      <c r="D187" s="107" t="s">
        <v>1206</v>
      </c>
      <c r="E187" s="300" t="s">
        <v>91</v>
      </c>
      <c r="F187" s="300"/>
      <c r="G187" s="21" t="s">
        <v>105</v>
      </c>
      <c r="H187" s="22">
        <v>0.20799999999999999</v>
      </c>
      <c r="I187" s="23">
        <v>104.64</v>
      </c>
      <c r="J187" s="23">
        <v>21.76</v>
      </c>
    </row>
    <row r="188" spans="1:10" ht="51" x14ac:dyDescent="0.2">
      <c r="A188" s="107" t="s">
        <v>56</v>
      </c>
      <c r="B188" s="20" t="s">
        <v>1207</v>
      </c>
      <c r="C188" s="107" t="s">
        <v>72</v>
      </c>
      <c r="D188" s="107" t="s">
        <v>1208</v>
      </c>
      <c r="E188" s="300" t="s">
        <v>91</v>
      </c>
      <c r="F188" s="300"/>
      <c r="G188" s="21" t="s">
        <v>92</v>
      </c>
      <c r="H188" s="22">
        <v>8.5000000000000006E-2</v>
      </c>
      <c r="I188" s="23">
        <v>42.5</v>
      </c>
      <c r="J188" s="23">
        <v>3.61</v>
      </c>
    </row>
    <row r="189" spans="1:10" ht="25.5" x14ac:dyDescent="0.2">
      <c r="A189" s="107" t="s">
        <v>56</v>
      </c>
      <c r="B189" s="20" t="s">
        <v>1209</v>
      </c>
      <c r="C189" s="107" t="s">
        <v>72</v>
      </c>
      <c r="D189" s="107" t="s">
        <v>1210</v>
      </c>
      <c r="E189" s="300" t="s">
        <v>146</v>
      </c>
      <c r="F189" s="300"/>
      <c r="G189" s="21" t="s">
        <v>75</v>
      </c>
      <c r="H189" s="22">
        <v>0.22500000000000001</v>
      </c>
      <c r="I189" s="23">
        <v>19.329999999999998</v>
      </c>
      <c r="J189" s="23">
        <v>4.34</v>
      </c>
    </row>
    <row r="190" spans="1:10" ht="25.5" x14ac:dyDescent="0.2">
      <c r="A190" s="107" t="s">
        <v>56</v>
      </c>
      <c r="B190" s="20" t="s">
        <v>156</v>
      </c>
      <c r="C190" s="107" t="s">
        <v>72</v>
      </c>
      <c r="D190" s="107" t="s">
        <v>157</v>
      </c>
      <c r="E190" s="300" t="s">
        <v>146</v>
      </c>
      <c r="F190" s="300"/>
      <c r="G190" s="21" t="s">
        <v>75</v>
      </c>
      <c r="H190" s="22">
        <v>0.161</v>
      </c>
      <c r="I190" s="23">
        <v>14.31</v>
      </c>
      <c r="J190" s="23">
        <v>2.2999999999999998</v>
      </c>
    </row>
    <row r="191" spans="1:10" x14ac:dyDescent="0.2">
      <c r="A191" s="106"/>
      <c r="B191" s="106"/>
      <c r="C191" s="106"/>
      <c r="D191" s="106"/>
      <c r="E191" s="106" t="s">
        <v>81</v>
      </c>
      <c r="F191" s="28">
        <v>5.5225818417879999</v>
      </c>
      <c r="G191" s="106" t="s">
        <v>82</v>
      </c>
      <c r="H191" s="28">
        <v>6.39</v>
      </c>
      <c r="I191" s="106" t="s">
        <v>83</v>
      </c>
      <c r="J191" s="28">
        <v>11.91</v>
      </c>
    </row>
    <row r="192" spans="1:10" x14ac:dyDescent="0.2">
      <c r="A192" s="106"/>
      <c r="B192" s="106"/>
      <c r="C192" s="106"/>
      <c r="D192" s="106"/>
      <c r="E192" s="106" t="s">
        <v>84</v>
      </c>
      <c r="F192" s="28">
        <v>7.75</v>
      </c>
      <c r="G192" s="106"/>
      <c r="H192" s="299" t="s">
        <v>85</v>
      </c>
      <c r="I192" s="299"/>
      <c r="J192" s="28">
        <v>39.76</v>
      </c>
    </row>
    <row r="193" spans="1:10" ht="15" thickBot="1" x14ac:dyDescent="0.25">
      <c r="A193" s="104"/>
      <c r="B193" s="104"/>
      <c r="C193" s="104"/>
      <c r="D193" s="104"/>
      <c r="E193" s="104"/>
      <c r="F193" s="104"/>
      <c r="G193" s="104" t="s">
        <v>86</v>
      </c>
      <c r="H193" s="29">
        <v>21.6</v>
      </c>
      <c r="I193" s="104" t="s">
        <v>87</v>
      </c>
      <c r="J193" s="105">
        <v>858.81</v>
      </c>
    </row>
    <row r="194" spans="1:10" ht="15" thickTop="1" x14ac:dyDescent="0.2">
      <c r="A194" s="30"/>
      <c r="B194" s="30"/>
      <c r="C194" s="30"/>
      <c r="D194" s="30"/>
      <c r="E194" s="30"/>
      <c r="F194" s="30"/>
      <c r="G194" s="30"/>
      <c r="H194" s="30"/>
      <c r="I194" s="30"/>
      <c r="J194" s="30"/>
    </row>
    <row r="195" spans="1:10" ht="15" x14ac:dyDescent="0.2">
      <c r="A195" s="103" t="s">
        <v>50</v>
      </c>
      <c r="B195" s="112" t="s">
        <v>24</v>
      </c>
      <c r="C195" s="103" t="s">
        <v>25</v>
      </c>
      <c r="D195" s="103" t="s">
        <v>10</v>
      </c>
      <c r="E195" s="283" t="s">
        <v>53</v>
      </c>
      <c r="F195" s="283"/>
      <c r="G195" s="113" t="s">
        <v>26</v>
      </c>
      <c r="H195" s="112" t="s">
        <v>27</v>
      </c>
      <c r="I195" s="112" t="s">
        <v>28</v>
      </c>
      <c r="J195" s="112" t="s">
        <v>11</v>
      </c>
    </row>
    <row r="196" spans="1:10" ht="25.5" customHeight="1" x14ac:dyDescent="0.2">
      <c r="A196" s="109" t="s">
        <v>54</v>
      </c>
      <c r="B196" s="10" t="s">
        <v>1069</v>
      </c>
      <c r="C196" s="109" t="s">
        <v>72</v>
      </c>
      <c r="D196" s="109" t="s">
        <v>1070</v>
      </c>
      <c r="E196" s="302" t="s">
        <v>1189</v>
      </c>
      <c r="F196" s="302"/>
      <c r="G196" s="11" t="s">
        <v>154</v>
      </c>
      <c r="H196" s="19">
        <v>1</v>
      </c>
      <c r="I196" s="12">
        <v>34.57</v>
      </c>
      <c r="J196" s="12">
        <v>34.57</v>
      </c>
    </row>
    <row r="197" spans="1:10" ht="51" x14ac:dyDescent="0.2">
      <c r="A197" s="107" t="s">
        <v>56</v>
      </c>
      <c r="B197" s="20" t="s">
        <v>1211</v>
      </c>
      <c r="C197" s="107" t="s">
        <v>72</v>
      </c>
      <c r="D197" s="107" t="s">
        <v>1212</v>
      </c>
      <c r="E197" s="300" t="s">
        <v>91</v>
      </c>
      <c r="F197" s="300"/>
      <c r="G197" s="21" t="s">
        <v>105</v>
      </c>
      <c r="H197" s="22">
        <v>6.0000000000000001E-3</v>
      </c>
      <c r="I197" s="23">
        <v>235.15</v>
      </c>
      <c r="J197" s="23">
        <v>1.41</v>
      </c>
    </row>
    <row r="198" spans="1:10" ht="25.5" customHeight="1" x14ac:dyDescent="0.2">
      <c r="A198" s="107" t="s">
        <v>56</v>
      </c>
      <c r="B198" s="20" t="s">
        <v>1213</v>
      </c>
      <c r="C198" s="107" t="s">
        <v>72</v>
      </c>
      <c r="D198" s="107" t="s">
        <v>1214</v>
      </c>
      <c r="E198" s="300" t="s">
        <v>91</v>
      </c>
      <c r="F198" s="300"/>
      <c r="G198" s="21" t="s">
        <v>92</v>
      </c>
      <c r="H198" s="22">
        <v>0.254</v>
      </c>
      <c r="I198" s="23">
        <v>18.329999999999998</v>
      </c>
      <c r="J198" s="23">
        <v>4.6500000000000004</v>
      </c>
    </row>
    <row r="199" spans="1:10" ht="51" x14ac:dyDescent="0.2">
      <c r="A199" s="107" t="s">
        <v>56</v>
      </c>
      <c r="B199" s="20" t="s">
        <v>95</v>
      </c>
      <c r="C199" s="107" t="s">
        <v>72</v>
      </c>
      <c r="D199" s="107" t="s">
        <v>96</v>
      </c>
      <c r="E199" s="300" t="s">
        <v>91</v>
      </c>
      <c r="F199" s="300"/>
      <c r="G199" s="21" t="s">
        <v>92</v>
      </c>
      <c r="H199" s="22">
        <v>3.0000000000000001E-3</v>
      </c>
      <c r="I199" s="23">
        <v>47.06</v>
      </c>
      <c r="J199" s="23">
        <v>0.14000000000000001</v>
      </c>
    </row>
    <row r="200" spans="1:10" ht="25.5" customHeight="1" x14ac:dyDescent="0.2">
      <c r="A200" s="107" t="s">
        <v>56</v>
      </c>
      <c r="B200" s="20" t="s">
        <v>1215</v>
      </c>
      <c r="C200" s="107" t="s">
        <v>72</v>
      </c>
      <c r="D200" s="107" t="s">
        <v>1216</v>
      </c>
      <c r="E200" s="300" t="s">
        <v>91</v>
      </c>
      <c r="F200" s="300"/>
      <c r="G200" s="21" t="s">
        <v>105</v>
      </c>
      <c r="H200" s="22">
        <v>0.27400000000000002</v>
      </c>
      <c r="I200" s="23">
        <v>25.18</v>
      </c>
      <c r="J200" s="23">
        <v>6.89</v>
      </c>
    </row>
    <row r="201" spans="1:10" ht="25.5" x14ac:dyDescent="0.2">
      <c r="A201" s="107" t="s">
        <v>56</v>
      </c>
      <c r="B201" s="20" t="s">
        <v>156</v>
      </c>
      <c r="C201" s="107" t="s">
        <v>72</v>
      </c>
      <c r="D201" s="107" t="s">
        <v>157</v>
      </c>
      <c r="E201" s="300" t="s">
        <v>146</v>
      </c>
      <c r="F201" s="300"/>
      <c r="G201" s="21" t="s">
        <v>75</v>
      </c>
      <c r="H201" s="22">
        <v>0.65900000000000003</v>
      </c>
      <c r="I201" s="23">
        <v>14.31</v>
      </c>
      <c r="J201" s="23">
        <v>9.43</v>
      </c>
    </row>
    <row r="202" spans="1:10" ht="25.5" x14ac:dyDescent="0.2">
      <c r="A202" s="108" t="s">
        <v>63</v>
      </c>
      <c r="B202" s="24" t="s">
        <v>1217</v>
      </c>
      <c r="C202" s="108" t="s">
        <v>72</v>
      </c>
      <c r="D202" s="108" t="s">
        <v>1218</v>
      </c>
      <c r="E202" s="301" t="s">
        <v>66</v>
      </c>
      <c r="F202" s="301"/>
      <c r="G202" s="25" t="s">
        <v>154</v>
      </c>
      <c r="H202" s="26">
        <v>1.25</v>
      </c>
      <c r="I202" s="27">
        <v>9.64</v>
      </c>
      <c r="J202" s="27">
        <v>12.05</v>
      </c>
    </row>
    <row r="203" spans="1:10" x14ac:dyDescent="0.2">
      <c r="A203" s="106"/>
      <c r="B203" s="106"/>
      <c r="C203" s="106"/>
      <c r="D203" s="106"/>
      <c r="E203" s="106" t="s">
        <v>81</v>
      </c>
      <c r="F203" s="28">
        <v>7.5025503106742093</v>
      </c>
      <c r="G203" s="106" t="s">
        <v>82</v>
      </c>
      <c r="H203" s="28">
        <v>8.68</v>
      </c>
      <c r="I203" s="106" t="s">
        <v>83</v>
      </c>
      <c r="J203" s="28">
        <v>16.18</v>
      </c>
    </row>
    <row r="204" spans="1:10" x14ac:dyDescent="0.2">
      <c r="A204" s="106"/>
      <c r="B204" s="106"/>
      <c r="C204" s="106"/>
      <c r="D204" s="106"/>
      <c r="E204" s="106" t="s">
        <v>84</v>
      </c>
      <c r="F204" s="28">
        <v>8.3699999999999992</v>
      </c>
      <c r="G204" s="106"/>
      <c r="H204" s="299" t="s">
        <v>85</v>
      </c>
      <c r="I204" s="299"/>
      <c r="J204" s="28">
        <v>42.94</v>
      </c>
    </row>
    <row r="205" spans="1:10" ht="15" thickBot="1" x14ac:dyDescent="0.25">
      <c r="A205" s="104"/>
      <c r="B205" s="104"/>
      <c r="C205" s="104"/>
      <c r="D205" s="104"/>
      <c r="E205" s="104"/>
      <c r="F205" s="104"/>
      <c r="G205" s="104" t="s">
        <v>86</v>
      </c>
      <c r="H205" s="29">
        <v>7.52</v>
      </c>
      <c r="I205" s="104" t="s">
        <v>87</v>
      </c>
      <c r="J205" s="105">
        <v>322.89999999999998</v>
      </c>
    </row>
    <row r="206" spans="1:10" ht="15" thickTop="1" x14ac:dyDescent="0.2">
      <c r="A206" s="30"/>
      <c r="B206" s="30"/>
      <c r="C206" s="30"/>
      <c r="D206" s="30"/>
      <c r="E206" s="30"/>
      <c r="F206" s="30"/>
      <c r="G206" s="30"/>
      <c r="H206" s="30"/>
      <c r="I206" s="30"/>
      <c r="J206" s="30"/>
    </row>
    <row r="207" spans="1:10" x14ac:dyDescent="0.2">
      <c r="A207" s="110" t="s">
        <v>1038</v>
      </c>
      <c r="B207" s="110"/>
      <c r="C207" s="110"/>
      <c r="D207" s="110" t="s">
        <v>1039</v>
      </c>
      <c r="E207" s="110"/>
      <c r="F207" s="303"/>
      <c r="G207" s="303"/>
      <c r="H207" s="7"/>
      <c r="I207" s="110"/>
      <c r="J207" s="8">
        <v>17160.52</v>
      </c>
    </row>
    <row r="208" spans="1:10" ht="15" x14ac:dyDescent="0.2">
      <c r="A208" s="103" t="s">
        <v>1071</v>
      </c>
      <c r="B208" s="112" t="s">
        <v>24</v>
      </c>
      <c r="C208" s="103" t="s">
        <v>25</v>
      </c>
      <c r="D208" s="103" t="s">
        <v>10</v>
      </c>
      <c r="E208" s="283" t="s">
        <v>53</v>
      </c>
      <c r="F208" s="283"/>
      <c r="G208" s="113" t="s">
        <v>26</v>
      </c>
      <c r="H208" s="112" t="s">
        <v>27</v>
      </c>
      <c r="I208" s="112" t="s">
        <v>28</v>
      </c>
      <c r="J208" s="112" t="s">
        <v>11</v>
      </c>
    </row>
    <row r="209" spans="1:10" x14ac:dyDescent="0.2">
      <c r="A209" s="109" t="s">
        <v>54</v>
      </c>
      <c r="B209" s="10" t="s">
        <v>1072</v>
      </c>
      <c r="C209" s="109" t="s">
        <v>1073</v>
      </c>
      <c r="D209" s="109" t="s">
        <v>1074</v>
      </c>
      <c r="E209" s="302" t="s">
        <v>1219</v>
      </c>
      <c r="F209" s="302"/>
      <c r="G209" s="11" t="s">
        <v>121</v>
      </c>
      <c r="H209" s="19">
        <v>1</v>
      </c>
      <c r="I209" s="12">
        <v>86.46</v>
      </c>
      <c r="J209" s="12">
        <v>86.46</v>
      </c>
    </row>
    <row r="210" spans="1:10" x14ac:dyDescent="0.2">
      <c r="A210" s="108" t="s">
        <v>63</v>
      </c>
      <c r="B210" s="24" t="s">
        <v>1220</v>
      </c>
      <c r="C210" s="108" t="s">
        <v>1073</v>
      </c>
      <c r="D210" s="108" t="s">
        <v>1221</v>
      </c>
      <c r="E210" s="301" t="s">
        <v>164</v>
      </c>
      <c r="F210" s="301"/>
      <c r="G210" s="25" t="s">
        <v>75</v>
      </c>
      <c r="H210" s="26">
        <v>0.2</v>
      </c>
      <c r="I210" s="27">
        <v>95.07</v>
      </c>
      <c r="J210" s="27">
        <v>19.010000000000002</v>
      </c>
    </row>
    <row r="211" spans="1:10" x14ac:dyDescent="0.2">
      <c r="A211" s="108" t="s">
        <v>63</v>
      </c>
      <c r="B211" s="24" t="s">
        <v>1222</v>
      </c>
      <c r="C211" s="108" t="s">
        <v>1073</v>
      </c>
      <c r="D211" s="108" t="s">
        <v>1223</v>
      </c>
      <c r="E211" s="301" t="s">
        <v>66</v>
      </c>
      <c r="F211" s="301"/>
      <c r="G211" s="25" t="s">
        <v>121</v>
      </c>
      <c r="H211" s="26">
        <v>1.01</v>
      </c>
      <c r="I211" s="27">
        <v>56.61</v>
      </c>
      <c r="J211" s="27">
        <v>57.17</v>
      </c>
    </row>
    <row r="212" spans="1:10" x14ac:dyDescent="0.2">
      <c r="A212" s="108" t="s">
        <v>63</v>
      </c>
      <c r="B212" s="24" t="s">
        <v>1224</v>
      </c>
      <c r="C212" s="108" t="s">
        <v>1073</v>
      </c>
      <c r="D212" s="108" t="s">
        <v>1225</v>
      </c>
      <c r="E212" s="301" t="s">
        <v>74</v>
      </c>
      <c r="F212" s="301"/>
      <c r="G212" s="25" t="s">
        <v>75</v>
      </c>
      <c r="H212" s="26">
        <v>0.6</v>
      </c>
      <c r="I212" s="27">
        <v>17.14</v>
      </c>
      <c r="J212" s="27">
        <v>10.28</v>
      </c>
    </row>
    <row r="213" spans="1:10" x14ac:dyDescent="0.2">
      <c r="A213" s="106"/>
      <c r="B213" s="106"/>
      <c r="C213" s="106"/>
      <c r="D213" s="106"/>
      <c r="E213" s="106" t="s">
        <v>81</v>
      </c>
      <c r="F213" s="28">
        <v>4.7667624999999996</v>
      </c>
      <c r="G213" s="106" t="s">
        <v>82</v>
      </c>
      <c r="H213" s="28">
        <v>5.51</v>
      </c>
      <c r="I213" s="106" t="s">
        <v>83</v>
      </c>
      <c r="J213" s="28">
        <v>10.28</v>
      </c>
    </row>
    <row r="214" spans="1:10" x14ac:dyDescent="0.2">
      <c r="A214" s="106"/>
      <c r="B214" s="106"/>
      <c r="C214" s="106"/>
      <c r="D214" s="106"/>
      <c r="E214" s="106" t="s">
        <v>84</v>
      </c>
      <c r="F214" s="28">
        <v>20.94</v>
      </c>
      <c r="G214" s="106"/>
      <c r="H214" s="299" t="s">
        <v>85</v>
      </c>
      <c r="I214" s="299"/>
      <c r="J214" s="28">
        <v>107.4</v>
      </c>
    </row>
    <row r="215" spans="1:10" ht="15" thickBot="1" x14ac:dyDescent="0.25">
      <c r="A215" s="104"/>
      <c r="B215" s="104"/>
      <c r="C215" s="104"/>
      <c r="D215" s="104"/>
      <c r="E215" s="104"/>
      <c r="F215" s="104"/>
      <c r="G215" s="104" t="s">
        <v>86</v>
      </c>
      <c r="H215" s="29">
        <v>48</v>
      </c>
      <c r="I215" s="104" t="s">
        <v>87</v>
      </c>
      <c r="J215" s="105">
        <v>5155.2</v>
      </c>
    </row>
    <row r="216" spans="1:10" ht="15" thickTop="1" x14ac:dyDescent="0.2">
      <c r="A216" s="30"/>
      <c r="B216" s="30"/>
      <c r="C216" s="30"/>
      <c r="D216" s="30"/>
      <c r="E216" s="30"/>
      <c r="F216" s="30"/>
      <c r="G216" s="30"/>
      <c r="H216" s="30"/>
      <c r="I216" s="30"/>
      <c r="J216" s="30"/>
    </row>
    <row r="217" spans="1:10" ht="15" x14ac:dyDescent="0.2">
      <c r="A217" s="103" t="s">
        <v>1075</v>
      </c>
      <c r="B217" s="112" t="s">
        <v>24</v>
      </c>
      <c r="C217" s="103" t="s">
        <v>25</v>
      </c>
      <c r="D217" s="103" t="s">
        <v>10</v>
      </c>
      <c r="E217" s="283" t="s">
        <v>53</v>
      </c>
      <c r="F217" s="283"/>
      <c r="G217" s="113" t="s">
        <v>26</v>
      </c>
      <c r="H217" s="112" t="s">
        <v>27</v>
      </c>
      <c r="I217" s="112" t="s">
        <v>28</v>
      </c>
      <c r="J217" s="112" t="s">
        <v>11</v>
      </c>
    </row>
    <row r="218" spans="1:10" ht="25.5" customHeight="1" x14ac:dyDescent="0.2">
      <c r="A218" s="109" t="s">
        <v>54</v>
      </c>
      <c r="B218" s="10" t="s">
        <v>1076</v>
      </c>
      <c r="C218" s="109" t="s">
        <v>72</v>
      </c>
      <c r="D218" s="109" t="s">
        <v>1077</v>
      </c>
      <c r="E218" s="302" t="s">
        <v>147</v>
      </c>
      <c r="F218" s="302"/>
      <c r="G218" s="11" t="s">
        <v>34</v>
      </c>
      <c r="H218" s="19">
        <v>1</v>
      </c>
      <c r="I218" s="12">
        <v>119.19</v>
      </c>
      <c r="J218" s="12">
        <v>119.19</v>
      </c>
    </row>
    <row r="219" spans="1:10" ht="25.5" customHeight="1" x14ac:dyDescent="0.2">
      <c r="A219" s="107" t="s">
        <v>56</v>
      </c>
      <c r="B219" s="20" t="s">
        <v>1113</v>
      </c>
      <c r="C219" s="107" t="s">
        <v>72</v>
      </c>
      <c r="D219" s="107" t="s">
        <v>1114</v>
      </c>
      <c r="E219" s="300" t="s">
        <v>91</v>
      </c>
      <c r="F219" s="300"/>
      <c r="G219" s="21" t="s">
        <v>105</v>
      </c>
      <c r="H219" s="22">
        <v>7.9000000000000001E-2</v>
      </c>
      <c r="I219" s="23">
        <v>19.98</v>
      </c>
      <c r="J219" s="23">
        <v>1.57</v>
      </c>
    </row>
    <row r="220" spans="1:10" ht="25.5" customHeight="1" x14ac:dyDescent="0.2">
      <c r="A220" s="107" t="s">
        <v>56</v>
      </c>
      <c r="B220" s="20" t="s">
        <v>1115</v>
      </c>
      <c r="C220" s="107" t="s">
        <v>72</v>
      </c>
      <c r="D220" s="107" t="s">
        <v>1116</v>
      </c>
      <c r="E220" s="300" t="s">
        <v>91</v>
      </c>
      <c r="F220" s="300"/>
      <c r="G220" s="21" t="s">
        <v>92</v>
      </c>
      <c r="H220" s="22">
        <v>3.9E-2</v>
      </c>
      <c r="I220" s="23">
        <v>17.649999999999999</v>
      </c>
      <c r="J220" s="23">
        <v>0.68</v>
      </c>
    </row>
    <row r="221" spans="1:10" ht="25.5" x14ac:dyDescent="0.2">
      <c r="A221" s="107" t="s">
        <v>56</v>
      </c>
      <c r="B221" s="20" t="s">
        <v>152</v>
      </c>
      <c r="C221" s="107" t="s">
        <v>72</v>
      </c>
      <c r="D221" s="107" t="s">
        <v>153</v>
      </c>
      <c r="E221" s="300" t="s">
        <v>146</v>
      </c>
      <c r="F221" s="300"/>
      <c r="G221" s="21" t="s">
        <v>75</v>
      </c>
      <c r="H221" s="22">
        <v>1.0860000000000001</v>
      </c>
      <c r="I221" s="23">
        <v>15.62</v>
      </c>
      <c r="J221" s="23">
        <v>16.96</v>
      </c>
    </row>
    <row r="222" spans="1:10" ht="25.5" x14ac:dyDescent="0.2">
      <c r="A222" s="107" t="s">
        <v>56</v>
      </c>
      <c r="B222" s="20" t="s">
        <v>150</v>
      </c>
      <c r="C222" s="107" t="s">
        <v>72</v>
      </c>
      <c r="D222" s="107" t="s">
        <v>151</v>
      </c>
      <c r="E222" s="300" t="s">
        <v>146</v>
      </c>
      <c r="F222" s="300"/>
      <c r="G222" s="21" t="s">
        <v>75</v>
      </c>
      <c r="H222" s="22">
        <v>2.7690000000000001</v>
      </c>
      <c r="I222" s="23">
        <v>19.12</v>
      </c>
      <c r="J222" s="23">
        <v>52.94</v>
      </c>
    </row>
    <row r="223" spans="1:10" ht="25.5" x14ac:dyDescent="0.2">
      <c r="A223" s="108" t="s">
        <v>63</v>
      </c>
      <c r="B223" s="24" t="s">
        <v>963</v>
      </c>
      <c r="C223" s="108" t="s">
        <v>72</v>
      </c>
      <c r="D223" s="108" t="s">
        <v>964</v>
      </c>
      <c r="E223" s="301" t="s">
        <v>66</v>
      </c>
      <c r="F223" s="301"/>
      <c r="G223" s="25" t="s">
        <v>183</v>
      </c>
      <c r="H223" s="26">
        <v>1.7000000000000001E-2</v>
      </c>
      <c r="I223" s="27">
        <v>7.57</v>
      </c>
      <c r="J223" s="27">
        <v>0.12</v>
      </c>
    </row>
    <row r="224" spans="1:10" x14ac:dyDescent="0.2">
      <c r="A224" s="108" t="s">
        <v>63</v>
      </c>
      <c r="B224" s="24" t="s">
        <v>1226</v>
      </c>
      <c r="C224" s="108" t="s">
        <v>72</v>
      </c>
      <c r="D224" s="108" t="s">
        <v>1227</v>
      </c>
      <c r="E224" s="301" t="s">
        <v>66</v>
      </c>
      <c r="F224" s="301"/>
      <c r="G224" s="25" t="s">
        <v>78</v>
      </c>
      <c r="H224" s="26">
        <v>0.01</v>
      </c>
      <c r="I224" s="27">
        <v>22.6</v>
      </c>
      <c r="J224" s="27">
        <v>0.22</v>
      </c>
    </row>
    <row r="225" spans="1:10" x14ac:dyDescent="0.2">
      <c r="A225" s="108" t="s">
        <v>63</v>
      </c>
      <c r="B225" s="24" t="s">
        <v>1228</v>
      </c>
      <c r="C225" s="108" t="s">
        <v>72</v>
      </c>
      <c r="D225" s="108" t="s">
        <v>1229</v>
      </c>
      <c r="E225" s="301" t="s">
        <v>66</v>
      </c>
      <c r="F225" s="301"/>
      <c r="G225" s="25" t="s">
        <v>78</v>
      </c>
      <c r="H225" s="26">
        <v>1.6E-2</v>
      </c>
      <c r="I225" s="27">
        <v>20.51</v>
      </c>
      <c r="J225" s="27">
        <v>0.32</v>
      </c>
    </row>
    <row r="226" spans="1:10" x14ac:dyDescent="0.2">
      <c r="A226" s="108" t="s">
        <v>63</v>
      </c>
      <c r="B226" s="24" t="s">
        <v>1230</v>
      </c>
      <c r="C226" s="108" t="s">
        <v>72</v>
      </c>
      <c r="D226" s="108" t="s">
        <v>1231</v>
      </c>
      <c r="E226" s="301" t="s">
        <v>66</v>
      </c>
      <c r="F226" s="301"/>
      <c r="G226" s="25" t="s">
        <v>78</v>
      </c>
      <c r="H226" s="26">
        <v>4.7E-2</v>
      </c>
      <c r="I226" s="27">
        <v>18.66</v>
      </c>
      <c r="J226" s="27">
        <v>0.87</v>
      </c>
    </row>
    <row r="227" spans="1:10" ht="25.5" x14ac:dyDescent="0.2">
      <c r="A227" s="108" t="s">
        <v>63</v>
      </c>
      <c r="B227" s="24" t="s">
        <v>1232</v>
      </c>
      <c r="C227" s="108" t="s">
        <v>72</v>
      </c>
      <c r="D227" s="108" t="s">
        <v>1233</v>
      </c>
      <c r="E227" s="301" t="s">
        <v>66</v>
      </c>
      <c r="F227" s="301"/>
      <c r="G227" s="25" t="s">
        <v>121</v>
      </c>
      <c r="H227" s="26">
        <v>4.6120000000000001</v>
      </c>
      <c r="I227" s="27">
        <v>3.01</v>
      </c>
      <c r="J227" s="27">
        <v>13.88</v>
      </c>
    </row>
    <row r="228" spans="1:10" ht="25.5" x14ac:dyDescent="0.2">
      <c r="A228" s="108" t="s">
        <v>63</v>
      </c>
      <c r="B228" s="24" t="s">
        <v>796</v>
      </c>
      <c r="C228" s="108" t="s">
        <v>72</v>
      </c>
      <c r="D228" s="108" t="s">
        <v>797</v>
      </c>
      <c r="E228" s="301" t="s">
        <v>66</v>
      </c>
      <c r="F228" s="301"/>
      <c r="G228" s="25" t="s">
        <v>121</v>
      </c>
      <c r="H228" s="26">
        <v>1.278</v>
      </c>
      <c r="I228" s="27">
        <v>24.75</v>
      </c>
      <c r="J228" s="27">
        <v>31.63</v>
      </c>
    </row>
    <row r="229" spans="1:10" x14ac:dyDescent="0.2">
      <c r="A229" s="106"/>
      <c r="B229" s="106"/>
      <c r="C229" s="106"/>
      <c r="D229" s="106"/>
      <c r="E229" s="106" t="s">
        <v>81</v>
      </c>
      <c r="F229" s="28">
        <v>28.619122693128073</v>
      </c>
      <c r="G229" s="106" t="s">
        <v>82</v>
      </c>
      <c r="H229" s="28">
        <v>33.1</v>
      </c>
      <c r="I229" s="106" t="s">
        <v>83</v>
      </c>
      <c r="J229" s="28">
        <v>61.72</v>
      </c>
    </row>
    <row r="230" spans="1:10" x14ac:dyDescent="0.2">
      <c r="A230" s="106"/>
      <c r="B230" s="106"/>
      <c r="C230" s="106"/>
      <c r="D230" s="106"/>
      <c r="E230" s="106" t="s">
        <v>84</v>
      </c>
      <c r="F230" s="28">
        <v>28.87</v>
      </c>
      <c r="G230" s="106"/>
      <c r="H230" s="299" t="s">
        <v>85</v>
      </c>
      <c r="I230" s="299"/>
      <c r="J230" s="28">
        <v>148.06</v>
      </c>
    </row>
    <row r="231" spans="1:10" ht="15" thickBot="1" x14ac:dyDescent="0.25">
      <c r="A231" s="104"/>
      <c r="B231" s="104"/>
      <c r="C231" s="104"/>
      <c r="D231" s="104"/>
      <c r="E231" s="104"/>
      <c r="F231" s="104"/>
      <c r="G231" s="104" t="s">
        <v>86</v>
      </c>
      <c r="H231" s="29">
        <v>17.600000000000001</v>
      </c>
      <c r="I231" s="104" t="s">
        <v>87</v>
      </c>
      <c r="J231" s="105">
        <v>2605.85</v>
      </c>
    </row>
    <row r="232" spans="1:10" ht="15" thickTop="1" x14ac:dyDescent="0.2">
      <c r="A232" s="30"/>
      <c r="B232" s="30"/>
      <c r="C232" s="30"/>
      <c r="D232" s="30"/>
      <c r="E232" s="30"/>
      <c r="F232" s="30"/>
      <c r="G232" s="30"/>
      <c r="H232" s="30"/>
      <c r="I232" s="30"/>
      <c r="J232" s="30"/>
    </row>
    <row r="233" spans="1:10" ht="15" x14ac:dyDescent="0.2">
      <c r="A233" s="103" t="s">
        <v>1078</v>
      </c>
      <c r="B233" s="112" t="s">
        <v>24</v>
      </c>
      <c r="C233" s="103" t="s">
        <v>25</v>
      </c>
      <c r="D233" s="103" t="s">
        <v>10</v>
      </c>
      <c r="E233" s="283" t="s">
        <v>53</v>
      </c>
      <c r="F233" s="283"/>
      <c r="G233" s="113" t="s">
        <v>26</v>
      </c>
      <c r="H233" s="112" t="s">
        <v>27</v>
      </c>
      <c r="I233" s="112" t="s">
        <v>28</v>
      </c>
      <c r="J233" s="112" t="s">
        <v>11</v>
      </c>
    </row>
    <row r="234" spans="1:10" ht="25.5" customHeight="1" x14ac:dyDescent="0.2">
      <c r="A234" s="109" t="s">
        <v>54</v>
      </c>
      <c r="B234" s="10" t="s">
        <v>1079</v>
      </c>
      <c r="C234" s="109" t="s">
        <v>72</v>
      </c>
      <c r="D234" s="109" t="s">
        <v>1080</v>
      </c>
      <c r="E234" s="302" t="s">
        <v>147</v>
      </c>
      <c r="F234" s="302"/>
      <c r="G234" s="11" t="s">
        <v>34</v>
      </c>
      <c r="H234" s="19">
        <v>1</v>
      </c>
      <c r="I234" s="12">
        <v>22.91</v>
      </c>
      <c r="J234" s="12">
        <v>22.91</v>
      </c>
    </row>
    <row r="235" spans="1:10" ht="38.25" x14ac:dyDescent="0.2">
      <c r="A235" s="107" t="s">
        <v>56</v>
      </c>
      <c r="B235" s="20" t="s">
        <v>1234</v>
      </c>
      <c r="C235" s="107" t="s">
        <v>72</v>
      </c>
      <c r="D235" s="107" t="s">
        <v>1235</v>
      </c>
      <c r="E235" s="300" t="s">
        <v>147</v>
      </c>
      <c r="F235" s="300"/>
      <c r="G235" s="21" t="s">
        <v>154</v>
      </c>
      <c r="H235" s="22">
        <v>5.6500000000000002E-2</v>
      </c>
      <c r="I235" s="23">
        <v>277.97000000000003</v>
      </c>
      <c r="J235" s="23">
        <v>15.7</v>
      </c>
    </row>
    <row r="236" spans="1:10" ht="25.5" x14ac:dyDescent="0.2">
      <c r="A236" s="107" t="s">
        <v>56</v>
      </c>
      <c r="B236" s="20" t="s">
        <v>1209</v>
      </c>
      <c r="C236" s="107" t="s">
        <v>72</v>
      </c>
      <c r="D236" s="107" t="s">
        <v>1210</v>
      </c>
      <c r="E236" s="300" t="s">
        <v>146</v>
      </c>
      <c r="F236" s="300"/>
      <c r="G236" s="21" t="s">
        <v>75</v>
      </c>
      <c r="H236" s="22">
        <v>0.31059999999999999</v>
      </c>
      <c r="I236" s="23">
        <v>19.329999999999998</v>
      </c>
      <c r="J236" s="23">
        <v>6</v>
      </c>
    </row>
    <row r="237" spans="1:10" ht="25.5" x14ac:dyDescent="0.2">
      <c r="A237" s="107" t="s">
        <v>56</v>
      </c>
      <c r="B237" s="20" t="s">
        <v>156</v>
      </c>
      <c r="C237" s="107" t="s">
        <v>72</v>
      </c>
      <c r="D237" s="107" t="s">
        <v>157</v>
      </c>
      <c r="E237" s="300" t="s">
        <v>146</v>
      </c>
      <c r="F237" s="300"/>
      <c r="G237" s="21" t="s">
        <v>75</v>
      </c>
      <c r="H237" s="22">
        <v>8.4699999999999998E-2</v>
      </c>
      <c r="I237" s="23">
        <v>14.31</v>
      </c>
      <c r="J237" s="23">
        <v>1.21</v>
      </c>
    </row>
    <row r="238" spans="1:10" x14ac:dyDescent="0.2">
      <c r="A238" s="106"/>
      <c r="B238" s="106"/>
      <c r="C238" s="106"/>
      <c r="D238" s="106"/>
      <c r="E238" s="106" t="s">
        <v>81</v>
      </c>
      <c r="F238" s="28">
        <v>4.0294908652508576</v>
      </c>
      <c r="G238" s="106" t="s">
        <v>82</v>
      </c>
      <c r="H238" s="28">
        <v>4.66</v>
      </c>
      <c r="I238" s="106" t="s">
        <v>83</v>
      </c>
      <c r="J238" s="28">
        <v>8.69</v>
      </c>
    </row>
    <row r="239" spans="1:10" x14ac:dyDescent="0.2">
      <c r="A239" s="106"/>
      <c r="B239" s="106"/>
      <c r="C239" s="106"/>
      <c r="D239" s="106"/>
      <c r="E239" s="106" t="s">
        <v>84</v>
      </c>
      <c r="F239" s="28">
        <v>5.55</v>
      </c>
      <c r="G239" s="106"/>
      <c r="H239" s="299" t="s">
        <v>85</v>
      </c>
      <c r="I239" s="299"/>
      <c r="J239" s="28">
        <v>28.46</v>
      </c>
    </row>
    <row r="240" spans="1:10" ht="15" thickBot="1" x14ac:dyDescent="0.25">
      <c r="A240" s="104"/>
      <c r="B240" s="104"/>
      <c r="C240" s="104"/>
      <c r="D240" s="104"/>
      <c r="E240" s="104"/>
      <c r="F240" s="104"/>
      <c r="G240" s="104" t="s">
        <v>86</v>
      </c>
      <c r="H240" s="29">
        <v>17.600000000000001</v>
      </c>
      <c r="I240" s="104" t="s">
        <v>87</v>
      </c>
      <c r="J240" s="105">
        <v>500.89</v>
      </c>
    </row>
    <row r="241" spans="1:10" ht="15" thickTop="1" x14ac:dyDescent="0.2">
      <c r="A241" s="30"/>
      <c r="B241" s="30"/>
      <c r="C241" s="30"/>
      <c r="D241" s="30"/>
      <c r="E241" s="30"/>
      <c r="F241" s="30"/>
      <c r="G241" s="30"/>
      <c r="H241" s="30"/>
      <c r="I241" s="30"/>
      <c r="J241" s="30"/>
    </row>
    <row r="242" spans="1:10" ht="15" x14ac:dyDescent="0.2">
      <c r="A242" s="103" t="s">
        <v>1081</v>
      </c>
      <c r="B242" s="112" t="s">
        <v>24</v>
      </c>
      <c r="C242" s="103" t="s">
        <v>25</v>
      </c>
      <c r="D242" s="103" t="s">
        <v>10</v>
      </c>
      <c r="E242" s="283" t="s">
        <v>53</v>
      </c>
      <c r="F242" s="283"/>
      <c r="G242" s="113" t="s">
        <v>26</v>
      </c>
      <c r="H242" s="112" t="s">
        <v>27</v>
      </c>
      <c r="I242" s="112" t="s">
        <v>28</v>
      </c>
      <c r="J242" s="112" t="s">
        <v>11</v>
      </c>
    </row>
    <row r="243" spans="1:10" ht="25.5" customHeight="1" x14ac:dyDescent="0.2">
      <c r="A243" s="109" t="s">
        <v>54</v>
      </c>
      <c r="B243" s="10" t="s">
        <v>1082</v>
      </c>
      <c r="C243" s="109" t="s">
        <v>72</v>
      </c>
      <c r="D243" s="109" t="s">
        <v>1083</v>
      </c>
      <c r="E243" s="302" t="s">
        <v>147</v>
      </c>
      <c r="F243" s="302"/>
      <c r="G243" s="11" t="s">
        <v>154</v>
      </c>
      <c r="H243" s="19">
        <v>1</v>
      </c>
      <c r="I243" s="12">
        <v>409.95</v>
      </c>
      <c r="J243" s="12">
        <v>409.95</v>
      </c>
    </row>
    <row r="244" spans="1:10" ht="25.5" customHeight="1" x14ac:dyDescent="0.2">
      <c r="A244" s="107" t="s">
        <v>56</v>
      </c>
      <c r="B244" s="20" t="s">
        <v>1236</v>
      </c>
      <c r="C244" s="107" t="s">
        <v>72</v>
      </c>
      <c r="D244" s="107" t="s">
        <v>1237</v>
      </c>
      <c r="E244" s="300" t="s">
        <v>91</v>
      </c>
      <c r="F244" s="300"/>
      <c r="G244" s="21" t="s">
        <v>105</v>
      </c>
      <c r="H244" s="22">
        <v>0.2198</v>
      </c>
      <c r="I244" s="23">
        <v>1.56</v>
      </c>
      <c r="J244" s="23">
        <v>0.34</v>
      </c>
    </row>
    <row r="245" spans="1:10" ht="25.5" customHeight="1" x14ac:dyDescent="0.2">
      <c r="A245" s="107" t="s">
        <v>56</v>
      </c>
      <c r="B245" s="20" t="s">
        <v>1238</v>
      </c>
      <c r="C245" s="107" t="s">
        <v>72</v>
      </c>
      <c r="D245" s="107" t="s">
        <v>1239</v>
      </c>
      <c r="E245" s="300" t="s">
        <v>91</v>
      </c>
      <c r="F245" s="300"/>
      <c r="G245" s="21" t="s">
        <v>92</v>
      </c>
      <c r="H245" s="22">
        <v>0.63770000000000004</v>
      </c>
      <c r="I245" s="23">
        <v>0.39</v>
      </c>
      <c r="J245" s="23">
        <v>0.24</v>
      </c>
    </row>
    <row r="246" spans="1:10" ht="38.25" x14ac:dyDescent="0.2">
      <c r="A246" s="107" t="s">
        <v>56</v>
      </c>
      <c r="B246" s="20" t="s">
        <v>1240</v>
      </c>
      <c r="C246" s="107" t="s">
        <v>72</v>
      </c>
      <c r="D246" s="107" t="s">
        <v>1241</v>
      </c>
      <c r="E246" s="300" t="s">
        <v>147</v>
      </c>
      <c r="F246" s="300"/>
      <c r="G246" s="21" t="s">
        <v>154</v>
      </c>
      <c r="H246" s="22">
        <v>0.80500000000000005</v>
      </c>
      <c r="I246" s="23">
        <v>318.16000000000003</v>
      </c>
      <c r="J246" s="23">
        <v>256.11</v>
      </c>
    </row>
    <row r="247" spans="1:10" ht="25.5" x14ac:dyDescent="0.2">
      <c r="A247" s="107" t="s">
        <v>56</v>
      </c>
      <c r="B247" s="20" t="s">
        <v>1209</v>
      </c>
      <c r="C247" s="107" t="s">
        <v>72</v>
      </c>
      <c r="D247" s="107" t="s">
        <v>1210</v>
      </c>
      <c r="E247" s="300" t="s">
        <v>146</v>
      </c>
      <c r="F247" s="300"/>
      <c r="G247" s="21" t="s">
        <v>75</v>
      </c>
      <c r="H247" s="22">
        <v>1.6701999999999999</v>
      </c>
      <c r="I247" s="23">
        <v>19.329999999999998</v>
      </c>
      <c r="J247" s="23">
        <v>32.28</v>
      </c>
    </row>
    <row r="248" spans="1:10" ht="25.5" x14ac:dyDescent="0.2">
      <c r="A248" s="107" t="s">
        <v>56</v>
      </c>
      <c r="B248" s="20" t="s">
        <v>156</v>
      </c>
      <c r="C248" s="107" t="s">
        <v>72</v>
      </c>
      <c r="D248" s="107" t="s">
        <v>157</v>
      </c>
      <c r="E248" s="300" t="s">
        <v>146</v>
      </c>
      <c r="F248" s="300"/>
      <c r="G248" s="21" t="s">
        <v>75</v>
      </c>
      <c r="H248" s="22">
        <v>6.4683999999999999</v>
      </c>
      <c r="I248" s="23">
        <v>14.31</v>
      </c>
      <c r="J248" s="23">
        <v>92.56</v>
      </c>
    </row>
    <row r="249" spans="1:10" ht="25.5" x14ac:dyDescent="0.2">
      <c r="A249" s="108" t="s">
        <v>63</v>
      </c>
      <c r="B249" s="24" t="s">
        <v>1242</v>
      </c>
      <c r="C249" s="108" t="s">
        <v>72</v>
      </c>
      <c r="D249" s="108" t="s">
        <v>1243</v>
      </c>
      <c r="E249" s="301" t="s">
        <v>66</v>
      </c>
      <c r="F249" s="301"/>
      <c r="G249" s="25" t="s">
        <v>154</v>
      </c>
      <c r="H249" s="26">
        <v>0.45429999999999998</v>
      </c>
      <c r="I249" s="27">
        <v>62.56</v>
      </c>
      <c r="J249" s="27">
        <v>28.42</v>
      </c>
    </row>
    <row r="250" spans="1:10" x14ac:dyDescent="0.2">
      <c r="A250" s="106"/>
      <c r="B250" s="106"/>
      <c r="C250" s="106"/>
      <c r="D250" s="106"/>
      <c r="E250" s="106" t="s">
        <v>81</v>
      </c>
      <c r="F250" s="28">
        <v>66.618751738848189</v>
      </c>
      <c r="G250" s="106" t="s">
        <v>82</v>
      </c>
      <c r="H250" s="28">
        <v>77.05</v>
      </c>
      <c r="I250" s="106" t="s">
        <v>83</v>
      </c>
      <c r="J250" s="28">
        <v>143.66999999999999</v>
      </c>
    </row>
    <row r="251" spans="1:10" x14ac:dyDescent="0.2">
      <c r="A251" s="106"/>
      <c r="B251" s="106"/>
      <c r="C251" s="106"/>
      <c r="D251" s="106"/>
      <c r="E251" s="106" t="s">
        <v>84</v>
      </c>
      <c r="F251" s="28">
        <v>99.33</v>
      </c>
      <c r="G251" s="106"/>
      <c r="H251" s="299" t="s">
        <v>85</v>
      </c>
      <c r="I251" s="299"/>
      <c r="J251" s="28">
        <v>509.28</v>
      </c>
    </row>
    <row r="252" spans="1:10" ht="15" thickBot="1" x14ac:dyDescent="0.25">
      <c r="A252" s="104"/>
      <c r="B252" s="104"/>
      <c r="C252" s="104"/>
      <c r="D252" s="104"/>
      <c r="E252" s="104"/>
      <c r="F252" s="104"/>
      <c r="G252" s="104" t="s">
        <v>86</v>
      </c>
      <c r="H252" s="29">
        <v>14.08</v>
      </c>
      <c r="I252" s="104" t="s">
        <v>87</v>
      </c>
      <c r="J252" s="105">
        <v>7170.66</v>
      </c>
    </row>
    <row r="253" spans="1:10" ht="15" thickTop="1" x14ac:dyDescent="0.2">
      <c r="A253" s="30"/>
      <c r="B253" s="30"/>
      <c r="C253" s="30"/>
      <c r="D253" s="30"/>
      <c r="E253" s="30"/>
      <c r="F253" s="30"/>
      <c r="G253" s="30"/>
      <c r="H253" s="30"/>
      <c r="I253" s="30"/>
      <c r="J253" s="30"/>
    </row>
    <row r="254" spans="1:10" ht="15" x14ac:dyDescent="0.2">
      <c r="A254" s="103" t="s">
        <v>1084</v>
      </c>
      <c r="B254" s="112" t="s">
        <v>24</v>
      </c>
      <c r="C254" s="103" t="s">
        <v>25</v>
      </c>
      <c r="D254" s="103" t="s">
        <v>10</v>
      </c>
      <c r="E254" s="283" t="s">
        <v>53</v>
      </c>
      <c r="F254" s="283"/>
      <c r="G254" s="113" t="s">
        <v>26</v>
      </c>
      <c r="H254" s="112" t="s">
        <v>27</v>
      </c>
      <c r="I254" s="112" t="s">
        <v>28</v>
      </c>
      <c r="J254" s="112" t="s">
        <v>11</v>
      </c>
    </row>
    <row r="255" spans="1:10" ht="38.25" customHeight="1" x14ac:dyDescent="0.2">
      <c r="A255" s="109" t="s">
        <v>54</v>
      </c>
      <c r="B255" s="10" t="s">
        <v>1085</v>
      </c>
      <c r="C255" s="109" t="s">
        <v>72</v>
      </c>
      <c r="D255" s="109" t="s">
        <v>1086</v>
      </c>
      <c r="E255" s="302" t="s">
        <v>1134</v>
      </c>
      <c r="F255" s="302"/>
      <c r="G255" s="11" t="s">
        <v>1066</v>
      </c>
      <c r="H255" s="19">
        <v>1</v>
      </c>
      <c r="I255" s="12">
        <v>2.4500000000000002</v>
      </c>
      <c r="J255" s="12">
        <v>2.4500000000000002</v>
      </c>
    </row>
    <row r="256" spans="1:10" ht="51" x14ac:dyDescent="0.2">
      <c r="A256" s="107" t="s">
        <v>56</v>
      </c>
      <c r="B256" s="20" t="s">
        <v>1244</v>
      </c>
      <c r="C256" s="107" t="s">
        <v>72</v>
      </c>
      <c r="D256" s="107" t="s">
        <v>1245</v>
      </c>
      <c r="E256" s="300" t="s">
        <v>91</v>
      </c>
      <c r="F256" s="300"/>
      <c r="G256" s="21" t="s">
        <v>105</v>
      </c>
      <c r="H256" s="22">
        <v>1.17E-2</v>
      </c>
      <c r="I256" s="23">
        <v>193.12</v>
      </c>
      <c r="J256" s="23">
        <v>2.25</v>
      </c>
    </row>
    <row r="257" spans="1:10" ht="51" x14ac:dyDescent="0.2">
      <c r="A257" s="107" t="s">
        <v>56</v>
      </c>
      <c r="B257" s="20" t="s">
        <v>1246</v>
      </c>
      <c r="C257" s="107" t="s">
        <v>72</v>
      </c>
      <c r="D257" s="107" t="s">
        <v>1247</v>
      </c>
      <c r="E257" s="300" t="s">
        <v>91</v>
      </c>
      <c r="F257" s="300"/>
      <c r="G257" s="21" t="s">
        <v>92</v>
      </c>
      <c r="H257" s="22">
        <v>5.0000000000000001E-3</v>
      </c>
      <c r="I257" s="23">
        <v>40.51</v>
      </c>
      <c r="J257" s="23">
        <v>0.2</v>
      </c>
    </row>
    <row r="258" spans="1:10" x14ac:dyDescent="0.2">
      <c r="A258" s="106"/>
      <c r="B258" s="106"/>
      <c r="C258" s="106"/>
      <c r="D258" s="106"/>
      <c r="E258" s="106" t="s">
        <v>81</v>
      </c>
      <c r="F258" s="28">
        <v>0.12983399795975145</v>
      </c>
      <c r="G258" s="106" t="s">
        <v>82</v>
      </c>
      <c r="H258" s="28">
        <v>0.15</v>
      </c>
      <c r="I258" s="106" t="s">
        <v>83</v>
      </c>
      <c r="J258" s="28">
        <v>0.28000000000000003</v>
      </c>
    </row>
    <row r="259" spans="1:10" x14ac:dyDescent="0.2">
      <c r="A259" s="106"/>
      <c r="B259" s="106"/>
      <c r="C259" s="106"/>
      <c r="D259" s="106"/>
      <c r="E259" s="106" t="s">
        <v>84</v>
      </c>
      <c r="F259" s="28">
        <v>0.59</v>
      </c>
      <c r="G259" s="106"/>
      <c r="H259" s="299" t="s">
        <v>85</v>
      </c>
      <c r="I259" s="299"/>
      <c r="J259" s="28">
        <v>3.04</v>
      </c>
    </row>
    <row r="260" spans="1:10" ht="15" thickBot="1" x14ac:dyDescent="0.25">
      <c r="A260" s="104"/>
      <c r="B260" s="104"/>
      <c r="C260" s="104"/>
      <c r="D260" s="104"/>
      <c r="E260" s="104"/>
      <c r="F260" s="104"/>
      <c r="G260" s="104" t="s">
        <v>86</v>
      </c>
      <c r="H260" s="29">
        <v>60</v>
      </c>
      <c r="I260" s="104" t="s">
        <v>87</v>
      </c>
      <c r="J260" s="105">
        <v>182.4</v>
      </c>
    </row>
    <row r="261" spans="1:10" ht="15" thickTop="1" x14ac:dyDescent="0.2">
      <c r="A261" s="30"/>
      <c r="B261" s="30"/>
      <c r="C261" s="30"/>
      <c r="D261" s="30"/>
      <c r="E261" s="30"/>
      <c r="F261" s="30"/>
      <c r="G261" s="30"/>
      <c r="H261" s="30"/>
      <c r="I261" s="30"/>
      <c r="J261" s="30"/>
    </row>
    <row r="262" spans="1:10" ht="15" x14ac:dyDescent="0.2">
      <c r="A262" s="103" t="s">
        <v>1087</v>
      </c>
      <c r="B262" s="112" t="s">
        <v>24</v>
      </c>
      <c r="C262" s="103" t="s">
        <v>25</v>
      </c>
      <c r="D262" s="103" t="s">
        <v>10</v>
      </c>
      <c r="E262" s="283" t="s">
        <v>53</v>
      </c>
      <c r="F262" s="283"/>
      <c r="G262" s="113" t="s">
        <v>26</v>
      </c>
      <c r="H262" s="112" t="s">
        <v>27</v>
      </c>
      <c r="I262" s="112" t="s">
        <v>28</v>
      </c>
      <c r="J262" s="112" t="s">
        <v>11</v>
      </c>
    </row>
    <row r="263" spans="1:10" ht="38.25" customHeight="1" x14ac:dyDescent="0.2">
      <c r="A263" s="109" t="s">
        <v>54</v>
      </c>
      <c r="B263" s="10" t="s">
        <v>1088</v>
      </c>
      <c r="C263" s="109" t="s">
        <v>72</v>
      </c>
      <c r="D263" s="109" t="s">
        <v>1089</v>
      </c>
      <c r="E263" s="302" t="s">
        <v>91</v>
      </c>
      <c r="F263" s="302"/>
      <c r="G263" s="11" t="s">
        <v>105</v>
      </c>
      <c r="H263" s="19">
        <v>1</v>
      </c>
      <c r="I263" s="12">
        <v>155.51</v>
      </c>
      <c r="J263" s="12">
        <v>155.51</v>
      </c>
    </row>
    <row r="264" spans="1:10" ht="38.25" customHeight="1" x14ac:dyDescent="0.2">
      <c r="A264" s="107" t="s">
        <v>56</v>
      </c>
      <c r="B264" s="20" t="s">
        <v>1248</v>
      </c>
      <c r="C264" s="107" t="s">
        <v>72</v>
      </c>
      <c r="D264" s="107" t="s">
        <v>1249</v>
      </c>
      <c r="E264" s="300" t="s">
        <v>91</v>
      </c>
      <c r="F264" s="300"/>
      <c r="G264" s="21" t="s">
        <v>75</v>
      </c>
      <c r="H264" s="22">
        <v>1</v>
      </c>
      <c r="I264" s="23">
        <v>39.200000000000003</v>
      </c>
      <c r="J264" s="23">
        <v>39.200000000000003</v>
      </c>
    </row>
    <row r="265" spans="1:10" ht="38.25" customHeight="1" x14ac:dyDescent="0.2">
      <c r="A265" s="107" t="s">
        <v>56</v>
      </c>
      <c r="B265" s="20" t="s">
        <v>1250</v>
      </c>
      <c r="C265" s="107" t="s">
        <v>72</v>
      </c>
      <c r="D265" s="107" t="s">
        <v>1251</v>
      </c>
      <c r="E265" s="300" t="s">
        <v>91</v>
      </c>
      <c r="F265" s="300"/>
      <c r="G265" s="21" t="s">
        <v>75</v>
      </c>
      <c r="H265" s="22">
        <v>1</v>
      </c>
      <c r="I265" s="23">
        <v>4.25</v>
      </c>
      <c r="J265" s="23">
        <v>4.25</v>
      </c>
    </row>
    <row r="266" spans="1:10" ht="38.25" customHeight="1" x14ac:dyDescent="0.2">
      <c r="A266" s="107" t="s">
        <v>56</v>
      </c>
      <c r="B266" s="20" t="s">
        <v>1252</v>
      </c>
      <c r="C266" s="107" t="s">
        <v>72</v>
      </c>
      <c r="D266" s="107" t="s">
        <v>1253</v>
      </c>
      <c r="E266" s="300" t="s">
        <v>91</v>
      </c>
      <c r="F266" s="300"/>
      <c r="G266" s="21" t="s">
        <v>75</v>
      </c>
      <c r="H266" s="22">
        <v>1</v>
      </c>
      <c r="I266" s="23">
        <v>61.5</v>
      </c>
      <c r="J266" s="23">
        <v>61.5</v>
      </c>
    </row>
    <row r="267" spans="1:10" ht="38.25" customHeight="1" x14ac:dyDescent="0.2">
      <c r="A267" s="107" t="s">
        <v>56</v>
      </c>
      <c r="B267" s="20" t="s">
        <v>1254</v>
      </c>
      <c r="C267" s="107" t="s">
        <v>72</v>
      </c>
      <c r="D267" s="107" t="s">
        <v>1255</v>
      </c>
      <c r="E267" s="300" t="s">
        <v>91</v>
      </c>
      <c r="F267" s="300"/>
      <c r="G267" s="21" t="s">
        <v>75</v>
      </c>
      <c r="H267" s="22">
        <v>1</v>
      </c>
      <c r="I267" s="23">
        <v>31.36</v>
      </c>
      <c r="J267" s="23">
        <v>31.36</v>
      </c>
    </row>
    <row r="268" spans="1:10" ht="25.5" x14ac:dyDescent="0.2">
      <c r="A268" s="107" t="s">
        <v>56</v>
      </c>
      <c r="B268" s="20" t="s">
        <v>1256</v>
      </c>
      <c r="C268" s="107" t="s">
        <v>72</v>
      </c>
      <c r="D268" s="107" t="s">
        <v>1257</v>
      </c>
      <c r="E268" s="300" t="s">
        <v>146</v>
      </c>
      <c r="F268" s="300"/>
      <c r="G268" s="21" t="s">
        <v>75</v>
      </c>
      <c r="H268" s="22">
        <v>1</v>
      </c>
      <c r="I268" s="23">
        <v>19.2</v>
      </c>
      <c r="J268" s="23">
        <v>19.2</v>
      </c>
    </row>
    <row r="269" spans="1:10" x14ac:dyDescent="0.2">
      <c r="A269" s="106"/>
      <c r="B269" s="106"/>
      <c r="C269" s="106"/>
      <c r="D269" s="106"/>
      <c r="E269" s="106" t="s">
        <v>81</v>
      </c>
      <c r="F269" s="28">
        <v>8.0636186999999993</v>
      </c>
      <c r="G269" s="106" t="s">
        <v>82</v>
      </c>
      <c r="H269" s="28">
        <v>9.33</v>
      </c>
      <c r="I269" s="106" t="s">
        <v>83</v>
      </c>
      <c r="J269" s="28">
        <v>17.39</v>
      </c>
    </row>
    <row r="270" spans="1:10" x14ac:dyDescent="0.2">
      <c r="A270" s="106"/>
      <c r="B270" s="106"/>
      <c r="C270" s="106"/>
      <c r="D270" s="106"/>
      <c r="E270" s="106" t="s">
        <v>84</v>
      </c>
      <c r="F270" s="28">
        <v>37.68</v>
      </c>
      <c r="G270" s="106"/>
      <c r="H270" s="299" t="s">
        <v>85</v>
      </c>
      <c r="I270" s="299"/>
      <c r="J270" s="28">
        <v>193.19</v>
      </c>
    </row>
    <row r="271" spans="1:10" ht="15" thickBot="1" x14ac:dyDescent="0.25">
      <c r="A271" s="104"/>
      <c r="B271" s="104"/>
      <c r="C271" s="104"/>
      <c r="D271" s="104"/>
      <c r="E271" s="104"/>
      <c r="F271" s="104"/>
      <c r="G271" s="104" t="s">
        <v>86</v>
      </c>
      <c r="H271" s="29">
        <v>8</v>
      </c>
      <c r="I271" s="104" t="s">
        <v>87</v>
      </c>
      <c r="J271" s="105">
        <v>1545.52</v>
      </c>
    </row>
    <row r="272" spans="1:10" ht="15" thickTop="1" x14ac:dyDescent="0.2">
      <c r="A272" s="30"/>
      <c r="B272" s="30"/>
      <c r="C272" s="30"/>
      <c r="D272" s="30"/>
      <c r="E272" s="30"/>
      <c r="F272" s="30"/>
      <c r="G272" s="30"/>
      <c r="H272" s="30"/>
      <c r="I272" s="30"/>
      <c r="J272" s="30"/>
    </row>
    <row r="273" spans="1:10" x14ac:dyDescent="0.2">
      <c r="A273" s="110" t="s">
        <v>1040</v>
      </c>
      <c r="B273" s="110"/>
      <c r="C273" s="110"/>
      <c r="D273" s="110" t="s">
        <v>1041</v>
      </c>
      <c r="E273" s="110"/>
      <c r="F273" s="303"/>
      <c r="G273" s="303"/>
      <c r="H273" s="7"/>
      <c r="I273" s="110"/>
      <c r="J273" s="8">
        <v>140623.21</v>
      </c>
    </row>
    <row r="274" spans="1:10" ht="15" x14ac:dyDescent="0.2">
      <c r="A274" s="103" t="s">
        <v>1090</v>
      </c>
      <c r="B274" s="112" t="s">
        <v>24</v>
      </c>
      <c r="C274" s="103" t="s">
        <v>25</v>
      </c>
      <c r="D274" s="103" t="s">
        <v>10</v>
      </c>
      <c r="E274" s="283" t="s">
        <v>53</v>
      </c>
      <c r="F274" s="283"/>
      <c r="G274" s="113" t="s">
        <v>26</v>
      </c>
      <c r="H274" s="112" t="s">
        <v>27</v>
      </c>
      <c r="I274" s="112" t="s">
        <v>28</v>
      </c>
      <c r="J274" s="112" t="s">
        <v>11</v>
      </c>
    </row>
    <row r="275" spans="1:10" ht="25.5" x14ac:dyDescent="0.2">
      <c r="A275" s="109" t="s">
        <v>54</v>
      </c>
      <c r="B275" s="10" t="s">
        <v>158</v>
      </c>
      <c r="C275" s="109" t="s">
        <v>32</v>
      </c>
      <c r="D275" s="109" t="s">
        <v>1031</v>
      </c>
      <c r="E275" s="302" t="s">
        <v>159</v>
      </c>
      <c r="F275" s="302"/>
      <c r="G275" s="11" t="s">
        <v>154</v>
      </c>
      <c r="H275" s="19">
        <v>1</v>
      </c>
      <c r="I275" s="12">
        <v>9297.07</v>
      </c>
      <c r="J275" s="12">
        <v>9297.07</v>
      </c>
    </row>
    <row r="276" spans="1:10" ht="25.5" x14ac:dyDescent="0.2">
      <c r="A276" s="107" t="s">
        <v>56</v>
      </c>
      <c r="B276" s="20" t="s">
        <v>61</v>
      </c>
      <c r="C276" s="107" t="s">
        <v>32</v>
      </c>
      <c r="D276" s="107" t="s">
        <v>62</v>
      </c>
      <c r="E276" s="300" t="s">
        <v>59</v>
      </c>
      <c r="F276" s="300"/>
      <c r="G276" s="21" t="s">
        <v>60</v>
      </c>
      <c r="H276" s="22">
        <v>6.67</v>
      </c>
      <c r="I276" s="23">
        <v>3.41</v>
      </c>
      <c r="J276" s="23">
        <v>22.74</v>
      </c>
    </row>
    <row r="277" spans="1:10" ht="25.5" x14ac:dyDescent="0.2">
      <c r="A277" s="107" t="s">
        <v>56</v>
      </c>
      <c r="B277" s="20" t="s">
        <v>57</v>
      </c>
      <c r="C277" s="107" t="s">
        <v>32</v>
      </c>
      <c r="D277" s="107" t="s">
        <v>58</v>
      </c>
      <c r="E277" s="300" t="s">
        <v>59</v>
      </c>
      <c r="F277" s="300"/>
      <c r="G277" s="21" t="s">
        <v>60</v>
      </c>
      <c r="H277" s="22">
        <v>3.33</v>
      </c>
      <c r="I277" s="23">
        <v>3.5</v>
      </c>
      <c r="J277" s="23">
        <v>11.65</v>
      </c>
    </row>
    <row r="278" spans="1:10" ht="25.5" x14ac:dyDescent="0.2">
      <c r="A278" s="108" t="s">
        <v>63</v>
      </c>
      <c r="B278" s="24" t="s">
        <v>290</v>
      </c>
      <c r="C278" s="108" t="s">
        <v>32</v>
      </c>
      <c r="D278" s="108" t="s">
        <v>1258</v>
      </c>
      <c r="E278" s="301" t="s">
        <v>66</v>
      </c>
      <c r="F278" s="301"/>
      <c r="G278" s="25" t="s">
        <v>154</v>
      </c>
      <c r="H278" s="26">
        <v>1</v>
      </c>
      <c r="I278" s="27">
        <v>9114.9</v>
      </c>
      <c r="J278" s="27">
        <v>9114.9</v>
      </c>
    </row>
    <row r="279" spans="1:10" x14ac:dyDescent="0.2">
      <c r="A279" s="108" t="s">
        <v>63</v>
      </c>
      <c r="B279" s="24" t="s">
        <v>71</v>
      </c>
      <c r="C279" s="108" t="s">
        <v>72</v>
      </c>
      <c r="D279" s="108" t="s">
        <v>73</v>
      </c>
      <c r="E279" s="301" t="s">
        <v>74</v>
      </c>
      <c r="F279" s="301"/>
      <c r="G279" s="25" t="s">
        <v>75</v>
      </c>
      <c r="H279" s="26">
        <v>6.67</v>
      </c>
      <c r="I279" s="27">
        <v>16.39</v>
      </c>
      <c r="J279" s="27">
        <v>109.32</v>
      </c>
    </row>
    <row r="280" spans="1:10" x14ac:dyDescent="0.2">
      <c r="A280" s="108" t="s">
        <v>63</v>
      </c>
      <c r="B280" s="24" t="s">
        <v>79</v>
      </c>
      <c r="C280" s="108" t="s">
        <v>72</v>
      </c>
      <c r="D280" s="108" t="s">
        <v>80</v>
      </c>
      <c r="E280" s="301" t="s">
        <v>74</v>
      </c>
      <c r="F280" s="301"/>
      <c r="G280" s="25" t="s">
        <v>75</v>
      </c>
      <c r="H280" s="26">
        <v>3.33</v>
      </c>
      <c r="I280" s="27">
        <v>11.55</v>
      </c>
      <c r="J280" s="27">
        <v>38.46</v>
      </c>
    </row>
    <row r="281" spans="1:10" x14ac:dyDescent="0.2">
      <c r="A281" s="106"/>
      <c r="B281" s="106"/>
      <c r="C281" s="106"/>
      <c r="D281" s="106"/>
      <c r="E281" s="106" t="s">
        <v>81</v>
      </c>
      <c r="F281" s="28">
        <v>68.524529400000006</v>
      </c>
      <c r="G281" s="106" t="s">
        <v>82</v>
      </c>
      <c r="H281" s="28">
        <v>79.260000000000005</v>
      </c>
      <c r="I281" s="106" t="s">
        <v>83</v>
      </c>
      <c r="J281" s="28">
        <v>147.78</v>
      </c>
    </row>
    <row r="282" spans="1:10" x14ac:dyDescent="0.2">
      <c r="A282" s="106"/>
      <c r="B282" s="106"/>
      <c r="C282" s="106"/>
      <c r="D282" s="106"/>
      <c r="E282" s="106" t="s">
        <v>84</v>
      </c>
      <c r="F282" s="28">
        <v>2252.6799999999998</v>
      </c>
      <c r="G282" s="106"/>
      <c r="H282" s="299" t="s">
        <v>85</v>
      </c>
      <c r="I282" s="299"/>
      <c r="J282" s="28">
        <v>11549.75</v>
      </c>
    </row>
    <row r="283" spans="1:10" ht="15" thickBot="1" x14ac:dyDescent="0.25">
      <c r="A283" s="104"/>
      <c r="B283" s="104"/>
      <c r="C283" s="104"/>
      <c r="D283" s="104"/>
      <c r="E283" s="104"/>
      <c r="F283" s="104"/>
      <c r="G283" s="104" t="s">
        <v>86</v>
      </c>
      <c r="H283" s="29">
        <v>6.62</v>
      </c>
      <c r="I283" s="104" t="s">
        <v>87</v>
      </c>
      <c r="J283" s="105">
        <v>76459.34</v>
      </c>
    </row>
    <row r="284" spans="1:10" ht="15" thickTop="1" x14ac:dyDescent="0.2">
      <c r="A284" s="30"/>
      <c r="B284" s="30"/>
      <c r="C284" s="30"/>
      <c r="D284" s="30"/>
      <c r="E284" s="30"/>
      <c r="F284" s="30"/>
      <c r="G284" s="30"/>
      <c r="H284" s="30"/>
      <c r="I284" s="30"/>
      <c r="J284" s="30"/>
    </row>
    <row r="285" spans="1:10" ht="15" x14ac:dyDescent="0.2">
      <c r="A285" s="103"/>
      <c r="B285" s="112" t="s">
        <v>24</v>
      </c>
      <c r="C285" s="103" t="s">
        <v>25</v>
      </c>
      <c r="D285" s="103" t="s">
        <v>10</v>
      </c>
      <c r="E285" s="283" t="s">
        <v>53</v>
      </c>
      <c r="F285" s="283"/>
      <c r="G285" s="113" t="s">
        <v>26</v>
      </c>
      <c r="H285" s="112" t="s">
        <v>27</v>
      </c>
      <c r="I285" s="112" t="s">
        <v>28</v>
      </c>
      <c r="J285" s="112" t="s">
        <v>11</v>
      </c>
    </row>
    <row r="286" spans="1:10" x14ac:dyDescent="0.2">
      <c r="A286" s="111" t="s">
        <v>63</v>
      </c>
      <c r="B286" s="80" t="s">
        <v>165</v>
      </c>
      <c r="C286" s="111" t="s">
        <v>32</v>
      </c>
      <c r="D286" s="111" t="s">
        <v>166</v>
      </c>
      <c r="E286" s="304" t="s">
        <v>66</v>
      </c>
      <c r="F286" s="304"/>
      <c r="G286" s="82" t="s">
        <v>154</v>
      </c>
      <c r="H286" s="95">
        <v>1</v>
      </c>
      <c r="I286" s="83">
        <v>9114.9</v>
      </c>
      <c r="J286" s="83">
        <v>9114.9</v>
      </c>
    </row>
    <row r="287" spans="1:10" x14ac:dyDescent="0.2">
      <c r="A287" s="106"/>
      <c r="B287" s="106"/>
      <c r="C287" s="106"/>
      <c r="D287" s="106"/>
      <c r="E287" s="106" t="s">
        <v>81</v>
      </c>
      <c r="F287" s="28">
        <v>0</v>
      </c>
      <c r="G287" s="106" t="s">
        <v>82</v>
      </c>
      <c r="H287" s="28">
        <v>0</v>
      </c>
      <c r="I287" s="106" t="s">
        <v>83</v>
      </c>
      <c r="J287" s="28">
        <v>0</v>
      </c>
    </row>
    <row r="288" spans="1:10" x14ac:dyDescent="0.2">
      <c r="A288" s="106"/>
      <c r="B288" s="106"/>
      <c r="C288" s="106"/>
      <c r="D288" s="106"/>
      <c r="E288" s="106" t="s">
        <v>84</v>
      </c>
      <c r="F288" s="28">
        <v>2208.54</v>
      </c>
      <c r="G288" s="106"/>
      <c r="H288" s="299" t="s">
        <v>85</v>
      </c>
      <c r="I288" s="299"/>
      <c r="J288" s="28">
        <v>11323.44</v>
      </c>
    </row>
    <row r="289" spans="1:10" ht="15" thickBot="1" x14ac:dyDescent="0.25">
      <c r="A289" s="104"/>
      <c r="B289" s="104"/>
      <c r="C289" s="104"/>
      <c r="D289" s="104"/>
      <c r="E289" s="104"/>
      <c r="F289" s="104"/>
      <c r="G289" s="104" t="s">
        <v>86</v>
      </c>
      <c r="H289" s="29">
        <v>4.5</v>
      </c>
      <c r="I289" s="104" t="s">
        <v>87</v>
      </c>
      <c r="J289" s="105">
        <v>50955.48</v>
      </c>
    </row>
    <row r="290" spans="1:10" ht="15" thickTop="1" x14ac:dyDescent="0.2">
      <c r="A290" s="30"/>
      <c r="B290" s="30"/>
      <c r="C290" s="30"/>
      <c r="D290" s="30"/>
      <c r="E290" s="30"/>
      <c r="F290" s="30"/>
      <c r="G290" s="30"/>
      <c r="H290" s="30"/>
      <c r="I290" s="30"/>
      <c r="J290" s="30"/>
    </row>
    <row r="291" spans="1:10" ht="15" x14ac:dyDescent="0.2">
      <c r="A291" s="103" t="s">
        <v>1091</v>
      </c>
      <c r="B291" s="112" t="s">
        <v>24</v>
      </c>
      <c r="C291" s="103" t="s">
        <v>25</v>
      </c>
      <c r="D291" s="103" t="s">
        <v>10</v>
      </c>
      <c r="E291" s="283" t="s">
        <v>53</v>
      </c>
      <c r="F291" s="283"/>
      <c r="G291" s="113" t="s">
        <v>26</v>
      </c>
      <c r="H291" s="112" t="s">
        <v>27</v>
      </c>
      <c r="I291" s="112" t="s">
        <v>28</v>
      </c>
      <c r="J291" s="112" t="s">
        <v>11</v>
      </c>
    </row>
    <row r="292" spans="1:10" ht="14.25" customHeight="1" x14ac:dyDescent="0.2">
      <c r="A292" s="109" t="s">
        <v>54</v>
      </c>
      <c r="B292" s="10" t="s">
        <v>152</v>
      </c>
      <c r="C292" s="109" t="s">
        <v>72</v>
      </c>
      <c r="D292" s="109" t="s">
        <v>153</v>
      </c>
      <c r="E292" s="302" t="s">
        <v>146</v>
      </c>
      <c r="F292" s="302"/>
      <c r="G292" s="11" t="s">
        <v>75</v>
      </c>
      <c r="H292" s="19">
        <v>1</v>
      </c>
      <c r="I292" s="12">
        <v>15.62</v>
      </c>
      <c r="J292" s="12">
        <v>15.62</v>
      </c>
    </row>
    <row r="293" spans="1:10" ht="25.5" x14ac:dyDescent="0.2">
      <c r="A293" s="107" t="s">
        <v>56</v>
      </c>
      <c r="B293" s="20" t="s">
        <v>1259</v>
      </c>
      <c r="C293" s="107" t="s">
        <v>72</v>
      </c>
      <c r="D293" s="107" t="s">
        <v>1260</v>
      </c>
      <c r="E293" s="300" t="s">
        <v>146</v>
      </c>
      <c r="F293" s="300"/>
      <c r="G293" s="21" t="s">
        <v>75</v>
      </c>
      <c r="H293" s="22">
        <v>1</v>
      </c>
      <c r="I293" s="23">
        <v>0.13</v>
      </c>
      <c r="J293" s="23">
        <v>0.13</v>
      </c>
    </row>
    <row r="294" spans="1:10" x14ac:dyDescent="0.2">
      <c r="A294" s="108" t="s">
        <v>63</v>
      </c>
      <c r="B294" s="24" t="s">
        <v>854</v>
      </c>
      <c r="C294" s="108" t="s">
        <v>72</v>
      </c>
      <c r="D294" s="108" t="s">
        <v>855</v>
      </c>
      <c r="E294" s="301" t="s">
        <v>494</v>
      </c>
      <c r="F294" s="301"/>
      <c r="G294" s="25" t="s">
        <v>75</v>
      </c>
      <c r="H294" s="26">
        <v>1</v>
      </c>
      <c r="I294" s="27">
        <v>0.01</v>
      </c>
      <c r="J294" s="27">
        <v>0.01</v>
      </c>
    </row>
    <row r="295" spans="1:10" x14ac:dyDescent="0.2">
      <c r="A295" s="108" t="s">
        <v>63</v>
      </c>
      <c r="B295" s="24" t="s">
        <v>511</v>
      </c>
      <c r="C295" s="108" t="s">
        <v>72</v>
      </c>
      <c r="D295" s="108" t="s">
        <v>512</v>
      </c>
      <c r="E295" s="301" t="s">
        <v>74</v>
      </c>
      <c r="F295" s="301"/>
      <c r="G295" s="25" t="s">
        <v>75</v>
      </c>
      <c r="H295" s="26">
        <v>1</v>
      </c>
      <c r="I295" s="27">
        <v>12.89</v>
      </c>
      <c r="J295" s="27">
        <v>12.89</v>
      </c>
    </row>
    <row r="296" spans="1:10" ht="25.5" x14ac:dyDescent="0.2">
      <c r="A296" s="108" t="s">
        <v>63</v>
      </c>
      <c r="B296" s="24" t="s">
        <v>722</v>
      </c>
      <c r="C296" s="108" t="s">
        <v>72</v>
      </c>
      <c r="D296" s="108" t="s">
        <v>723</v>
      </c>
      <c r="E296" s="301" t="s">
        <v>164</v>
      </c>
      <c r="F296" s="301"/>
      <c r="G296" s="25" t="s">
        <v>75</v>
      </c>
      <c r="H296" s="26">
        <v>1</v>
      </c>
      <c r="I296" s="27">
        <v>1.05</v>
      </c>
      <c r="J296" s="27">
        <v>1.05</v>
      </c>
    </row>
    <row r="297" spans="1:10" x14ac:dyDescent="0.2">
      <c r="A297" s="108" t="s">
        <v>63</v>
      </c>
      <c r="B297" s="24" t="s">
        <v>492</v>
      </c>
      <c r="C297" s="108" t="s">
        <v>72</v>
      </c>
      <c r="D297" s="108" t="s">
        <v>493</v>
      </c>
      <c r="E297" s="301" t="s">
        <v>494</v>
      </c>
      <c r="F297" s="301"/>
      <c r="G297" s="25" t="s">
        <v>75</v>
      </c>
      <c r="H297" s="26">
        <v>1</v>
      </c>
      <c r="I297" s="27">
        <v>0.55000000000000004</v>
      </c>
      <c r="J297" s="27">
        <v>0.55000000000000004</v>
      </c>
    </row>
    <row r="298" spans="1:10" ht="25.5" x14ac:dyDescent="0.2">
      <c r="A298" s="108" t="s">
        <v>63</v>
      </c>
      <c r="B298" s="24" t="s">
        <v>786</v>
      </c>
      <c r="C298" s="108" t="s">
        <v>72</v>
      </c>
      <c r="D298" s="108" t="s">
        <v>787</v>
      </c>
      <c r="E298" s="301" t="s">
        <v>164</v>
      </c>
      <c r="F298" s="301"/>
      <c r="G298" s="25" t="s">
        <v>75</v>
      </c>
      <c r="H298" s="26">
        <v>1</v>
      </c>
      <c r="I298" s="27">
        <v>0.38</v>
      </c>
      <c r="J298" s="27">
        <v>0.38</v>
      </c>
    </row>
    <row r="299" spans="1:10" x14ac:dyDescent="0.2">
      <c r="A299" s="108" t="s">
        <v>63</v>
      </c>
      <c r="B299" s="24" t="s">
        <v>826</v>
      </c>
      <c r="C299" s="108" t="s">
        <v>72</v>
      </c>
      <c r="D299" s="108" t="s">
        <v>827</v>
      </c>
      <c r="E299" s="301" t="s">
        <v>828</v>
      </c>
      <c r="F299" s="301"/>
      <c r="G299" s="25" t="s">
        <v>75</v>
      </c>
      <c r="H299" s="26">
        <v>1</v>
      </c>
      <c r="I299" s="27">
        <v>0.01</v>
      </c>
      <c r="J299" s="27">
        <v>0.01</v>
      </c>
    </row>
    <row r="300" spans="1:10" x14ac:dyDescent="0.2">
      <c r="A300" s="108" t="s">
        <v>63</v>
      </c>
      <c r="B300" s="24" t="s">
        <v>500</v>
      </c>
      <c r="C300" s="108" t="s">
        <v>72</v>
      </c>
      <c r="D300" s="108" t="s">
        <v>501</v>
      </c>
      <c r="E300" s="301" t="s">
        <v>502</v>
      </c>
      <c r="F300" s="301"/>
      <c r="G300" s="25" t="s">
        <v>75</v>
      </c>
      <c r="H300" s="26">
        <v>1</v>
      </c>
      <c r="I300" s="27">
        <v>0.6</v>
      </c>
      <c r="J300" s="27">
        <v>0.6</v>
      </c>
    </row>
    <row r="301" spans="1:10" x14ac:dyDescent="0.2">
      <c r="A301" s="106"/>
      <c r="B301" s="106"/>
      <c r="C301" s="106"/>
      <c r="D301" s="106"/>
      <c r="E301" s="106" t="s">
        <v>81</v>
      </c>
      <c r="F301" s="28">
        <v>6.0372808999999998</v>
      </c>
      <c r="G301" s="106" t="s">
        <v>82</v>
      </c>
      <c r="H301" s="28">
        <v>6.98</v>
      </c>
      <c r="I301" s="106" t="s">
        <v>83</v>
      </c>
      <c r="J301" s="28">
        <v>13.02</v>
      </c>
    </row>
    <row r="302" spans="1:10" x14ac:dyDescent="0.2">
      <c r="A302" s="106"/>
      <c r="B302" s="106"/>
      <c r="C302" s="106"/>
      <c r="D302" s="106"/>
      <c r="E302" s="106" t="s">
        <v>84</v>
      </c>
      <c r="F302" s="28">
        <v>3.78</v>
      </c>
      <c r="G302" s="106"/>
      <c r="H302" s="299" t="s">
        <v>85</v>
      </c>
      <c r="I302" s="299"/>
      <c r="J302" s="28">
        <v>19.399999999999999</v>
      </c>
    </row>
    <row r="303" spans="1:10" ht="15" thickBot="1" x14ac:dyDescent="0.25">
      <c r="A303" s="104"/>
      <c r="B303" s="104"/>
      <c r="C303" s="104"/>
      <c r="D303" s="104"/>
      <c r="E303" s="104"/>
      <c r="F303" s="104"/>
      <c r="G303" s="104" t="s">
        <v>86</v>
      </c>
      <c r="H303" s="29">
        <v>42</v>
      </c>
      <c r="I303" s="104" t="s">
        <v>87</v>
      </c>
      <c r="J303" s="105">
        <v>814.8</v>
      </c>
    </row>
    <row r="304" spans="1:10" ht="15" thickTop="1" x14ac:dyDescent="0.2">
      <c r="A304" s="30"/>
      <c r="B304" s="30"/>
      <c r="C304" s="30"/>
      <c r="D304" s="30"/>
      <c r="E304" s="30"/>
      <c r="F304" s="30"/>
      <c r="G304" s="30"/>
      <c r="H304" s="30"/>
      <c r="I304" s="30"/>
      <c r="J304" s="30"/>
    </row>
    <row r="305" spans="1:10" ht="15" x14ac:dyDescent="0.2">
      <c r="A305" s="103" t="s">
        <v>1092</v>
      </c>
      <c r="B305" s="112" t="s">
        <v>24</v>
      </c>
      <c r="C305" s="103" t="s">
        <v>25</v>
      </c>
      <c r="D305" s="103" t="s">
        <v>10</v>
      </c>
      <c r="E305" s="283" t="s">
        <v>53</v>
      </c>
      <c r="F305" s="283"/>
      <c r="G305" s="113" t="s">
        <v>26</v>
      </c>
      <c r="H305" s="112" t="s">
        <v>27</v>
      </c>
      <c r="I305" s="112" t="s">
        <v>28</v>
      </c>
      <c r="J305" s="112" t="s">
        <v>11</v>
      </c>
    </row>
    <row r="306" spans="1:10" ht="14.25" customHeight="1" x14ac:dyDescent="0.2">
      <c r="A306" s="109" t="s">
        <v>54</v>
      </c>
      <c r="B306" s="10" t="s">
        <v>156</v>
      </c>
      <c r="C306" s="109" t="s">
        <v>72</v>
      </c>
      <c r="D306" s="109" t="s">
        <v>157</v>
      </c>
      <c r="E306" s="302" t="s">
        <v>146</v>
      </c>
      <c r="F306" s="302"/>
      <c r="G306" s="11" t="s">
        <v>75</v>
      </c>
      <c r="H306" s="19">
        <v>1</v>
      </c>
      <c r="I306" s="12">
        <v>14.31</v>
      </c>
      <c r="J306" s="12">
        <v>14.31</v>
      </c>
    </row>
    <row r="307" spans="1:10" ht="25.5" x14ac:dyDescent="0.2">
      <c r="A307" s="107" t="s">
        <v>56</v>
      </c>
      <c r="B307" s="20" t="s">
        <v>1261</v>
      </c>
      <c r="C307" s="107" t="s">
        <v>72</v>
      </c>
      <c r="D307" s="107" t="s">
        <v>1262</v>
      </c>
      <c r="E307" s="300" t="s">
        <v>146</v>
      </c>
      <c r="F307" s="300"/>
      <c r="G307" s="21" t="s">
        <v>75</v>
      </c>
      <c r="H307" s="22">
        <v>1</v>
      </c>
      <c r="I307" s="23">
        <v>0.17</v>
      </c>
      <c r="J307" s="23">
        <v>0.17</v>
      </c>
    </row>
    <row r="308" spans="1:10" x14ac:dyDescent="0.2">
      <c r="A308" s="108" t="s">
        <v>63</v>
      </c>
      <c r="B308" s="24" t="s">
        <v>854</v>
      </c>
      <c r="C308" s="108" t="s">
        <v>72</v>
      </c>
      <c r="D308" s="108" t="s">
        <v>855</v>
      </c>
      <c r="E308" s="301" t="s">
        <v>494</v>
      </c>
      <c r="F308" s="301"/>
      <c r="G308" s="25" t="s">
        <v>75</v>
      </c>
      <c r="H308" s="26">
        <v>1</v>
      </c>
      <c r="I308" s="27">
        <v>0.01</v>
      </c>
      <c r="J308" s="27">
        <v>0.01</v>
      </c>
    </row>
    <row r="309" spans="1:10" ht="25.5" x14ac:dyDescent="0.2">
      <c r="A309" s="108" t="s">
        <v>63</v>
      </c>
      <c r="B309" s="24" t="s">
        <v>686</v>
      </c>
      <c r="C309" s="108" t="s">
        <v>72</v>
      </c>
      <c r="D309" s="108" t="s">
        <v>687</v>
      </c>
      <c r="E309" s="301" t="s">
        <v>164</v>
      </c>
      <c r="F309" s="301"/>
      <c r="G309" s="25" t="s">
        <v>75</v>
      </c>
      <c r="H309" s="26">
        <v>1</v>
      </c>
      <c r="I309" s="27">
        <v>1.01</v>
      </c>
      <c r="J309" s="27">
        <v>1.01</v>
      </c>
    </row>
    <row r="310" spans="1:10" x14ac:dyDescent="0.2">
      <c r="A310" s="108" t="s">
        <v>63</v>
      </c>
      <c r="B310" s="24" t="s">
        <v>492</v>
      </c>
      <c r="C310" s="108" t="s">
        <v>72</v>
      </c>
      <c r="D310" s="108" t="s">
        <v>493</v>
      </c>
      <c r="E310" s="301" t="s">
        <v>494</v>
      </c>
      <c r="F310" s="301"/>
      <c r="G310" s="25" t="s">
        <v>75</v>
      </c>
      <c r="H310" s="26">
        <v>1</v>
      </c>
      <c r="I310" s="27">
        <v>0.55000000000000004</v>
      </c>
      <c r="J310" s="27">
        <v>0.55000000000000004</v>
      </c>
    </row>
    <row r="311" spans="1:10" ht="25.5" x14ac:dyDescent="0.2">
      <c r="A311" s="108" t="s">
        <v>63</v>
      </c>
      <c r="B311" s="24" t="s">
        <v>735</v>
      </c>
      <c r="C311" s="108" t="s">
        <v>72</v>
      </c>
      <c r="D311" s="108" t="s">
        <v>736</v>
      </c>
      <c r="E311" s="301" t="s">
        <v>164</v>
      </c>
      <c r="F311" s="301"/>
      <c r="G311" s="25" t="s">
        <v>75</v>
      </c>
      <c r="H311" s="26">
        <v>1</v>
      </c>
      <c r="I311" s="27">
        <v>0.41</v>
      </c>
      <c r="J311" s="27">
        <v>0.41</v>
      </c>
    </row>
    <row r="312" spans="1:10" x14ac:dyDescent="0.2">
      <c r="A312" s="108" t="s">
        <v>63</v>
      </c>
      <c r="B312" s="24" t="s">
        <v>826</v>
      </c>
      <c r="C312" s="108" t="s">
        <v>72</v>
      </c>
      <c r="D312" s="108" t="s">
        <v>827</v>
      </c>
      <c r="E312" s="301" t="s">
        <v>828</v>
      </c>
      <c r="F312" s="301"/>
      <c r="G312" s="25" t="s">
        <v>75</v>
      </c>
      <c r="H312" s="26">
        <v>1</v>
      </c>
      <c r="I312" s="27">
        <v>0.01</v>
      </c>
      <c r="J312" s="27">
        <v>0.01</v>
      </c>
    </row>
    <row r="313" spans="1:10" x14ac:dyDescent="0.2">
      <c r="A313" s="108" t="s">
        <v>63</v>
      </c>
      <c r="B313" s="24" t="s">
        <v>79</v>
      </c>
      <c r="C313" s="108" t="s">
        <v>72</v>
      </c>
      <c r="D313" s="108" t="s">
        <v>80</v>
      </c>
      <c r="E313" s="301" t="s">
        <v>74</v>
      </c>
      <c r="F313" s="301"/>
      <c r="G313" s="25" t="s">
        <v>75</v>
      </c>
      <c r="H313" s="26">
        <v>1</v>
      </c>
      <c r="I313" s="27">
        <v>11.55</v>
      </c>
      <c r="J313" s="27">
        <v>11.55</v>
      </c>
    </row>
    <row r="314" spans="1:10" x14ac:dyDescent="0.2">
      <c r="A314" s="108" t="s">
        <v>63</v>
      </c>
      <c r="B314" s="24" t="s">
        <v>500</v>
      </c>
      <c r="C314" s="108" t="s">
        <v>72</v>
      </c>
      <c r="D314" s="108" t="s">
        <v>501</v>
      </c>
      <c r="E314" s="301" t="s">
        <v>502</v>
      </c>
      <c r="F314" s="301"/>
      <c r="G314" s="25" t="s">
        <v>75</v>
      </c>
      <c r="H314" s="26">
        <v>1</v>
      </c>
      <c r="I314" s="27">
        <v>0.6</v>
      </c>
      <c r="J314" s="27">
        <v>0.6</v>
      </c>
    </row>
    <row r="315" spans="1:10" x14ac:dyDescent="0.2">
      <c r="A315" s="106"/>
      <c r="B315" s="106"/>
      <c r="C315" s="106"/>
      <c r="D315" s="106"/>
      <c r="E315" s="106" t="s">
        <v>81</v>
      </c>
      <c r="F315" s="28">
        <v>5.4344802000000003</v>
      </c>
      <c r="G315" s="106" t="s">
        <v>82</v>
      </c>
      <c r="H315" s="28">
        <v>6.29</v>
      </c>
      <c r="I315" s="106" t="s">
        <v>83</v>
      </c>
      <c r="J315" s="28">
        <v>11.72</v>
      </c>
    </row>
    <row r="316" spans="1:10" x14ac:dyDescent="0.2">
      <c r="A316" s="106"/>
      <c r="B316" s="106"/>
      <c r="C316" s="106"/>
      <c r="D316" s="106"/>
      <c r="E316" s="106" t="s">
        <v>84</v>
      </c>
      <c r="F316" s="28">
        <v>3.46</v>
      </c>
      <c r="G316" s="106"/>
      <c r="H316" s="299" t="s">
        <v>85</v>
      </c>
      <c r="I316" s="299"/>
      <c r="J316" s="28">
        <v>17.77</v>
      </c>
    </row>
    <row r="317" spans="1:10" ht="15" thickBot="1" x14ac:dyDescent="0.25">
      <c r="A317" s="104"/>
      <c r="B317" s="104"/>
      <c r="C317" s="104"/>
      <c r="D317" s="104"/>
      <c r="E317" s="104"/>
      <c r="F317" s="104"/>
      <c r="G317" s="104" t="s">
        <v>86</v>
      </c>
      <c r="H317" s="29">
        <v>28</v>
      </c>
      <c r="I317" s="104" t="s">
        <v>87</v>
      </c>
      <c r="J317" s="105">
        <v>497.56</v>
      </c>
    </row>
    <row r="318" spans="1:10" ht="15" thickTop="1" x14ac:dyDescent="0.2">
      <c r="A318" s="30"/>
      <c r="B318" s="30"/>
      <c r="C318" s="30"/>
      <c r="D318" s="30"/>
      <c r="E318" s="30"/>
      <c r="F318" s="30"/>
      <c r="G318" s="30"/>
      <c r="H318" s="30"/>
      <c r="I318" s="30"/>
      <c r="J318" s="30"/>
    </row>
    <row r="319" spans="1:10" ht="15" x14ac:dyDescent="0.2">
      <c r="A319" s="103" t="s">
        <v>1093</v>
      </c>
      <c r="B319" s="112" t="s">
        <v>24</v>
      </c>
      <c r="C319" s="103" t="s">
        <v>25</v>
      </c>
      <c r="D319" s="103" t="s">
        <v>10</v>
      </c>
      <c r="E319" s="283" t="s">
        <v>53</v>
      </c>
      <c r="F319" s="283"/>
      <c r="G319" s="113" t="s">
        <v>26</v>
      </c>
      <c r="H319" s="112" t="s">
        <v>27</v>
      </c>
      <c r="I319" s="112" t="s">
        <v>28</v>
      </c>
      <c r="J319" s="112" t="s">
        <v>11</v>
      </c>
    </row>
    <row r="320" spans="1:10" ht="14.25" customHeight="1" x14ac:dyDescent="0.2">
      <c r="A320" s="109" t="s">
        <v>54</v>
      </c>
      <c r="B320" s="10" t="s">
        <v>150</v>
      </c>
      <c r="C320" s="109" t="s">
        <v>72</v>
      </c>
      <c r="D320" s="109" t="s">
        <v>151</v>
      </c>
      <c r="E320" s="302" t="s">
        <v>146</v>
      </c>
      <c r="F320" s="302"/>
      <c r="G320" s="11" t="s">
        <v>75</v>
      </c>
      <c r="H320" s="19">
        <v>1</v>
      </c>
      <c r="I320" s="12">
        <v>19.12</v>
      </c>
      <c r="J320" s="12">
        <v>19.12</v>
      </c>
    </row>
    <row r="321" spans="1:10" ht="25.5" x14ac:dyDescent="0.2">
      <c r="A321" s="107" t="s">
        <v>56</v>
      </c>
      <c r="B321" s="20" t="s">
        <v>1263</v>
      </c>
      <c r="C321" s="107" t="s">
        <v>72</v>
      </c>
      <c r="D321" s="107" t="s">
        <v>1264</v>
      </c>
      <c r="E321" s="300" t="s">
        <v>146</v>
      </c>
      <c r="F321" s="300"/>
      <c r="G321" s="21" t="s">
        <v>75</v>
      </c>
      <c r="H321" s="22">
        <v>1</v>
      </c>
      <c r="I321" s="23">
        <v>0.13</v>
      </c>
      <c r="J321" s="23">
        <v>0.13</v>
      </c>
    </row>
    <row r="322" spans="1:10" x14ac:dyDescent="0.2">
      <c r="A322" s="108" t="s">
        <v>63</v>
      </c>
      <c r="B322" s="24" t="s">
        <v>854</v>
      </c>
      <c r="C322" s="108" t="s">
        <v>72</v>
      </c>
      <c r="D322" s="108" t="s">
        <v>855</v>
      </c>
      <c r="E322" s="301" t="s">
        <v>494</v>
      </c>
      <c r="F322" s="301"/>
      <c r="G322" s="25" t="s">
        <v>75</v>
      </c>
      <c r="H322" s="26">
        <v>1</v>
      </c>
      <c r="I322" s="27">
        <v>0.01</v>
      </c>
      <c r="J322" s="27">
        <v>0.01</v>
      </c>
    </row>
    <row r="323" spans="1:10" x14ac:dyDescent="0.2">
      <c r="A323" s="108" t="s">
        <v>63</v>
      </c>
      <c r="B323" s="24" t="s">
        <v>71</v>
      </c>
      <c r="C323" s="108" t="s">
        <v>72</v>
      </c>
      <c r="D323" s="108" t="s">
        <v>73</v>
      </c>
      <c r="E323" s="301" t="s">
        <v>74</v>
      </c>
      <c r="F323" s="301"/>
      <c r="G323" s="25" t="s">
        <v>75</v>
      </c>
      <c r="H323" s="26">
        <v>1</v>
      </c>
      <c r="I323" s="27">
        <v>16.39</v>
      </c>
      <c r="J323" s="27">
        <v>16.39</v>
      </c>
    </row>
    <row r="324" spans="1:10" ht="25.5" x14ac:dyDescent="0.2">
      <c r="A324" s="108" t="s">
        <v>63</v>
      </c>
      <c r="B324" s="24" t="s">
        <v>722</v>
      </c>
      <c r="C324" s="108" t="s">
        <v>72</v>
      </c>
      <c r="D324" s="108" t="s">
        <v>723</v>
      </c>
      <c r="E324" s="301" t="s">
        <v>164</v>
      </c>
      <c r="F324" s="301"/>
      <c r="G324" s="25" t="s">
        <v>75</v>
      </c>
      <c r="H324" s="26">
        <v>1</v>
      </c>
      <c r="I324" s="27">
        <v>1.05</v>
      </c>
      <c r="J324" s="27">
        <v>1.05</v>
      </c>
    </row>
    <row r="325" spans="1:10" x14ac:dyDescent="0.2">
      <c r="A325" s="108" t="s">
        <v>63</v>
      </c>
      <c r="B325" s="24" t="s">
        <v>492</v>
      </c>
      <c r="C325" s="108" t="s">
        <v>72</v>
      </c>
      <c r="D325" s="108" t="s">
        <v>493</v>
      </c>
      <c r="E325" s="301" t="s">
        <v>494</v>
      </c>
      <c r="F325" s="301"/>
      <c r="G325" s="25" t="s">
        <v>75</v>
      </c>
      <c r="H325" s="26">
        <v>1</v>
      </c>
      <c r="I325" s="27">
        <v>0.55000000000000004</v>
      </c>
      <c r="J325" s="27">
        <v>0.55000000000000004</v>
      </c>
    </row>
    <row r="326" spans="1:10" ht="25.5" x14ac:dyDescent="0.2">
      <c r="A326" s="108" t="s">
        <v>63</v>
      </c>
      <c r="B326" s="24" t="s">
        <v>786</v>
      </c>
      <c r="C326" s="108" t="s">
        <v>72</v>
      </c>
      <c r="D326" s="108" t="s">
        <v>787</v>
      </c>
      <c r="E326" s="301" t="s">
        <v>164</v>
      </c>
      <c r="F326" s="301"/>
      <c r="G326" s="25" t="s">
        <v>75</v>
      </c>
      <c r="H326" s="26">
        <v>1</v>
      </c>
      <c r="I326" s="27">
        <v>0.38</v>
      </c>
      <c r="J326" s="27">
        <v>0.38</v>
      </c>
    </row>
    <row r="327" spans="1:10" x14ac:dyDescent="0.2">
      <c r="A327" s="108" t="s">
        <v>63</v>
      </c>
      <c r="B327" s="24" t="s">
        <v>826</v>
      </c>
      <c r="C327" s="108" t="s">
        <v>72</v>
      </c>
      <c r="D327" s="108" t="s">
        <v>827</v>
      </c>
      <c r="E327" s="301" t="s">
        <v>828</v>
      </c>
      <c r="F327" s="301"/>
      <c r="G327" s="25" t="s">
        <v>75</v>
      </c>
      <c r="H327" s="26">
        <v>1</v>
      </c>
      <c r="I327" s="27">
        <v>0.01</v>
      </c>
      <c r="J327" s="27">
        <v>0.01</v>
      </c>
    </row>
    <row r="328" spans="1:10" x14ac:dyDescent="0.2">
      <c r="A328" s="108" t="s">
        <v>63</v>
      </c>
      <c r="B328" s="24" t="s">
        <v>500</v>
      </c>
      <c r="C328" s="108" t="s">
        <v>72</v>
      </c>
      <c r="D328" s="108" t="s">
        <v>501</v>
      </c>
      <c r="E328" s="301" t="s">
        <v>502</v>
      </c>
      <c r="F328" s="301"/>
      <c r="G328" s="25" t="s">
        <v>75</v>
      </c>
      <c r="H328" s="26">
        <v>1</v>
      </c>
      <c r="I328" s="27">
        <v>0.6</v>
      </c>
      <c r="J328" s="27">
        <v>0.6</v>
      </c>
    </row>
    <row r="329" spans="1:10" x14ac:dyDescent="0.2">
      <c r="A329" s="106"/>
      <c r="B329" s="106"/>
      <c r="C329" s="106"/>
      <c r="D329" s="106"/>
      <c r="E329" s="106" t="s">
        <v>81</v>
      </c>
      <c r="F329" s="28">
        <v>7.6602059000000002</v>
      </c>
      <c r="G329" s="106" t="s">
        <v>82</v>
      </c>
      <c r="H329" s="28">
        <v>8.86</v>
      </c>
      <c r="I329" s="106" t="s">
        <v>83</v>
      </c>
      <c r="J329" s="28">
        <v>16.52</v>
      </c>
    </row>
    <row r="330" spans="1:10" x14ac:dyDescent="0.2">
      <c r="A330" s="106"/>
      <c r="B330" s="106"/>
      <c r="C330" s="106"/>
      <c r="D330" s="106"/>
      <c r="E330" s="106" t="s">
        <v>84</v>
      </c>
      <c r="F330" s="28">
        <v>4.63</v>
      </c>
      <c r="G330" s="106"/>
      <c r="H330" s="299" t="s">
        <v>85</v>
      </c>
      <c r="I330" s="299"/>
      <c r="J330" s="28">
        <v>23.75</v>
      </c>
    </row>
    <row r="331" spans="1:10" ht="15" thickBot="1" x14ac:dyDescent="0.25">
      <c r="A331" s="104"/>
      <c r="B331" s="104"/>
      <c r="C331" s="104"/>
      <c r="D331" s="104"/>
      <c r="E331" s="104"/>
      <c r="F331" s="104"/>
      <c r="G331" s="104" t="s">
        <v>86</v>
      </c>
      <c r="H331" s="29">
        <v>42</v>
      </c>
      <c r="I331" s="104" t="s">
        <v>87</v>
      </c>
      <c r="J331" s="105">
        <v>997.5</v>
      </c>
    </row>
    <row r="332" spans="1:10" ht="15" thickTop="1" x14ac:dyDescent="0.2">
      <c r="A332" s="30"/>
      <c r="B332" s="30"/>
      <c r="C332" s="30"/>
      <c r="D332" s="30"/>
      <c r="E332" s="30"/>
      <c r="F332" s="30"/>
      <c r="G332" s="30"/>
      <c r="H332" s="30"/>
      <c r="I332" s="30"/>
      <c r="J332" s="30"/>
    </row>
    <row r="333" spans="1:10" ht="15" x14ac:dyDescent="0.2">
      <c r="A333" s="103"/>
      <c r="B333" s="112" t="s">
        <v>24</v>
      </c>
      <c r="C333" s="103" t="s">
        <v>25</v>
      </c>
      <c r="D333" s="103" t="s">
        <v>10</v>
      </c>
      <c r="E333" s="283" t="s">
        <v>53</v>
      </c>
      <c r="F333" s="283"/>
      <c r="G333" s="113" t="s">
        <v>26</v>
      </c>
      <c r="H333" s="112" t="s">
        <v>27</v>
      </c>
      <c r="I333" s="112" t="s">
        <v>28</v>
      </c>
      <c r="J333" s="112" t="s">
        <v>11</v>
      </c>
    </row>
    <row r="334" spans="1:10" ht="25.5" x14ac:dyDescent="0.2">
      <c r="A334" s="111" t="s">
        <v>63</v>
      </c>
      <c r="B334" s="80" t="s">
        <v>1094</v>
      </c>
      <c r="C334" s="111" t="s">
        <v>72</v>
      </c>
      <c r="D334" s="111" t="s">
        <v>1095</v>
      </c>
      <c r="E334" s="304" t="s">
        <v>66</v>
      </c>
      <c r="F334" s="304"/>
      <c r="G334" s="82" t="s">
        <v>39</v>
      </c>
      <c r="H334" s="95">
        <v>1</v>
      </c>
      <c r="I334" s="83">
        <v>13.53</v>
      </c>
      <c r="J334" s="83">
        <v>13.53</v>
      </c>
    </row>
    <row r="335" spans="1:10" x14ac:dyDescent="0.2">
      <c r="A335" s="106"/>
      <c r="B335" s="106"/>
      <c r="C335" s="106"/>
      <c r="D335" s="106"/>
      <c r="E335" s="106" t="s">
        <v>81</v>
      </c>
      <c r="F335" s="28">
        <v>0</v>
      </c>
      <c r="G335" s="106" t="s">
        <v>82</v>
      </c>
      <c r="H335" s="28">
        <v>0</v>
      </c>
      <c r="I335" s="106" t="s">
        <v>83</v>
      </c>
      <c r="J335" s="28">
        <v>0</v>
      </c>
    </row>
    <row r="336" spans="1:10" x14ac:dyDescent="0.2">
      <c r="A336" s="106"/>
      <c r="B336" s="106"/>
      <c r="C336" s="106"/>
      <c r="D336" s="106"/>
      <c r="E336" s="106" t="s">
        <v>84</v>
      </c>
      <c r="F336" s="28">
        <v>3.27</v>
      </c>
      <c r="G336" s="106"/>
      <c r="H336" s="299" t="s">
        <v>85</v>
      </c>
      <c r="I336" s="299"/>
      <c r="J336" s="28">
        <v>16.8</v>
      </c>
    </row>
    <row r="337" spans="1:10" ht="15" thickBot="1" x14ac:dyDescent="0.25">
      <c r="A337" s="104"/>
      <c r="B337" s="104"/>
      <c r="C337" s="104"/>
      <c r="D337" s="104"/>
      <c r="E337" s="104"/>
      <c r="F337" s="104"/>
      <c r="G337" s="104" t="s">
        <v>86</v>
      </c>
      <c r="H337" s="29">
        <v>160</v>
      </c>
      <c r="I337" s="104" t="s">
        <v>87</v>
      </c>
      <c r="J337" s="105">
        <v>2688</v>
      </c>
    </row>
    <row r="338" spans="1:10" ht="15" thickTop="1" x14ac:dyDescent="0.2">
      <c r="A338" s="30"/>
      <c r="B338" s="30"/>
      <c r="C338" s="30"/>
      <c r="D338" s="30"/>
      <c r="E338" s="30"/>
      <c r="F338" s="30"/>
      <c r="G338" s="30"/>
      <c r="H338" s="30"/>
      <c r="I338" s="30"/>
      <c r="J338" s="30"/>
    </row>
    <row r="339" spans="1:10" ht="15" x14ac:dyDescent="0.2">
      <c r="A339" s="103"/>
      <c r="B339" s="112" t="s">
        <v>24</v>
      </c>
      <c r="C339" s="103" t="s">
        <v>25</v>
      </c>
      <c r="D339" s="103" t="s">
        <v>10</v>
      </c>
      <c r="E339" s="283" t="s">
        <v>53</v>
      </c>
      <c r="F339" s="283"/>
      <c r="G339" s="113" t="s">
        <v>26</v>
      </c>
      <c r="H339" s="112" t="s">
        <v>27</v>
      </c>
      <c r="I339" s="112" t="s">
        <v>28</v>
      </c>
      <c r="J339" s="112" t="s">
        <v>11</v>
      </c>
    </row>
    <row r="340" spans="1:10" ht="25.5" x14ac:dyDescent="0.2">
      <c r="A340" s="111" t="s">
        <v>63</v>
      </c>
      <c r="B340" s="80" t="s">
        <v>1096</v>
      </c>
      <c r="C340" s="111" t="s">
        <v>72</v>
      </c>
      <c r="D340" s="111" t="s">
        <v>1097</v>
      </c>
      <c r="E340" s="304" t="s">
        <v>66</v>
      </c>
      <c r="F340" s="304"/>
      <c r="G340" s="82" t="s">
        <v>121</v>
      </c>
      <c r="H340" s="95">
        <v>1</v>
      </c>
      <c r="I340" s="83">
        <v>99</v>
      </c>
      <c r="J340" s="83">
        <v>99</v>
      </c>
    </row>
    <row r="341" spans="1:10" x14ac:dyDescent="0.2">
      <c r="A341" s="106"/>
      <c r="B341" s="106"/>
      <c r="C341" s="106"/>
      <c r="D341" s="106"/>
      <c r="E341" s="106" t="s">
        <v>81</v>
      </c>
      <c r="F341" s="28">
        <v>0</v>
      </c>
      <c r="G341" s="106" t="s">
        <v>82</v>
      </c>
      <c r="H341" s="28">
        <v>0</v>
      </c>
      <c r="I341" s="106" t="s">
        <v>83</v>
      </c>
      <c r="J341" s="28">
        <v>0</v>
      </c>
    </row>
    <row r="342" spans="1:10" x14ac:dyDescent="0.2">
      <c r="A342" s="106"/>
      <c r="B342" s="106"/>
      <c r="C342" s="106"/>
      <c r="D342" s="106"/>
      <c r="E342" s="106" t="s">
        <v>84</v>
      </c>
      <c r="F342" s="28">
        <v>23.98</v>
      </c>
      <c r="G342" s="106"/>
      <c r="H342" s="299" t="s">
        <v>85</v>
      </c>
      <c r="I342" s="299"/>
      <c r="J342" s="28">
        <v>122.98</v>
      </c>
    </row>
    <row r="343" spans="1:10" ht="15" thickBot="1" x14ac:dyDescent="0.25">
      <c r="A343" s="104"/>
      <c r="B343" s="104"/>
      <c r="C343" s="104"/>
      <c r="D343" s="104"/>
      <c r="E343" s="104"/>
      <c r="F343" s="104"/>
      <c r="G343" s="104" t="s">
        <v>86</v>
      </c>
      <c r="H343" s="29">
        <v>48</v>
      </c>
      <c r="I343" s="104" t="s">
        <v>87</v>
      </c>
      <c r="J343" s="105">
        <v>5903.04</v>
      </c>
    </row>
    <row r="344" spans="1:10" ht="15" thickTop="1" x14ac:dyDescent="0.2">
      <c r="A344" s="30"/>
      <c r="B344" s="30"/>
      <c r="C344" s="30"/>
      <c r="D344" s="30"/>
      <c r="E344" s="30"/>
      <c r="F344" s="30"/>
      <c r="G344" s="30"/>
      <c r="H344" s="30"/>
      <c r="I344" s="30"/>
      <c r="J344" s="30"/>
    </row>
    <row r="345" spans="1:10" ht="15" x14ac:dyDescent="0.2">
      <c r="A345" s="103" t="s">
        <v>1098</v>
      </c>
      <c r="B345" s="112" t="s">
        <v>24</v>
      </c>
      <c r="C345" s="103" t="s">
        <v>25</v>
      </c>
      <c r="D345" s="103" t="s">
        <v>10</v>
      </c>
      <c r="E345" s="283" t="s">
        <v>53</v>
      </c>
      <c r="F345" s="283"/>
      <c r="G345" s="113" t="s">
        <v>26</v>
      </c>
      <c r="H345" s="112" t="s">
        <v>27</v>
      </c>
      <c r="I345" s="112" t="s">
        <v>28</v>
      </c>
      <c r="J345" s="112" t="s">
        <v>11</v>
      </c>
    </row>
    <row r="346" spans="1:10" ht="38.25" customHeight="1" x14ac:dyDescent="0.2">
      <c r="A346" s="109" t="s">
        <v>54</v>
      </c>
      <c r="B346" s="10" t="s">
        <v>1085</v>
      </c>
      <c r="C346" s="109" t="s">
        <v>72</v>
      </c>
      <c r="D346" s="109" t="s">
        <v>1086</v>
      </c>
      <c r="E346" s="302" t="s">
        <v>1134</v>
      </c>
      <c r="F346" s="302"/>
      <c r="G346" s="11" t="s">
        <v>1066</v>
      </c>
      <c r="H346" s="19">
        <v>1</v>
      </c>
      <c r="I346" s="12">
        <v>2.4500000000000002</v>
      </c>
      <c r="J346" s="12">
        <v>2.4500000000000002</v>
      </c>
    </row>
    <row r="347" spans="1:10" ht="51" x14ac:dyDescent="0.2">
      <c r="A347" s="107" t="s">
        <v>56</v>
      </c>
      <c r="B347" s="20" t="s">
        <v>1244</v>
      </c>
      <c r="C347" s="107" t="s">
        <v>72</v>
      </c>
      <c r="D347" s="107" t="s">
        <v>1245</v>
      </c>
      <c r="E347" s="300" t="s">
        <v>91</v>
      </c>
      <c r="F347" s="300"/>
      <c r="G347" s="21" t="s">
        <v>105</v>
      </c>
      <c r="H347" s="22">
        <v>1.17E-2</v>
      </c>
      <c r="I347" s="23">
        <v>193.12</v>
      </c>
      <c r="J347" s="23">
        <v>2.25</v>
      </c>
    </row>
    <row r="348" spans="1:10" ht="51" x14ac:dyDescent="0.2">
      <c r="A348" s="107" t="s">
        <v>56</v>
      </c>
      <c r="B348" s="20" t="s">
        <v>1246</v>
      </c>
      <c r="C348" s="107" t="s">
        <v>72</v>
      </c>
      <c r="D348" s="107" t="s">
        <v>1247</v>
      </c>
      <c r="E348" s="300" t="s">
        <v>91</v>
      </c>
      <c r="F348" s="300"/>
      <c r="G348" s="21" t="s">
        <v>92</v>
      </c>
      <c r="H348" s="22">
        <v>5.0000000000000001E-3</v>
      </c>
      <c r="I348" s="23">
        <v>40.51</v>
      </c>
      <c r="J348" s="23">
        <v>0.2</v>
      </c>
    </row>
    <row r="349" spans="1:10" x14ac:dyDescent="0.2">
      <c r="A349" s="106"/>
      <c r="B349" s="106"/>
      <c r="C349" s="106"/>
      <c r="D349" s="106"/>
      <c r="E349" s="106" t="s">
        <v>81</v>
      </c>
      <c r="F349" s="28">
        <v>0.12983399795975145</v>
      </c>
      <c r="G349" s="106" t="s">
        <v>82</v>
      </c>
      <c r="H349" s="28">
        <v>0.15</v>
      </c>
      <c r="I349" s="106" t="s">
        <v>83</v>
      </c>
      <c r="J349" s="28">
        <v>0.28000000000000003</v>
      </c>
    </row>
    <row r="350" spans="1:10" x14ac:dyDescent="0.2">
      <c r="A350" s="106"/>
      <c r="B350" s="106"/>
      <c r="C350" s="106"/>
      <c r="D350" s="106"/>
      <c r="E350" s="106" t="s">
        <v>84</v>
      </c>
      <c r="F350" s="28">
        <v>0.59</v>
      </c>
      <c r="G350" s="106"/>
      <c r="H350" s="299" t="s">
        <v>85</v>
      </c>
      <c r="I350" s="299"/>
      <c r="J350" s="28">
        <v>3.04</v>
      </c>
    </row>
    <row r="351" spans="1:10" ht="15" thickBot="1" x14ac:dyDescent="0.25">
      <c r="A351" s="104"/>
      <c r="B351" s="104"/>
      <c r="C351" s="104"/>
      <c r="D351" s="104"/>
      <c r="E351" s="104"/>
      <c r="F351" s="104"/>
      <c r="G351" s="104" t="s">
        <v>86</v>
      </c>
      <c r="H351" s="29">
        <v>60</v>
      </c>
      <c r="I351" s="104" t="s">
        <v>87</v>
      </c>
      <c r="J351" s="105">
        <v>182.4</v>
      </c>
    </row>
    <row r="352" spans="1:10" ht="15" thickTop="1" x14ac:dyDescent="0.2">
      <c r="A352" s="30"/>
      <c r="B352" s="30"/>
      <c r="C352" s="30"/>
      <c r="D352" s="30"/>
      <c r="E352" s="30"/>
      <c r="F352" s="30"/>
      <c r="G352" s="30"/>
      <c r="H352" s="30"/>
      <c r="I352" s="30"/>
      <c r="J352" s="30"/>
    </row>
    <row r="353" spans="1:10" ht="15" x14ac:dyDescent="0.2">
      <c r="A353" s="103" t="s">
        <v>1099</v>
      </c>
      <c r="B353" s="112" t="s">
        <v>24</v>
      </c>
      <c r="C353" s="103" t="s">
        <v>25</v>
      </c>
      <c r="D353" s="103" t="s">
        <v>10</v>
      </c>
      <c r="E353" s="283" t="s">
        <v>53</v>
      </c>
      <c r="F353" s="283"/>
      <c r="G353" s="113" t="s">
        <v>26</v>
      </c>
      <c r="H353" s="112" t="s">
        <v>27</v>
      </c>
      <c r="I353" s="112" t="s">
        <v>28</v>
      </c>
      <c r="J353" s="112" t="s">
        <v>11</v>
      </c>
    </row>
    <row r="354" spans="1:10" ht="38.25" customHeight="1" x14ac:dyDescent="0.2">
      <c r="A354" s="109" t="s">
        <v>54</v>
      </c>
      <c r="B354" s="10" t="s">
        <v>1088</v>
      </c>
      <c r="C354" s="109" t="s">
        <v>72</v>
      </c>
      <c r="D354" s="109" t="s">
        <v>1089</v>
      </c>
      <c r="E354" s="302" t="s">
        <v>91</v>
      </c>
      <c r="F354" s="302"/>
      <c r="G354" s="11" t="s">
        <v>105</v>
      </c>
      <c r="H354" s="19">
        <v>1</v>
      </c>
      <c r="I354" s="12">
        <v>155.51</v>
      </c>
      <c r="J354" s="12">
        <v>155.51</v>
      </c>
    </row>
    <row r="355" spans="1:10" ht="38.25" customHeight="1" x14ac:dyDescent="0.2">
      <c r="A355" s="107" t="s">
        <v>56</v>
      </c>
      <c r="B355" s="20" t="s">
        <v>1248</v>
      </c>
      <c r="C355" s="107" t="s">
        <v>72</v>
      </c>
      <c r="D355" s="107" t="s">
        <v>1249</v>
      </c>
      <c r="E355" s="300" t="s">
        <v>91</v>
      </c>
      <c r="F355" s="300"/>
      <c r="G355" s="21" t="s">
        <v>75</v>
      </c>
      <c r="H355" s="22">
        <v>1</v>
      </c>
      <c r="I355" s="23">
        <v>39.200000000000003</v>
      </c>
      <c r="J355" s="23">
        <v>39.200000000000003</v>
      </c>
    </row>
    <row r="356" spans="1:10" ht="38.25" customHeight="1" x14ac:dyDescent="0.2">
      <c r="A356" s="107" t="s">
        <v>56</v>
      </c>
      <c r="B356" s="20" t="s">
        <v>1250</v>
      </c>
      <c r="C356" s="107" t="s">
        <v>72</v>
      </c>
      <c r="D356" s="107" t="s">
        <v>1251</v>
      </c>
      <c r="E356" s="300" t="s">
        <v>91</v>
      </c>
      <c r="F356" s="300"/>
      <c r="G356" s="21" t="s">
        <v>75</v>
      </c>
      <c r="H356" s="22">
        <v>1</v>
      </c>
      <c r="I356" s="23">
        <v>4.25</v>
      </c>
      <c r="J356" s="23">
        <v>4.25</v>
      </c>
    </row>
    <row r="357" spans="1:10" ht="38.25" customHeight="1" x14ac:dyDescent="0.2">
      <c r="A357" s="107" t="s">
        <v>56</v>
      </c>
      <c r="B357" s="20" t="s">
        <v>1252</v>
      </c>
      <c r="C357" s="107" t="s">
        <v>72</v>
      </c>
      <c r="D357" s="107" t="s">
        <v>1253</v>
      </c>
      <c r="E357" s="300" t="s">
        <v>91</v>
      </c>
      <c r="F357" s="300"/>
      <c r="G357" s="21" t="s">
        <v>75</v>
      </c>
      <c r="H357" s="22">
        <v>1</v>
      </c>
      <c r="I357" s="23">
        <v>61.5</v>
      </c>
      <c r="J357" s="23">
        <v>61.5</v>
      </c>
    </row>
    <row r="358" spans="1:10" ht="38.25" customHeight="1" x14ac:dyDescent="0.2">
      <c r="A358" s="107" t="s">
        <v>56</v>
      </c>
      <c r="B358" s="20" t="s">
        <v>1254</v>
      </c>
      <c r="C358" s="107" t="s">
        <v>72</v>
      </c>
      <c r="D358" s="107" t="s">
        <v>1255</v>
      </c>
      <c r="E358" s="300" t="s">
        <v>91</v>
      </c>
      <c r="F358" s="300"/>
      <c r="G358" s="21" t="s">
        <v>75</v>
      </c>
      <c r="H358" s="22">
        <v>1</v>
      </c>
      <c r="I358" s="23">
        <v>31.36</v>
      </c>
      <c r="J358" s="23">
        <v>31.36</v>
      </c>
    </row>
    <row r="359" spans="1:10" ht="25.5" x14ac:dyDescent="0.2">
      <c r="A359" s="107" t="s">
        <v>56</v>
      </c>
      <c r="B359" s="20" t="s">
        <v>1256</v>
      </c>
      <c r="C359" s="107" t="s">
        <v>72</v>
      </c>
      <c r="D359" s="107" t="s">
        <v>1257</v>
      </c>
      <c r="E359" s="300" t="s">
        <v>146</v>
      </c>
      <c r="F359" s="300"/>
      <c r="G359" s="21" t="s">
        <v>75</v>
      </c>
      <c r="H359" s="22">
        <v>1</v>
      </c>
      <c r="I359" s="23">
        <v>19.2</v>
      </c>
      <c r="J359" s="23">
        <v>19.2</v>
      </c>
    </row>
    <row r="360" spans="1:10" x14ac:dyDescent="0.2">
      <c r="A360" s="106"/>
      <c r="B360" s="106"/>
      <c r="C360" s="106"/>
      <c r="D360" s="106"/>
      <c r="E360" s="106" t="s">
        <v>81</v>
      </c>
      <c r="F360" s="28">
        <v>8.0636186999999993</v>
      </c>
      <c r="G360" s="106" t="s">
        <v>82</v>
      </c>
      <c r="H360" s="28">
        <v>9.33</v>
      </c>
      <c r="I360" s="106" t="s">
        <v>83</v>
      </c>
      <c r="J360" s="28">
        <v>17.39</v>
      </c>
    </row>
    <row r="361" spans="1:10" x14ac:dyDescent="0.2">
      <c r="A361" s="106"/>
      <c r="B361" s="106"/>
      <c r="C361" s="106"/>
      <c r="D361" s="106"/>
      <c r="E361" s="106" t="s">
        <v>84</v>
      </c>
      <c r="F361" s="28">
        <v>37.68</v>
      </c>
      <c r="G361" s="106"/>
      <c r="H361" s="299" t="s">
        <v>85</v>
      </c>
      <c r="I361" s="299"/>
      <c r="J361" s="28">
        <v>193.19</v>
      </c>
    </row>
    <row r="362" spans="1:10" ht="15" thickBot="1" x14ac:dyDescent="0.25">
      <c r="A362" s="104"/>
      <c r="B362" s="104"/>
      <c r="C362" s="104"/>
      <c r="D362" s="104"/>
      <c r="E362" s="104"/>
      <c r="F362" s="104"/>
      <c r="G362" s="104" t="s">
        <v>86</v>
      </c>
      <c r="H362" s="29">
        <v>11</v>
      </c>
      <c r="I362" s="104" t="s">
        <v>87</v>
      </c>
      <c r="J362" s="105">
        <v>2125.09</v>
      </c>
    </row>
    <row r="363" spans="1:10" ht="15" thickTop="1" x14ac:dyDescent="0.2">
      <c r="A363" s="30"/>
      <c r="B363" s="30"/>
      <c r="C363" s="30"/>
      <c r="D363" s="30"/>
      <c r="E363" s="30"/>
      <c r="F363" s="30"/>
      <c r="G363" s="30"/>
      <c r="H363" s="30"/>
      <c r="I363" s="30"/>
      <c r="J363" s="30"/>
    </row>
    <row r="364" spans="1:10" x14ac:dyDescent="0.2">
      <c r="A364" s="110" t="s">
        <v>1042</v>
      </c>
      <c r="B364" s="110"/>
      <c r="C364" s="110"/>
      <c r="D364" s="110" t="s">
        <v>1043</v>
      </c>
      <c r="E364" s="110"/>
      <c r="F364" s="303"/>
      <c r="G364" s="303"/>
      <c r="H364" s="7"/>
      <c r="I364" s="110"/>
      <c r="J364" s="8">
        <v>745.2</v>
      </c>
    </row>
    <row r="365" spans="1:10" ht="15" x14ac:dyDescent="0.2">
      <c r="A365" s="103" t="s">
        <v>1100</v>
      </c>
      <c r="B365" s="112" t="s">
        <v>24</v>
      </c>
      <c r="C365" s="103" t="s">
        <v>25</v>
      </c>
      <c r="D365" s="103" t="s">
        <v>10</v>
      </c>
      <c r="E365" s="283" t="s">
        <v>53</v>
      </c>
      <c r="F365" s="283"/>
      <c r="G365" s="113" t="s">
        <v>26</v>
      </c>
      <c r="H365" s="112" t="s">
        <v>27</v>
      </c>
      <c r="I365" s="112" t="s">
        <v>28</v>
      </c>
      <c r="J365" s="112" t="s">
        <v>11</v>
      </c>
    </row>
    <row r="366" spans="1:10" x14ac:dyDescent="0.2">
      <c r="A366" s="109" t="s">
        <v>54</v>
      </c>
      <c r="B366" s="10" t="s">
        <v>1101</v>
      </c>
      <c r="C366" s="109" t="s">
        <v>72</v>
      </c>
      <c r="D366" s="109" t="s">
        <v>1102</v>
      </c>
      <c r="E366" s="302" t="s">
        <v>155</v>
      </c>
      <c r="F366" s="302"/>
      <c r="G366" s="11" t="s">
        <v>34</v>
      </c>
      <c r="H366" s="19">
        <v>1</v>
      </c>
      <c r="I366" s="12">
        <v>16.670000000000002</v>
      </c>
      <c r="J366" s="12">
        <v>16.670000000000002</v>
      </c>
    </row>
    <row r="367" spans="1:10" ht="25.5" x14ac:dyDescent="0.2">
      <c r="A367" s="107" t="s">
        <v>56</v>
      </c>
      <c r="B367" s="20" t="s">
        <v>1265</v>
      </c>
      <c r="C367" s="107" t="s">
        <v>72</v>
      </c>
      <c r="D367" s="107" t="s">
        <v>1266</v>
      </c>
      <c r="E367" s="300" t="s">
        <v>146</v>
      </c>
      <c r="F367" s="300"/>
      <c r="G367" s="21" t="s">
        <v>75</v>
      </c>
      <c r="H367" s="22">
        <v>0.45290000000000002</v>
      </c>
      <c r="I367" s="23">
        <v>20.329999999999998</v>
      </c>
      <c r="J367" s="23">
        <v>9.1999999999999993</v>
      </c>
    </row>
    <row r="368" spans="1:10" x14ac:dyDescent="0.2">
      <c r="A368" s="108" t="s">
        <v>63</v>
      </c>
      <c r="B368" s="24" t="s">
        <v>569</v>
      </c>
      <c r="C368" s="108" t="s">
        <v>72</v>
      </c>
      <c r="D368" s="108" t="s">
        <v>570</v>
      </c>
      <c r="E368" s="301" t="s">
        <v>66</v>
      </c>
      <c r="F368" s="301"/>
      <c r="G368" s="25" t="s">
        <v>183</v>
      </c>
      <c r="H368" s="26">
        <v>0.32569999999999999</v>
      </c>
      <c r="I368" s="27">
        <v>22.95</v>
      </c>
      <c r="J368" s="27">
        <v>7.47</v>
      </c>
    </row>
    <row r="369" spans="1:10" x14ac:dyDescent="0.2">
      <c r="A369" s="106"/>
      <c r="B369" s="106"/>
      <c r="C369" s="106"/>
      <c r="D369" s="106"/>
      <c r="E369" s="106" t="s">
        <v>81</v>
      </c>
      <c r="F369" s="28">
        <v>3.4776963739219142</v>
      </c>
      <c r="G369" s="106" t="s">
        <v>82</v>
      </c>
      <c r="H369" s="28">
        <v>4.0199999999999996</v>
      </c>
      <c r="I369" s="106" t="s">
        <v>83</v>
      </c>
      <c r="J369" s="28">
        <v>7.5</v>
      </c>
    </row>
    <row r="370" spans="1:10" x14ac:dyDescent="0.2">
      <c r="A370" s="106"/>
      <c r="B370" s="106"/>
      <c r="C370" s="106"/>
      <c r="D370" s="106"/>
      <c r="E370" s="106" t="s">
        <v>84</v>
      </c>
      <c r="F370" s="28">
        <v>4.03</v>
      </c>
      <c r="G370" s="106"/>
      <c r="H370" s="299" t="s">
        <v>85</v>
      </c>
      <c r="I370" s="299"/>
      <c r="J370" s="28">
        <v>20.7</v>
      </c>
    </row>
    <row r="371" spans="1:10" ht="15" thickBot="1" x14ac:dyDescent="0.25">
      <c r="A371" s="104"/>
      <c r="B371" s="104"/>
      <c r="C371" s="104"/>
      <c r="D371" s="104"/>
      <c r="E371" s="104"/>
      <c r="F371" s="104"/>
      <c r="G371" s="104" t="s">
        <v>86</v>
      </c>
      <c r="H371" s="29">
        <v>36</v>
      </c>
      <c r="I371" s="104" t="s">
        <v>87</v>
      </c>
      <c r="J371" s="105">
        <v>745.2</v>
      </c>
    </row>
    <row r="372" spans="1:10" ht="15" thickTop="1" x14ac:dyDescent="0.2">
      <c r="A372" s="30"/>
      <c r="B372" s="30"/>
      <c r="C372" s="30"/>
      <c r="D372" s="30"/>
      <c r="E372" s="30"/>
      <c r="F372" s="30"/>
      <c r="G372" s="30"/>
      <c r="H372" s="30"/>
      <c r="I372" s="30"/>
      <c r="J372" s="30"/>
    </row>
    <row r="373" spans="1:10" x14ac:dyDescent="0.2">
      <c r="A373" s="110" t="s">
        <v>1044</v>
      </c>
      <c r="B373" s="110"/>
      <c r="C373" s="110"/>
      <c r="D373" s="110" t="s">
        <v>19</v>
      </c>
      <c r="E373" s="110"/>
      <c r="F373" s="303"/>
      <c r="G373" s="303"/>
      <c r="H373" s="7"/>
      <c r="I373" s="110"/>
      <c r="J373" s="8">
        <v>16391.45</v>
      </c>
    </row>
    <row r="374" spans="1:10" ht="15" x14ac:dyDescent="0.2">
      <c r="A374" s="103" t="s">
        <v>1103</v>
      </c>
      <c r="B374" s="112" t="s">
        <v>24</v>
      </c>
      <c r="C374" s="103" t="s">
        <v>25</v>
      </c>
      <c r="D374" s="103" t="s">
        <v>10</v>
      </c>
      <c r="E374" s="283" t="s">
        <v>53</v>
      </c>
      <c r="F374" s="283"/>
      <c r="G374" s="113" t="s">
        <v>26</v>
      </c>
      <c r="H374" s="112" t="s">
        <v>27</v>
      </c>
      <c r="I374" s="112" t="s">
        <v>28</v>
      </c>
      <c r="J374" s="112" t="s">
        <v>11</v>
      </c>
    </row>
    <row r="375" spans="1:10" ht="25.5" x14ac:dyDescent="0.2">
      <c r="A375" s="109" t="s">
        <v>54</v>
      </c>
      <c r="B375" s="10" t="s">
        <v>1104</v>
      </c>
      <c r="C375" s="109" t="s">
        <v>32</v>
      </c>
      <c r="D375" s="109" t="s">
        <v>1105</v>
      </c>
      <c r="E375" s="302" t="s">
        <v>1267</v>
      </c>
      <c r="F375" s="302"/>
      <c r="G375" s="11" t="s">
        <v>34</v>
      </c>
      <c r="H375" s="19">
        <v>1</v>
      </c>
      <c r="I375" s="12">
        <v>745.72</v>
      </c>
      <c r="J375" s="12">
        <v>745.72</v>
      </c>
    </row>
    <row r="376" spans="1:10" ht="25.5" x14ac:dyDescent="0.2">
      <c r="A376" s="107" t="s">
        <v>56</v>
      </c>
      <c r="B376" s="20" t="s">
        <v>61</v>
      </c>
      <c r="C376" s="107" t="s">
        <v>32</v>
      </c>
      <c r="D376" s="107" t="s">
        <v>62</v>
      </c>
      <c r="E376" s="300" t="s">
        <v>59</v>
      </c>
      <c r="F376" s="300"/>
      <c r="G376" s="21" t="s">
        <v>60</v>
      </c>
      <c r="H376" s="22">
        <v>1</v>
      </c>
      <c r="I376" s="23">
        <v>3.41</v>
      </c>
      <c r="J376" s="23">
        <v>3.41</v>
      </c>
    </row>
    <row r="377" spans="1:10" ht="25.5" x14ac:dyDescent="0.2">
      <c r="A377" s="107" t="s">
        <v>56</v>
      </c>
      <c r="B377" s="20" t="s">
        <v>57</v>
      </c>
      <c r="C377" s="107" t="s">
        <v>32</v>
      </c>
      <c r="D377" s="107" t="s">
        <v>58</v>
      </c>
      <c r="E377" s="300" t="s">
        <v>59</v>
      </c>
      <c r="F377" s="300"/>
      <c r="G377" s="21" t="s">
        <v>60</v>
      </c>
      <c r="H377" s="22">
        <v>1</v>
      </c>
      <c r="I377" s="23">
        <v>3.5</v>
      </c>
      <c r="J377" s="23">
        <v>3.5</v>
      </c>
    </row>
    <row r="378" spans="1:10" x14ac:dyDescent="0.2">
      <c r="A378" s="108" t="s">
        <v>63</v>
      </c>
      <c r="B378" s="24" t="s">
        <v>1268</v>
      </c>
      <c r="C378" s="108" t="s">
        <v>32</v>
      </c>
      <c r="D378" s="108" t="s">
        <v>1269</v>
      </c>
      <c r="E378" s="301" t="s">
        <v>66</v>
      </c>
      <c r="F378" s="301"/>
      <c r="G378" s="25" t="s">
        <v>711</v>
      </c>
      <c r="H378" s="26">
        <v>6</v>
      </c>
      <c r="I378" s="27">
        <v>0.96</v>
      </c>
      <c r="J378" s="27">
        <v>5.76</v>
      </c>
    </row>
    <row r="379" spans="1:10" x14ac:dyDescent="0.2">
      <c r="A379" s="108" t="s">
        <v>63</v>
      </c>
      <c r="B379" s="24" t="s">
        <v>1270</v>
      </c>
      <c r="C379" s="108" t="s">
        <v>32</v>
      </c>
      <c r="D379" s="108" t="s">
        <v>1271</v>
      </c>
      <c r="E379" s="301" t="s">
        <v>66</v>
      </c>
      <c r="F379" s="301"/>
      <c r="G379" s="25" t="s">
        <v>43</v>
      </c>
      <c r="H379" s="26">
        <v>7</v>
      </c>
      <c r="I379" s="27">
        <v>100.73</v>
      </c>
      <c r="J379" s="27">
        <v>705.11</v>
      </c>
    </row>
    <row r="380" spans="1:10" x14ac:dyDescent="0.2">
      <c r="A380" s="108" t="s">
        <v>63</v>
      </c>
      <c r="B380" s="24" t="s">
        <v>71</v>
      </c>
      <c r="C380" s="108" t="s">
        <v>72</v>
      </c>
      <c r="D380" s="108" t="s">
        <v>73</v>
      </c>
      <c r="E380" s="301" t="s">
        <v>74</v>
      </c>
      <c r="F380" s="301"/>
      <c r="G380" s="25" t="s">
        <v>75</v>
      </c>
      <c r="H380" s="26">
        <v>1</v>
      </c>
      <c r="I380" s="27">
        <v>16.39</v>
      </c>
      <c r="J380" s="27">
        <v>16.39</v>
      </c>
    </row>
    <row r="381" spans="1:10" x14ac:dyDescent="0.2">
      <c r="A381" s="108" t="s">
        <v>63</v>
      </c>
      <c r="B381" s="24" t="s">
        <v>79</v>
      </c>
      <c r="C381" s="108" t="s">
        <v>72</v>
      </c>
      <c r="D381" s="108" t="s">
        <v>80</v>
      </c>
      <c r="E381" s="301" t="s">
        <v>74</v>
      </c>
      <c r="F381" s="301"/>
      <c r="G381" s="25" t="s">
        <v>75</v>
      </c>
      <c r="H381" s="26">
        <v>1</v>
      </c>
      <c r="I381" s="27">
        <v>11.55</v>
      </c>
      <c r="J381" s="27">
        <v>11.55</v>
      </c>
    </row>
    <row r="382" spans="1:10" x14ac:dyDescent="0.2">
      <c r="A382" s="106"/>
      <c r="B382" s="106"/>
      <c r="C382" s="106"/>
      <c r="D382" s="106"/>
      <c r="E382" s="106" t="s">
        <v>81</v>
      </c>
      <c r="F382" s="28">
        <v>12.9555782</v>
      </c>
      <c r="G382" s="106" t="s">
        <v>82</v>
      </c>
      <c r="H382" s="28">
        <v>14.98</v>
      </c>
      <c r="I382" s="106" t="s">
        <v>83</v>
      </c>
      <c r="J382" s="28">
        <v>27.94</v>
      </c>
    </row>
    <row r="383" spans="1:10" x14ac:dyDescent="0.2">
      <c r="A383" s="106"/>
      <c r="B383" s="106"/>
      <c r="C383" s="106"/>
      <c r="D383" s="106"/>
      <c r="E383" s="106" t="s">
        <v>84</v>
      </c>
      <c r="F383" s="28">
        <v>180.68</v>
      </c>
      <c r="G383" s="106"/>
      <c r="H383" s="299" t="s">
        <v>85</v>
      </c>
      <c r="I383" s="299"/>
      <c r="J383" s="28">
        <v>926.4</v>
      </c>
    </row>
    <row r="384" spans="1:10" ht="15" thickBot="1" x14ac:dyDescent="0.25">
      <c r="A384" s="104"/>
      <c r="B384" s="104"/>
      <c r="C384" s="104"/>
      <c r="D384" s="104"/>
      <c r="E384" s="104"/>
      <c r="F384" s="104"/>
      <c r="G384" s="104" t="s">
        <v>86</v>
      </c>
      <c r="H384" s="29">
        <v>16</v>
      </c>
      <c r="I384" s="104" t="s">
        <v>87</v>
      </c>
      <c r="J384" s="105">
        <v>14822.4</v>
      </c>
    </row>
    <row r="385" spans="1:10" ht="15" thickTop="1" x14ac:dyDescent="0.2">
      <c r="A385" s="30"/>
      <c r="B385" s="30"/>
      <c r="C385" s="30"/>
      <c r="D385" s="30"/>
      <c r="E385" s="30"/>
      <c r="F385" s="30"/>
      <c r="G385" s="30"/>
      <c r="H385" s="30"/>
      <c r="I385" s="30"/>
      <c r="J385" s="30"/>
    </row>
    <row r="386" spans="1:10" ht="15" x14ac:dyDescent="0.2">
      <c r="A386" s="103" t="s">
        <v>1106</v>
      </c>
      <c r="B386" s="112" t="s">
        <v>24</v>
      </c>
      <c r="C386" s="103" t="s">
        <v>25</v>
      </c>
      <c r="D386" s="103" t="s">
        <v>10</v>
      </c>
      <c r="E386" s="283" t="s">
        <v>53</v>
      </c>
      <c r="F386" s="283"/>
      <c r="G386" s="113" t="s">
        <v>26</v>
      </c>
      <c r="H386" s="112" t="s">
        <v>27</v>
      </c>
      <c r="I386" s="112" t="s">
        <v>28</v>
      </c>
      <c r="J386" s="112" t="s">
        <v>11</v>
      </c>
    </row>
    <row r="387" spans="1:10" ht="25.5" x14ac:dyDescent="0.2">
      <c r="A387" s="109" t="s">
        <v>54</v>
      </c>
      <c r="B387" s="10" t="s">
        <v>1107</v>
      </c>
      <c r="C387" s="109" t="s">
        <v>72</v>
      </c>
      <c r="D387" s="109" t="s">
        <v>1108</v>
      </c>
      <c r="E387" s="302" t="s">
        <v>1127</v>
      </c>
      <c r="F387" s="302"/>
      <c r="G387" s="11" t="s">
        <v>34</v>
      </c>
      <c r="H387" s="19">
        <v>1</v>
      </c>
      <c r="I387" s="12">
        <v>12.23</v>
      </c>
      <c r="J387" s="12">
        <v>12.23</v>
      </c>
    </row>
    <row r="388" spans="1:10" ht="25.5" x14ac:dyDescent="0.2">
      <c r="A388" s="107" t="s">
        <v>56</v>
      </c>
      <c r="B388" s="20" t="s">
        <v>156</v>
      </c>
      <c r="C388" s="107" t="s">
        <v>72</v>
      </c>
      <c r="D388" s="107" t="s">
        <v>157</v>
      </c>
      <c r="E388" s="300" t="s">
        <v>146</v>
      </c>
      <c r="F388" s="300"/>
      <c r="G388" s="21" t="s">
        <v>75</v>
      </c>
      <c r="H388" s="22">
        <v>0.15640000000000001</v>
      </c>
      <c r="I388" s="23">
        <v>14.31</v>
      </c>
      <c r="J388" s="23">
        <v>2.23</v>
      </c>
    </row>
    <row r="389" spans="1:10" ht="25.5" x14ac:dyDescent="0.2">
      <c r="A389" s="107" t="s">
        <v>56</v>
      </c>
      <c r="B389" s="20" t="s">
        <v>1132</v>
      </c>
      <c r="C389" s="107" t="s">
        <v>72</v>
      </c>
      <c r="D389" s="107" t="s">
        <v>1133</v>
      </c>
      <c r="E389" s="300" t="s">
        <v>146</v>
      </c>
      <c r="F389" s="300"/>
      <c r="G389" s="21" t="s">
        <v>75</v>
      </c>
      <c r="H389" s="22">
        <v>3.9100000000000003E-2</v>
      </c>
      <c r="I389" s="23">
        <v>18.600000000000001</v>
      </c>
      <c r="J389" s="23">
        <v>0.72</v>
      </c>
    </row>
    <row r="390" spans="1:10" x14ac:dyDescent="0.2">
      <c r="A390" s="108" t="s">
        <v>63</v>
      </c>
      <c r="B390" s="24" t="s">
        <v>1272</v>
      </c>
      <c r="C390" s="108" t="s">
        <v>72</v>
      </c>
      <c r="D390" s="108" t="s">
        <v>1273</v>
      </c>
      <c r="E390" s="301" t="s">
        <v>66</v>
      </c>
      <c r="F390" s="301"/>
      <c r="G390" s="25" t="s">
        <v>34</v>
      </c>
      <c r="H390" s="26">
        <v>1</v>
      </c>
      <c r="I390" s="27">
        <v>9.2799999999999994</v>
      </c>
      <c r="J390" s="27">
        <v>9.2799999999999994</v>
      </c>
    </row>
    <row r="391" spans="1:10" x14ac:dyDescent="0.2">
      <c r="A391" s="106"/>
      <c r="B391" s="106"/>
      <c r="C391" s="106"/>
      <c r="D391" s="106"/>
      <c r="E391" s="106" t="s">
        <v>81</v>
      </c>
      <c r="F391" s="28">
        <v>1.1360474821478252</v>
      </c>
      <c r="G391" s="106" t="s">
        <v>82</v>
      </c>
      <c r="H391" s="28">
        <v>1.31</v>
      </c>
      <c r="I391" s="106" t="s">
        <v>83</v>
      </c>
      <c r="J391" s="28">
        <v>2.4500000000000002</v>
      </c>
    </row>
    <row r="392" spans="1:10" x14ac:dyDescent="0.2">
      <c r="A392" s="106"/>
      <c r="B392" s="106"/>
      <c r="C392" s="106"/>
      <c r="D392" s="106"/>
      <c r="E392" s="106" t="s">
        <v>84</v>
      </c>
      <c r="F392" s="28">
        <v>2.96</v>
      </c>
      <c r="G392" s="106"/>
      <c r="H392" s="299" t="s">
        <v>85</v>
      </c>
      <c r="I392" s="299"/>
      <c r="J392" s="28">
        <v>15.19</v>
      </c>
    </row>
    <row r="393" spans="1:10" ht="15" thickBot="1" x14ac:dyDescent="0.25">
      <c r="A393" s="104"/>
      <c r="B393" s="104"/>
      <c r="C393" s="104"/>
      <c r="D393" s="104"/>
      <c r="E393" s="104"/>
      <c r="F393" s="104"/>
      <c r="G393" s="104" t="s">
        <v>86</v>
      </c>
      <c r="H393" s="29">
        <v>20.399999999999999</v>
      </c>
      <c r="I393" s="104" t="s">
        <v>87</v>
      </c>
      <c r="J393" s="105">
        <v>309.87</v>
      </c>
    </row>
    <row r="394" spans="1:10" ht="15" thickTop="1" x14ac:dyDescent="0.2">
      <c r="A394" s="30"/>
      <c r="B394" s="30"/>
      <c r="C394" s="30"/>
      <c r="D394" s="30"/>
      <c r="E394" s="30"/>
      <c r="F394" s="30"/>
      <c r="G394" s="30"/>
      <c r="H394" s="30"/>
      <c r="I394" s="30"/>
      <c r="J394" s="30"/>
    </row>
    <row r="395" spans="1:10" ht="15" x14ac:dyDescent="0.2">
      <c r="A395" s="103" t="s">
        <v>1109</v>
      </c>
      <c r="B395" s="112" t="s">
        <v>24</v>
      </c>
      <c r="C395" s="103" t="s">
        <v>25</v>
      </c>
      <c r="D395" s="103" t="s">
        <v>10</v>
      </c>
      <c r="E395" s="283" t="s">
        <v>53</v>
      </c>
      <c r="F395" s="283"/>
      <c r="G395" s="113" t="s">
        <v>26</v>
      </c>
      <c r="H395" s="112" t="s">
        <v>27</v>
      </c>
      <c r="I395" s="112" t="s">
        <v>28</v>
      </c>
      <c r="J395" s="112" t="s">
        <v>11</v>
      </c>
    </row>
    <row r="396" spans="1:10" ht="38.25" x14ac:dyDescent="0.2">
      <c r="A396" s="109" t="s">
        <v>54</v>
      </c>
      <c r="B396" s="10" t="s">
        <v>1110</v>
      </c>
      <c r="C396" s="109" t="s">
        <v>32</v>
      </c>
      <c r="D396" s="109" t="s">
        <v>1111</v>
      </c>
      <c r="E396" s="302" t="s">
        <v>1274</v>
      </c>
      <c r="F396" s="302"/>
      <c r="G396" s="11" t="s">
        <v>46</v>
      </c>
      <c r="H396" s="19">
        <v>1</v>
      </c>
      <c r="I396" s="12">
        <v>506.8</v>
      </c>
      <c r="J396" s="12">
        <v>506.8</v>
      </c>
    </row>
    <row r="397" spans="1:10" x14ac:dyDescent="0.2">
      <c r="A397" s="108" t="s">
        <v>63</v>
      </c>
      <c r="B397" s="24" t="s">
        <v>1275</v>
      </c>
      <c r="C397" s="108" t="s">
        <v>32</v>
      </c>
      <c r="D397" s="108" t="s">
        <v>1276</v>
      </c>
      <c r="E397" s="301" t="s">
        <v>66</v>
      </c>
      <c r="F397" s="301"/>
      <c r="G397" s="25" t="s">
        <v>46</v>
      </c>
      <c r="H397" s="26">
        <v>1</v>
      </c>
      <c r="I397" s="27">
        <v>506.8</v>
      </c>
      <c r="J397" s="27">
        <v>506.8</v>
      </c>
    </row>
    <row r="398" spans="1:10" x14ac:dyDescent="0.2">
      <c r="A398" s="106"/>
      <c r="B398" s="106"/>
      <c r="C398" s="106"/>
      <c r="D398" s="106"/>
      <c r="E398" s="106" t="s">
        <v>81</v>
      </c>
      <c r="F398" s="28">
        <v>0</v>
      </c>
      <c r="G398" s="106" t="s">
        <v>82</v>
      </c>
      <c r="H398" s="28">
        <v>0</v>
      </c>
      <c r="I398" s="106" t="s">
        <v>83</v>
      </c>
      <c r="J398" s="28">
        <v>0</v>
      </c>
    </row>
    <row r="399" spans="1:10" x14ac:dyDescent="0.2">
      <c r="A399" s="106"/>
      <c r="B399" s="106"/>
      <c r="C399" s="106"/>
      <c r="D399" s="106"/>
      <c r="E399" s="106" t="s">
        <v>84</v>
      </c>
      <c r="F399" s="28">
        <v>122.79</v>
      </c>
      <c r="G399" s="106"/>
      <c r="H399" s="299" t="s">
        <v>85</v>
      </c>
      <c r="I399" s="299"/>
      <c r="J399" s="28">
        <v>629.59</v>
      </c>
    </row>
    <row r="400" spans="1:10" ht="15" thickBot="1" x14ac:dyDescent="0.25">
      <c r="A400" s="104"/>
      <c r="B400" s="104"/>
      <c r="C400" s="104"/>
      <c r="D400" s="104"/>
      <c r="E400" s="104"/>
      <c r="F400" s="104"/>
      <c r="G400" s="104" t="s">
        <v>86</v>
      </c>
      <c r="H400" s="29">
        <v>2</v>
      </c>
      <c r="I400" s="104" t="s">
        <v>87</v>
      </c>
      <c r="J400" s="105">
        <v>1259.18</v>
      </c>
    </row>
    <row r="401" spans="1:10" ht="15" thickTop="1" x14ac:dyDescent="0.2">
      <c r="A401" s="30"/>
      <c r="B401" s="30"/>
      <c r="C401" s="30"/>
      <c r="D401" s="30"/>
      <c r="E401" s="30"/>
      <c r="F401" s="30"/>
      <c r="G401" s="30"/>
      <c r="H401" s="30"/>
      <c r="I401" s="30"/>
      <c r="J401" s="30"/>
    </row>
    <row r="402" spans="1:10" x14ac:dyDescent="0.2">
      <c r="A402" s="114"/>
      <c r="B402" s="114"/>
      <c r="C402" s="114"/>
      <c r="D402" s="114"/>
      <c r="E402" s="114"/>
      <c r="F402" s="114"/>
      <c r="G402" s="114"/>
      <c r="H402" s="114"/>
      <c r="I402" s="114"/>
      <c r="J402" s="114"/>
    </row>
    <row r="403" spans="1:10" x14ac:dyDescent="0.2">
      <c r="A403" s="292"/>
      <c r="B403" s="292"/>
      <c r="C403" s="292"/>
      <c r="D403" s="13"/>
      <c r="E403" s="104"/>
      <c r="F403" s="289" t="s">
        <v>20</v>
      </c>
      <c r="G403" s="292"/>
      <c r="H403" s="293">
        <v>166026.79</v>
      </c>
      <c r="I403" s="292"/>
      <c r="J403" s="292"/>
    </row>
    <row r="404" spans="1:10" x14ac:dyDescent="0.2">
      <c r="A404" s="292"/>
      <c r="B404" s="292"/>
      <c r="C404" s="292"/>
      <c r="D404" s="13"/>
      <c r="E404" s="104"/>
      <c r="F404" s="289" t="s">
        <v>21</v>
      </c>
      <c r="G404" s="292"/>
      <c r="H404" s="293">
        <v>40222</v>
      </c>
      <c r="I404" s="292"/>
      <c r="J404" s="292"/>
    </row>
    <row r="405" spans="1:10" x14ac:dyDescent="0.2">
      <c r="A405" s="292"/>
      <c r="B405" s="292"/>
      <c r="C405" s="292"/>
      <c r="D405" s="13"/>
      <c r="E405" s="104"/>
      <c r="F405" s="289" t="s">
        <v>22</v>
      </c>
      <c r="G405" s="292"/>
      <c r="H405" s="293">
        <v>206248.79</v>
      </c>
      <c r="I405" s="292"/>
      <c r="J405" s="292"/>
    </row>
  </sheetData>
  <mergeCells count="310">
    <mergeCell ref="E386:F386"/>
    <mergeCell ref="E387:F387"/>
    <mergeCell ref="E388:F388"/>
    <mergeCell ref="A404:C404"/>
    <mergeCell ref="F404:G404"/>
    <mergeCell ref="H404:J404"/>
    <mergeCell ref="A405:C405"/>
    <mergeCell ref="F405:G405"/>
    <mergeCell ref="H405:J405"/>
    <mergeCell ref="E389:F389"/>
    <mergeCell ref="E390:F390"/>
    <mergeCell ref="H392:I392"/>
    <mergeCell ref="E395:F395"/>
    <mergeCell ref="E396:F396"/>
    <mergeCell ref="E397:F397"/>
    <mergeCell ref="H399:I399"/>
    <mergeCell ref="A403:C403"/>
    <mergeCell ref="F403:G403"/>
    <mergeCell ref="H403:J403"/>
    <mergeCell ref="E374:F374"/>
    <mergeCell ref="E375:F375"/>
    <mergeCell ref="E376:F376"/>
    <mergeCell ref="E377:F377"/>
    <mergeCell ref="E378:F378"/>
    <mergeCell ref="E379:F379"/>
    <mergeCell ref="E380:F380"/>
    <mergeCell ref="E381:F381"/>
    <mergeCell ref="H383:I383"/>
    <mergeCell ref="E359:F359"/>
    <mergeCell ref="H361:I361"/>
    <mergeCell ref="F364:G364"/>
    <mergeCell ref="E365:F365"/>
    <mergeCell ref="E366:F366"/>
    <mergeCell ref="E367:F367"/>
    <mergeCell ref="E368:F368"/>
    <mergeCell ref="H370:I370"/>
    <mergeCell ref="F373:G373"/>
    <mergeCell ref="E347:F347"/>
    <mergeCell ref="E348:F348"/>
    <mergeCell ref="H350:I350"/>
    <mergeCell ref="E353:F353"/>
    <mergeCell ref="E354:F354"/>
    <mergeCell ref="E355:F355"/>
    <mergeCell ref="E356:F356"/>
    <mergeCell ref="E357:F357"/>
    <mergeCell ref="E358:F358"/>
    <mergeCell ref="H330:I330"/>
    <mergeCell ref="E333:F333"/>
    <mergeCell ref="E334:F334"/>
    <mergeCell ref="H336:I336"/>
    <mergeCell ref="E339:F339"/>
    <mergeCell ref="E340:F340"/>
    <mergeCell ref="H342:I342"/>
    <mergeCell ref="E345:F345"/>
    <mergeCell ref="E346:F346"/>
    <mergeCell ref="E320:F320"/>
    <mergeCell ref="E321:F321"/>
    <mergeCell ref="E322:F322"/>
    <mergeCell ref="E323:F323"/>
    <mergeCell ref="E324:F324"/>
    <mergeCell ref="E325:F325"/>
    <mergeCell ref="E326:F326"/>
    <mergeCell ref="E327:F327"/>
    <mergeCell ref="E328:F328"/>
    <mergeCell ref="E308:F308"/>
    <mergeCell ref="E309:F309"/>
    <mergeCell ref="E310:F310"/>
    <mergeCell ref="E311:F311"/>
    <mergeCell ref="E312:F312"/>
    <mergeCell ref="E313:F313"/>
    <mergeCell ref="E314:F314"/>
    <mergeCell ref="H316:I316"/>
    <mergeCell ref="E319:F319"/>
    <mergeCell ref="E296:F296"/>
    <mergeCell ref="E297:F297"/>
    <mergeCell ref="E298:F298"/>
    <mergeCell ref="E299:F299"/>
    <mergeCell ref="E300:F300"/>
    <mergeCell ref="H302:I302"/>
    <mergeCell ref="E305:F305"/>
    <mergeCell ref="E306:F306"/>
    <mergeCell ref="E307:F307"/>
    <mergeCell ref="H282:I282"/>
    <mergeCell ref="E285:F285"/>
    <mergeCell ref="E286:F286"/>
    <mergeCell ref="H288:I288"/>
    <mergeCell ref="E291:F291"/>
    <mergeCell ref="E292:F292"/>
    <mergeCell ref="E293:F293"/>
    <mergeCell ref="E294:F294"/>
    <mergeCell ref="E295:F295"/>
    <mergeCell ref="H270:I270"/>
    <mergeCell ref="F273:G273"/>
    <mergeCell ref="E274:F274"/>
    <mergeCell ref="E275:F275"/>
    <mergeCell ref="E276:F276"/>
    <mergeCell ref="E277:F277"/>
    <mergeCell ref="E278:F278"/>
    <mergeCell ref="E279:F279"/>
    <mergeCell ref="E280:F280"/>
    <mergeCell ref="E257:F257"/>
    <mergeCell ref="H259:I259"/>
    <mergeCell ref="E262:F262"/>
    <mergeCell ref="E263:F263"/>
    <mergeCell ref="E264:F264"/>
    <mergeCell ref="E265:F265"/>
    <mergeCell ref="E266:F266"/>
    <mergeCell ref="E267:F267"/>
    <mergeCell ref="E268:F268"/>
    <mergeCell ref="E245:F245"/>
    <mergeCell ref="E246:F246"/>
    <mergeCell ref="E247:F247"/>
    <mergeCell ref="E248:F248"/>
    <mergeCell ref="E249:F249"/>
    <mergeCell ref="H251:I251"/>
    <mergeCell ref="E254:F254"/>
    <mergeCell ref="E255:F255"/>
    <mergeCell ref="E256:F256"/>
    <mergeCell ref="E233:F233"/>
    <mergeCell ref="E234:F234"/>
    <mergeCell ref="E235:F235"/>
    <mergeCell ref="E236:F236"/>
    <mergeCell ref="E237:F237"/>
    <mergeCell ref="H239:I239"/>
    <mergeCell ref="E242:F242"/>
    <mergeCell ref="E243:F243"/>
    <mergeCell ref="E244:F244"/>
    <mergeCell ref="E221:F221"/>
    <mergeCell ref="E222:F222"/>
    <mergeCell ref="E223:F223"/>
    <mergeCell ref="E224:F224"/>
    <mergeCell ref="E225:F225"/>
    <mergeCell ref="E226:F226"/>
    <mergeCell ref="E227:F227"/>
    <mergeCell ref="E228:F228"/>
    <mergeCell ref="H230:I230"/>
    <mergeCell ref="E209:F209"/>
    <mergeCell ref="E210:F210"/>
    <mergeCell ref="E211:F211"/>
    <mergeCell ref="E212:F212"/>
    <mergeCell ref="H214:I214"/>
    <mergeCell ref="E217:F217"/>
    <mergeCell ref="E218:F218"/>
    <mergeCell ref="E219:F219"/>
    <mergeCell ref="E220:F220"/>
    <mergeCell ref="E197:F197"/>
    <mergeCell ref="E198:F198"/>
    <mergeCell ref="E199:F199"/>
    <mergeCell ref="E200:F200"/>
    <mergeCell ref="E201:F201"/>
    <mergeCell ref="E202:F202"/>
    <mergeCell ref="H204:I204"/>
    <mergeCell ref="F207:G207"/>
    <mergeCell ref="E208:F208"/>
    <mergeCell ref="E185:F185"/>
    <mergeCell ref="E186:F186"/>
    <mergeCell ref="E187:F187"/>
    <mergeCell ref="E188:F188"/>
    <mergeCell ref="E189:F189"/>
    <mergeCell ref="E190:F190"/>
    <mergeCell ref="H192:I192"/>
    <mergeCell ref="E195:F195"/>
    <mergeCell ref="E196:F196"/>
    <mergeCell ref="E170:F170"/>
    <mergeCell ref="E171:F171"/>
    <mergeCell ref="H173:I173"/>
    <mergeCell ref="E176:F176"/>
    <mergeCell ref="E177:F177"/>
    <mergeCell ref="E178:F178"/>
    <mergeCell ref="E179:F179"/>
    <mergeCell ref="H181:I181"/>
    <mergeCell ref="F184:G184"/>
    <mergeCell ref="E158:F158"/>
    <mergeCell ref="E159:F159"/>
    <mergeCell ref="E160:F160"/>
    <mergeCell ref="E161:F161"/>
    <mergeCell ref="E162:F162"/>
    <mergeCell ref="H164:I164"/>
    <mergeCell ref="F167:G167"/>
    <mergeCell ref="E168:F168"/>
    <mergeCell ref="E169:F169"/>
    <mergeCell ref="E127:F127"/>
    <mergeCell ref="E128:F128"/>
    <mergeCell ref="E129:F129"/>
    <mergeCell ref="E152:F152"/>
    <mergeCell ref="E153:F153"/>
    <mergeCell ref="E154:F154"/>
    <mergeCell ref="E155:F155"/>
    <mergeCell ref="E156:F156"/>
    <mergeCell ref="E157:F157"/>
    <mergeCell ref="A7:J7"/>
    <mergeCell ref="F8:G8"/>
    <mergeCell ref="E9:F9"/>
    <mergeCell ref="E10:F10"/>
    <mergeCell ref="E11:F11"/>
    <mergeCell ref="E12:F12"/>
    <mergeCell ref="C5:D5"/>
    <mergeCell ref="E5:F5"/>
    <mergeCell ref="G5:H5"/>
    <mergeCell ref="I5:J5"/>
    <mergeCell ref="C6:D6"/>
    <mergeCell ref="E6:F6"/>
    <mergeCell ref="G6:H6"/>
    <mergeCell ref="I6:J6"/>
    <mergeCell ref="H20:I20"/>
    <mergeCell ref="E23:F23"/>
    <mergeCell ref="E24:F24"/>
    <mergeCell ref="E25:F25"/>
    <mergeCell ref="E26:F26"/>
    <mergeCell ref="E27:F27"/>
    <mergeCell ref="E13:F13"/>
    <mergeCell ref="E14:F14"/>
    <mergeCell ref="E15:F15"/>
    <mergeCell ref="E16:F16"/>
    <mergeCell ref="E17:F17"/>
    <mergeCell ref="E18:F18"/>
    <mergeCell ref="H49:I49"/>
    <mergeCell ref="E37:F37"/>
    <mergeCell ref="E38:F38"/>
    <mergeCell ref="E39:F39"/>
    <mergeCell ref="E40:F40"/>
    <mergeCell ref="E41:F41"/>
    <mergeCell ref="E42:F42"/>
    <mergeCell ref="E28:F28"/>
    <mergeCell ref="E29:F29"/>
    <mergeCell ref="E30:F30"/>
    <mergeCell ref="E31:F31"/>
    <mergeCell ref="E32:F32"/>
    <mergeCell ref="H34:I34"/>
    <mergeCell ref="E52:F52"/>
    <mergeCell ref="E53:F53"/>
    <mergeCell ref="E43:F43"/>
    <mergeCell ref="E44:F44"/>
    <mergeCell ref="E45:F45"/>
    <mergeCell ref="E46:F46"/>
    <mergeCell ref="E47:F47"/>
    <mergeCell ref="E54:F54"/>
    <mergeCell ref="E55:F55"/>
    <mergeCell ref="E56:F56"/>
    <mergeCell ref="E57:F57"/>
    <mergeCell ref="H59:I59"/>
    <mergeCell ref="E62:F62"/>
    <mergeCell ref="E63:F63"/>
    <mergeCell ref="E64:F64"/>
    <mergeCell ref="E65:F65"/>
    <mergeCell ref="E66:F66"/>
    <mergeCell ref="E67:F67"/>
    <mergeCell ref="H69:I69"/>
    <mergeCell ref="E72:F72"/>
    <mergeCell ref="E73:F73"/>
    <mergeCell ref="E74:F74"/>
    <mergeCell ref="E75:F75"/>
    <mergeCell ref="H77:I77"/>
    <mergeCell ref="F80:G80"/>
    <mergeCell ref="E81:F81"/>
    <mergeCell ref="E82:F82"/>
    <mergeCell ref="E83:F83"/>
    <mergeCell ref="E84:F84"/>
    <mergeCell ref="E85:F85"/>
    <mergeCell ref="E86:F86"/>
    <mergeCell ref="E87:F87"/>
    <mergeCell ref="E96:F96"/>
    <mergeCell ref="E102:F102"/>
    <mergeCell ref="E103:F103"/>
    <mergeCell ref="E104:F104"/>
    <mergeCell ref="E101:F101"/>
    <mergeCell ref="H90:I90"/>
    <mergeCell ref="E94:F94"/>
    <mergeCell ref="E95:F95"/>
    <mergeCell ref="E88:F88"/>
    <mergeCell ref="E93:F93"/>
    <mergeCell ref="E97:F97"/>
    <mergeCell ref="E98:F98"/>
    <mergeCell ref="E99:F99"/>
    <mergeCell ref="E100:F100"/>
    <mergeCell ref="E111:F111"/>
    <mergeCell ref="E112:F112"/>
    <mergeCell ref="E113:F113"/>
    <mergeCell ref="E114:F114"/>
    <mergeCell ref="E115:F115"/>
    <mergeCell ref="E105:F105"/>
    <mergeCell ref="E106:F106"/>
    <mergeCell ref="E107:F107"/>
    <mergeCell ref="E108:F108"/>
    <mergeCell ref="E109:F109"/>
    <mergeCell ref="E110:F110"/>
    <mergeCell ref="H149:I149"/>
    <mergeCell ref="E116:F116"/>
    <mergeCell ref="E117:F117"/>
    <mergeCell ref="E130:F130"/>
    <mergeCell ref="H132:I132"/>
    <mergeCell ref="E135:F135"/>
    <mergeCell ref="E136:F136"/>
    <mergeCell ref="E145:F145"/>
    <mergeCell ref="E146:F146"/>
    <mergeCell ref="E147:F147"/>
    <mergeCell ref="E144:F144"/>
    <mergeCell ref="E137:F137"/>
    <mergeCell ref="E138:F138"/>
    <mergeCell ref="E139:F139"/>
    <mergeCell ref="E140:F140"/>
    <mergeCell ref="E141:F141"/>
    <mergeCell ref="E142:F142"/>
    <mergeCell ref="E143:F143"/>
    <mergeCell ref="E118:F118"/>
    <mergeCell ref="H120:I120"/>
    <mergeCell ref="E123:F123"/>
    <mergeCell ref="E124:F124"/>
    <mergeCell ref="E125:F125"/>
    <mergeCell ref="E126:F126"/>
  </mergeCells>
  <pageMargins left="0.511811024" right="0.511811024" top="0.78740157499999996" bottom="0.78740157499999996" header="0.31496062000000002" footer="0.31496062000000002"/>
  <pageSetup paperSize="9" scale="47" orientation="portrait" horizontalDpi="360" verticalDpi="360" r:id="rId1"/>
  <headerFooter>
    <oddHeader>&amp;L&amp;G&amp;R&amp;G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9"/>
  <sheetViews>
    <sheetView view="pageBreakPreview" topLeftCell="A16" zoomScale="60" zoomScaleNormal="90" workbookViewId="0">
      <selection activeCell="K9" sqref="K9"/>
    </sheetView>
  </sheetViews>
  <sheetFormatPr defaultColWidth="9" defaultRowHeight="14.25" x14ac:dyDescent="0.2"/>
  <cols>
    <col min="1" max="2" width="10" style="71" bestFit="1" customWidth="1"/>
    <col min="3" max="3" width="60" style="71" bestFit="1" customWidth="1"/>
    <col min="4" max="4" width="25" style="71" bestFit="1" customWidth="1"/>
    <col min="5" max="5" width="10" style="71" bestFit="1" customWidth="1"/>
    <col min="6" max="16" width="13" style="71" bestFit="1" customWidth="1"/>
    <col min="17" max="17" width="15" style="71" bestFit="1" customWidth="1"/>
    <col min="18" max="16384" width="9" style="71"/>
  </cols>
  <sheetData>
    <row r="1" spans="1:17" x14ac:dyDescent="0.2">
      <c r="A1" s="14" t="str">
        <f>'PO-Sintético'!A1</f>
        <v>EMPREENDEDOR: PREFEITURA MUNICIPAL DE CENTRO DO GUILHERME-MA</v>
      </c>
      <c r="B1" s="14"/>
      <c r="C1" s="14"/>
      <c r="D1" s="14"/>
      <c r="E1" s="14"/>
      <c r="F1" s="14"/>
      <c r="G1" s="14"/>
      <c r="H1" s="14"/>
      <c r="I1" s="14"/>
      <c r="J1" s="14"/>
      <c r="K1" s="14"/>
      <c r="L1" s="14"/>
      <c r="M1" s="14"/>
      <c r="N1" s="14"/>
      <c r="O1" s="14"/>
    </row>
    <row r="2" spans="1:17" x14ac:dyDescent="0.2">
      <c r="A2" s="14" t="str">
        <f>'PO-Sintético'!A2</f>
        <v>OBJETO : ESTRADAS VICINAIS-RECUPERAÇÃO</v>
      </c>
      <c r="B2" s="14"/>
      <c r="C2" s="14"/>
      <c r="D2" s="14"/>
      <c r="E2" s="14"/>
      <c r="F2" s="14"/>
      <c r="G2" s="14"/>
      <c r="H2" s="14"/>
      <c r="I2" s="14"/>
      <c r="J2" s="14"/>
      <c r="K2" s="14"/>
      <c r="L2" s="14"/>
      <c r="M2" s="14"/>
      <c r="N2" s="14"/>
      <c r="O2" s="14"/>
    </row>
    <row r="3" spans="1:17" x14ac:dyDescent="0.2">
      <c r="A3" s="14" t="str">
        <f>'PO-Sintético'!A3</f>
        <v>LOCAL:   ESTRADA VICINAL 45 ASSENTAMENTO - CENTRO DO GUILHERME -MA-2,88 KM</v>
      </c>
      <c r="B3" s="14"/>
      <c r="C3" s="14"/>
      <c r="D3" s="14"/>
      <c r="E3" s="14"/>
      <c r="F3" s="14"/>
      <c r="G3" s="14"/>
      <c r="H3" s="14"/>
      <c r="I3" s="14"/>
      <c r="J3" s="14"/>
      <c r="K3" s="14"/>
      <c r="L3" s="14"/>
      <c r="M3" s="14"/>
      <c r="N3" s="14"/>
      <c r="O3" s="14"/>
    </row>
    <row r="4" spans="1:17" x14ac:dyDescent="0.2">
      <c r="A4" s="14"/>
      <c r="B4" s="14"/>
      <c r="C4" s="14"/>
      <c r="D4" s="14"/>
      <c r="E4" s="14"/>
      <c r="F4" s="14"/>
      <c r="G4" s="14"/>
      <c r="H4" s="14"/>
      <c r="I4" s="14"/>
      <c r="J4" s="14"/>
      <c r="K4" s="14"/>
      <c r="L4" s="14"/>
      <c r="M4" s="14"/>
      <c r="N4" s="14"/>
      <c r="O4" s="14"/>
    </row>
    <row r="5" spans="1:17" ht="15" x14ac:dyDescent="0.2">
      <c r="A5" s="74"/>
      <c r="B5" s="74"/>
      <c r="C5" s="74" t="s">
        <v>0</v>
      </c>
      <c r="D5" s="74" t="s">
        <v>1</v>
      </c>
      <c r="E5" s="279" t="s">
        <v>2</v>
      </c>
      <c r="F5" s="279"/>
      <c r="G5" s="279"/>
      <c r="H5" s="279" t="s">
        <v>3</v>
      </c>
      <c r="I5" s="279"/>
      <c r="J5" s="279"/>
      <c r="K5" s="279"/>
      <c r="L5" s="287"/>
      <c r="M5" s="287"/>
      <c r="N5" s="287"/>
      <c r="O5" s="287"/>
    </row>
    <row r="6" spans="1:17" ht="63.75" x14ac:dyDescent="0.2">
      <c r="A6" s="72"/>
      <c r="B6" s="72"/>
      <c r="C6" s="72" t="s">
        <v>4</v>
      </c>
      <c r="D6" s="72" t="s">
        <v>5</v>
      </c>
      <c r="E6" s="289" t="s">
        <v>6</v>
      </c>
      <c r="F6" s="289"/>
      <c r="G6" s="289"/>
      <c r="H6" s="289" t="s">
        <v>7</v>
      </c>
      <c r="I6" s="289"/>
      <c r="J6" s="289"/>
      <c r="K6" s="289"/>
      <c r="L6" s="287"/>
      <c r="M6" s="287"/>
      <c r="N6" s="287"/>
      <c r="O6" s="287"/>
    </row>
    <row r="7" spans="1:17" ht="15" x14ac:dyDescent="0.25">
      <c r="A7" s="308" t="s">
        <v>284</v>
      </c>
      <c r="B7" s="308"/>
      <c r="C7" s="308"/>
      <c r="D7" s="308"/>
      <c r="E7" s="308"/>
      <c r="F7" s="308"/>
      <c r="G7" s="308"/>
      <c r="H7" s="308"/>
      <c r="I7" s="308"/>
      <c r="J7" s="308"/>
      <c r="K7" s="308"/>
      <c r="L7" s="308"/>
      <c r="M7" s="308"/>
      <c r="N7" s="308"/>
      <c r="O7" s="308"/>
      <c r="P7" s="84"/>
      <c r="Q7" s="84"/>
    </row>
    <row r="8" spans="1:17" ht="20.100000000000001" customHeight="1" x14ac:dyDescent="0.2">
      <c r="A8" s="305" t="s">
        <v>24</v>
      </c>
      <c r="B8" s="283" t="s">
        <v>25</v>
      </c>
      <c r="C8" s="283" t="s">
        <v>10</v>
      </c>
      <c r="D8" s="283" t="s">
        <v>53</v>
      </c>
      <c r="E8" s="306" t="s">
        <v>26</v>
      </c>
      <c r="F8" s="306" t="s">
        <v>124</v>
      </c>
      <c r="G8" s="305"/>
      <c r="H8" s="306" t="s">
        <v>285</v>
      </c>
      <c r="I8" s="305"/>
      <c r="J8" s="306" t="s">
        <v>11</v>
      </c>
      <c r="K8" s="305"/>
      <c r="L8" s="305"/>
      <c r="M8" s="305" t="s">
        <v>286</v>
      </c>
      <c r="N8" s="305" t="s">
        <v>287</v>
      </c>
      <c r="O8" s="305" t="s">
        <v>288</v>
      </c>
      <c r="P8" s="287"/>
      <c r="Q8" s="287"/>
    </row>
    <row r="9" spans="1:17" ht="36" customHeight="1" x14ac:dyDescent="0.2">
      <c r="A9" s="305"/>
      <c r="B9" s="283"/>
      <c r="C9" s="283"/>
      <c r="D9" s="283"/>
      <c r="E9" s="306"/>
      <c r="F9" s="78" t="s">
        <v>125</v>
      </c>
      <c r="G9" s="78" t="s">
        <v>126</v>
      </c>
      <c r="H9" s="78" t="s">
        <v>125</v>
      </c>
      <c r="I9" s="78" t="s">
        <v>126</v>
      </c>
      <c r="J9" s="78" t="s">
        <v>125</v>
      </c>
      <c r="K9" s="78" t="s">
        <v>126</v>
      </c>
      <c r="L9" s="78" t="s">
        <v>289</v>
      </c>
      <c r="M9" s="305"/>
      <c r="N9" s="305"/>
      <c r="O9" s="305"/>
      <c r="P9" s="305"/>
      <c r="Q9" s="305"/>
    </row>
    <row r="10" spans="1:17" ht="24" customHeight="1" x14ac:dyDescent="0.2">
      <c r="A10" s="20" t="s">
        <v>290</v>
      </c>
      <c r="B10" s="75" t="s">
        <v>32</v>
      </c>
      <c r="C10" s="75" t="s">
        <v>1030</v>
      </c>
      <c r="D10" s="75" t="s">
        <v>66</v>
      </c>
      <c r="E10" s="21" t="s">
        <v>154</v>
      </c>
      <c r="F10" s="20" t="s">
        <v>291</v>
      </c>
      <c r="G10" s="20" t="s">
        <v>122</v>
      </c>
      <c r="H10" s="20" t="s">
        <v>292</v>
      </c>
      <c r="I10" s="20" t="s">
        <v>122</v>
      </c>
      <c r="J10" s="20" t="s">
        <v>293</v>
      </c>
      <c r="K10" s="20" t="s">
        <v>122</v>
      </c>
      <c r="L10" s="23">
        <v>33970.32</v>
      </c>
      <c r="M10" s="20" t="s">
        <v>294</v>
      </c>
      <c r="N10" s="23">
        <v>33970.32</v>
      </c>
      <c r="O10" s="20" t="s">
        <v>294</v>
      </c>
    </row>
    <row r="11" spans="1:17" ht="24" customHeight="1" x14ac:dyDescent="0.2">
      <c r="A11" s="20" t="s">
        <v>165</v>
      </c>
      <c r="B11" s="75" t="s">
        <v>32</v>
      </c>
      <c r="C11" s="75" t="s">
        <v>166</v>
      </c>
      <c r="D11" s="75" t="s">
        <v>66</v>
      </c>
      <c r="E11" s="21" t="s">
        <v>154</v>
      </c>
      <c r="F11" s="20" t="s">
        <v>291</v>
      </c>
      <c r="G11" s="20" t="s">
        <v>122</v>
      </c>
      <c r="H11" s="20" t="s">
        <v>292</v>
      </c>
      <c r="I11" s="20" t="s">
        <v>122</v>
      </c>
      <c r="J11" s="20" t="s">
        <v>293</v>
      </c>
      <c r="K11" s="20" t="s">
        <v>122</v>
      </c>
      <c r="L11" s="23">
        <v>33970.32</v>
      </c>
      <c r="M11" s="20" t="s">
        <v>294</v>
      </c>
      <c r="N11" s="23">
        <v>67940.639999999999</v>
      </c>
      <c r="O11" s="20" t="s">
        <v>295</v>
      </c>
    </row>
    <row r="12" spans="1:17" ht="24" customHeight="1" x14ac:dyDescent="0.2">
      <c r="A12" s="20" t="s">
        <v>296</v>
      </c>
      <c r="B12" s="75" t="s">
        <v>45</v>
      </c>
      <c r="C12" s="75" t="s">
        <v>136</v>
      </c>
      <c r="D12" s="75" t="s">
        <v>66</v>
      </c>
      <c r="E12" s="21" t="s">
        <v>34</v>
      </c>
      <c r="F12" s="20" t="s">
        <v>297</v>
      </c>
      <c r="G12" s="20" t="s">
        <v>122</v>
      </c>
      <c r="H12" s="20" t="s">
        <v>298</v>
      </c>
      <c r="I12" s="20" t="s">
        <v>122</v>
      </c>
      <c r="J12" s="20" t="s">
        <v>299</v>
      </c>
      <c r="K12" s="20" t="s">
        <v>122</v>
      </c>
      <c r="L12" s="23">
        <v>4261.4639999999999</v>
      </c>
      <c r="M12" s="20" t="s">
        <v>300</v>
      </c>
      <c r="N12" s="23">
        <v>72202.104000000007</v>
      </c>
      <c r="O12" s="20" t="s">
        <v>301</v>
      </c>
    </row>
    <row r="13" spans="1:17" ht="24" customHeight="1" x14ac:dyDescent="0.2">
      <c r="A13" s="20" t="s">
        <v>302</v>
      </c>
      <c r="B13" s="75" t="s">
        <v>72</v>
      </c>
      <c r="C13" s="75" t="s">
        <v>303</v>
      </c>
      <c r="D13" s="75" t="s">
        <v>74</v>
      </c>
      <c r="E13" s="21" t="s">
        <v>75</v>
      </c>
      <c r="F13" s="20" t="s">
        <v>304</v>
      </c>
      <c r="G13" s="20" t="s">
        <v>122</v>
      </c>
      <c r="H13" s="20" t="s">
        <v>305</v>
      </c>
      <c r="I13" s="20" t="s">
        <v>122</v>
      </c>
      <c r="J13" s="20" t="s">
        <v>306</v>
      </c>
      <c r="K13" s="20" t="s">
        <v>122</v>
      </c>
      <c r="L13" s="23">
        <v>3928.2177000000001</v>
      </c>
      <c r="M13" s="20" t="s">
        <v>307</v>
      </c>
      <c r="N13" s="23">
        <v>76130.3217</v>
      </c>
      <c r="O13" s="20" t="s">
        <v>308</v>
      </c>
    </row>
    <row r="14" spans="1:17" ht="24" customHeight="1" x14ac:dyDescent="0.2">
      <c r="A14" s="24" t="s">
        <v>309</v>
      </c>
      <c r="B14" s="77" t="s">
        <v>45</v>
      </c>
      <c r="C14" s="77" t="s">
        <v>135</v>
      </c>
      <c r="D14" s="77" t="s">
        <v>66</v>
      </c>
      <c r="E14" s="25" t="s">
        <v>43</v>
      </c>
      <c r="F14" s="24" t="s">
        <v>310</v>
      </c>
      <c r="G14" s="24" t="s">
        <v>122</v>
      </c>
      <c r="H14" s="24" t="s">
        <v>311</v>
      </c>
      <c r="I14" s="24" t="s">
        <v>122</v>
      </c>
      <c r="J14" s="24" t="s">
        <v>312</v>
      </c>
      <c r="K14" s="24" t="s">
        <v>122</v>
      </c>
      <c r="L14" s="27">
        <v>3154.0085220000005</v>
      </c>
      <c r="M14" s="24" t="s">
        <v>313</v>
      </c>
      <c r="N14" s="27">
        <v>79284.330222000004</v>
      </c>
      <c r="O14" s="24" t="s">
        <v>314</v>
      </c>
    </row>
    <row r="15" spans="1:17" ht="24" customHeight="1" x14ac:dyDescent="0.2">
      <c r="A15" s="24" t="s">
        <v>315</v>
      </c>
      <c r="B15" s="77" t="s">
        <v>72</v>
      </c>
      <c r="C15" s="77" t="s">
        <v>316</v>
      </c>
      <c r="D15" s="77" t="s">
        <v>66</v>
      </c>
      <c r="E15" s="25" t="s">
        <v>183</v>
      </c>
      <c r="F15" s="24" t="s">
        <v>317</v>
      </c>
      <c r="G15" s="24" t="s">
        <v>122</v>
      </c>
      <c r="H15" s="24" t="s">
        <v>318</v>
      </c>
      <c r="I15" s="24" t="s">
        <v>122</v>
      </c>
      <c r="J15" s="24" t="s">
        <v>319</v>
      </c>
      <c r="K15" s="24" t="s">
        <v>122</v>
      </c>
      <c r="L15" s="27">
        <v>3106.24</v>
      </c>
      <c r="M15" s="24" t="s">
        <v>320</v>
      </c>
      <c r="N15" s="27">
        <v>82390.570221999995</v>
      </c>
      <c r="O15" s="24" t="s">
        <v>321</v>
      </c>
    </row>
    <row r="16" spans="1:17" ht="36" customHeight="1" x14ac:dyDescent="0.2">
      <c r="A16" s="24" t="s">
        <v>160</v>
      </c>
      <c r="B16" s="77" t="s">
        <v>72</v>
      </c>
      <c r="C16" s="77" t="s">
        <v>161</v>
      </c>
      <c r="D16" s="77" t="s">
        <v>66</v>
      </c>
      <c r="E16" s="25" t="s">
        <v>39</v>
      </c>
      <c r="F16" s="24" t="s">
        <v>322</v>
      </c>
      <c r="G16" s="24" t="s">
        <v>122</v>
      </c>
      <c r="H16" s="24" t="s">
        <v>323</v>
      </c>
      <c r="I16" s="24" t="s">
        <v>122</v>
      </c>
      <c r="J16" s="24" t="s">
        <v>324</v>
      </c>
      <c r="K16" s="24" t="s">
        <v>122</v>
      </c>
      <c r="L16" s="27">
        <v>2741</v>
      </c>
      <c r="M16" s="24" t="s">
        <v>325</v>
      </c>
      <c r="N16" s="27">
        <v>85131.570221999995</v>
      </c>
      <c r="O16" s="24" t="s">
        <v>326</v>
      </c>
    </row>
    <row r="17" spans="1:15" ht="24" customHeight="1" x14ac:dyDescent="0.2">
      <c r="A17" s="24" t="s">
        <v>67</v>
      </c>
      <c r="B17" s="77" t="s">
        <v>32</v>
      </c>
      <c r="C17" s="77" t="s">
        <v>68</v>
      </c>
      <c r="D17" s="77" t="s">
        <v>66</v>
      </c>
      <c r="E17" s="25" t="s">
        <v>34</v>
      </c>
      <c r="F17" s="24" t="s">
        <v>327</v>
      </c>
      <c r="G17" s="24" t="s">
        <v>122</v>
      </c>
      <c r="H17" s="24" t="s">
        <v>328</v>
      </c>
      <c r="I17" s="24" t="s">
        <v>122</v>
      </c>
      <c r="J17" s="24" t="s">
        <v>329</v>
      </c>
      <c r="K17" s="24" t="s">
        <v>122</v>
      </c>
      <c r="L17" s="27">
        <v>1917.18</v>
      </c>
      <c r="M17" s="24" t="s">
        <v>330</v>
      </c>
      <c r="N17" s="27">
        <v>87048.750222000002</v>
      </c>
      <c r="O17" s="24" t="s">
        <v>331</v>
      </c>
    </row>
    <row r="18" spans="1:15" ht="48" customHeight="1" x14ac:dyDescent="0.2">
      <c r="A18" s="24" t="s">
        <v>332</v>
      </c>
      <c r="B18" s="77" t="s">
        <v>72</v>
      </c>
      <c r="C18" s="77" t="s">
        <v>333</v>
      </c>
      <c r="D18" s="77" t="s">
        <v>164</v>
      </c>
      <c r="E18" s="25" t="s">
        <v>39</v>
      </c>
      <c r="F18" s="24" t="s">
        <v>334</v>
      </c>
      <c r="G18" s="24" t="s">
        <v>122</v>
      </c>
      <c r="H18" s="24" t="s">
        <v>335</v>
      </c>
      <c r="I18" s="24" t="s">
        <v>122</v>
      </c>
      <c r="J18" s="24" t="s">
        <v>336</v>
      </c>
      <c r="K18" s="24" t="s">
        <v>122</v>
      </c>
      <c r="L18" s="27">
        <v>1305.0916606560002</v>
      </c>
      <c r="M18" s="24" t="s">
        <v>337</v>
      </c>
      <c r="N18" s="27">
        <v>88353.841882699999</v>
      </c>
      <c r="O18" s="24" t="s">
        <v>338</v>
      </c>
    </row>
    <row r="19" spans="1:15" ht="24" customHeight="1" x14ac:dyDescent="0.2">
      <c r="A19" s="24" t="s">
        <v>79</v>
      </c>
      <c r="B19" s="77" t="s">
        <v>72</v>
      </c>
      <c r="C19" s="77" t="s">
        <v>80</v>
      </c>
      <c r="D19" s="77" t="s">
        <v>74</v>
      </c>
      <c r="E19" s="25" t="s">
        <v>75</v>
      </c>
      <c r="F19" s="24" t="s">
        <v>339</v>
      </c>
      <c r="G19" s="24" t="s">
        <v>122</v>
      </c>
      <c r="H19" s="24" t="s">
        <v>340</v>
      </c>
      <c r="I19" s="24" t="s">
        <v>122</v>
      </c>
      <c r="J19" s="24" t="s">
        <v>341</v>
      </c>
      <c r="K19" s="24" t="s">
        <v>122</v>
      </c>
      <c r="L19" s="27">
        <v>619.45076188799999</v>
      </c>
      <c r="M19" s="24" t="s">
        <v>342</v>
      </c>
      <c r="N19" s="27">
        <v>88973.292644600006</v>
      </c>
      <c r="O19" s="24" t="s">
        <v>343</v>
      </c>
    </row>
    <row r="20" spans="1:15" ht="24" customHeight="1" x14ac:dyDescent="0.2">
      <c r="A20" s="24" t="s">
        <v>344</v>
      </c>
      <c r="B20" s="77" t="s">
        <v>45</v>
      </c>
      <c r="C20" s="77" t="s">
        <v>142</v>
      </c>
      <c r="D20" s="77" t="s">
        <v>66</v>
      </c>
      <c r="E20" s="25" t="s">
        <v>43</v>
      </c>
      <c r="F20" s="24" t="s">
        <v>345</v>
      </c>
      <c r="G20" s="24" t="s">
        <v>122</v>
      </c>
      <c r="H20" s="24" t="s">
        <v>346</v>
      </c>
      <c r="I20" s="24" t="s">
        <v>122</v>
      </c>
      <c r="J20" s="24" t="s">
        <v>347</v>
      </c>
      <c r="K20" s="24" t="s">
        <v>122</v>
      </c>
      <c r="L20" s="27">
        <v>605.48400000000004</v>
      </c>
      <c r="M20" s="24" t="s">
        <v>348</v>
      </c>
      <c r="N20" s="27">
        <v>89578.776644600002</v>
      </c>
      <c r="O20" s="24" t="s">
        <v>349</v>
      </c>
    </row>
    <row r="21" spans="1:15" ht="36" customHeight="1" x14ac:dyDescent="0.2">
      <c r="A21" s="24" t="s">
        <v>350</v>
      </c>
      <c r="B21" s="77" t="s">
        <v>72</v>
      </c>
      <c r="C21" s="77" t="s">
        <v>351</v>
      </c>
      <c r="D21" s="77" t="s">
        <v>66</v>
      </c>
      <c r="E21" s="25" t="s">
        <v>39</v>
      </c>
      <c r="F21" s="24" t="s">
        <v>334</v>
      </c>
      <c r="G21" s="24" t="s">
        <v>122</v>
      </c>
      <c r="H21" s="24" t="s">
        <v>352</v>
      </c>
      <c r="I21" s="24" t="s">
        <v>122</v>
      </c>
      <c r="J21" s="24" t="s">
        <v>353</v>
      </c>
      <c r="K21" s="24" t="s">
        <v>122</v>
      </c>
      <c r="L21" s="27">
        <v>586.10957507199998</v>
      </c>
      <c r="M21" s="24" t="s">
        <v>354</v>
      </c>
      <c r="N21" s="27">
        <v>90164.886219699998</v>
      </c>
      <c r="O21" s="24" t="s">
        <v>355</v>
      </c>
    </row>
    <row r="22" spans="1:15" ht="24" customHeight="1" x14ac:dyDescent="0.2">
      <c r="A22" s="24" t="s">
        <v>71</v>
      </c>
      <c r="B22" s="77" t="s">
        <v>72</v>
      </c>
      <c r="C22" s="77" t="s">
        <v>73</v>
      </c>
      <c r="D22" s="77" t="s">
        <v>74</v>
      </c>
      <c r="E22" s="25" t="s">
        <v>75</v>
      </c>
      <c r="F22" s="24" t="s">
        <v>356</v>
      </c>
      <c r="G22" s="24" t="s">
        <v>122</v>
      </c>
      <c r="H22" s="24" t="s">
        <v>357</v>
      </c>
      <c r="I22" s="24" t="s">
        <v>122</v>
      </c>
      <c r="J22" s="24" t="s">
        <v>358</v>
      </c>
      <c r="K22" s="24" t="s">
        <v>122</v>
      </c>
      <c r="L22" s="27">
        <v>551.16803170399999</v>
      </c>
      <c r="M22" s="24" t="s">
        <v>359</v>
      </c>
      <c r="N22" s="27">
        <v>90716.054251399997</v>
      </c>
      <c r="O22" s="24" t="s">
        <v>360</v>
      </c>
    </row>
    <row r="23" spans="1:15" ht="24" customHeight="1" x14ac:dyDescent="0.2">
      <c r="A23" s="24" t="s">
        <v>361</v>
      </c>
      <c r="B23" s="77" t="s">
        <v>72</v>
      </c>
      <c r="C23" s="77" t="s">
        <v>362</v>
      </c>
      <c r="D23" s="77" t="s">
        <v>74</v>
      </c>
      <c r="E23" s="25" t="s">
        <v>75</v>
      </c>
      <c r="F23" s="24" t="s">
        <v>363</v>
      </c>
      <c r="G23" s="24" t="s">
        <v>122</v>
      </c>
      <c r="H23" s="24" t="s">
        <v>364</v>
      </c>
      <c r="I23" s="24" t="s">
        <v>122</v>
      </c>
      <c r="J23" s="24" t="s">
        <v>365</v>
      </c>
      <c r="K23" s="24" t="s">
        <v>122</v>
      </c>
      <c r="L23" s="27">
        <v>525.08352000000002</v>
      </c>
      <c r="M23" s="24" t="s">
        <v>366</v>
      </c>
      <c r="N23" s="27">
        <v>91241.137771399997</v>
      </c>
      <c r="O23" s="24" t="s">
        <v>367</v>
      </c>
    </row>
    <row r="24" spans="1:15" ht="24" customHeight="1" x14ac:dyDescent="0.2">
      <c r="A24" s="24" t="s">
        <v>368</v>
      </c>
      <c r="B24" s="77" t="s">
        <v>45</v>
      </c>
      <c r="C24" s="77" t="s">
        <v>369</v>
      </c>
      <c r="D24" s="77" t="s">
        <v>66</v>
      </c>
      <c r="E24" s="25" t="s">
        <v>34</v>
      </c>
      <c r="F24" s="24" t="s">
        <v>370</v>
      </c>
      <c r="G24" s="24" t="s">
        <v>122</v>
      </c>
      <c r="H24" s="24" t="s">
        <v>371</v>
      </c>
      <c r="I24" s="24" t="s">
        <v>122</v>
      </c>
      <c r="J24" s="24" t="s">
        <v>372</v>
      </c>
      <c r="K24" s="24" t="s">
        <v>122</v>
      </c>
      <c r="L24" s="27">
        <v>518.09028479999995</v>
      </c>
      <c r="M24" s="24" t="s">
        <v>373</v>
      </c>
      <c r="N24" s="27">
        <v>91759.228056199994</v>
      </c>
      <c r="O24" s="24" t="s">
        <v>374</v>
      </c>
    </row>
    <row r="25" spans="1:15" ht="48" customHeight="1" x14ac:dyDescent="0.2">
      <c r="A25" s="24" t="s">
        <v>375</v>
      </c>
      <c r="B25" s="77" t="s">
        <v>72</v>
      </c>
      <c r="C25" s="77" t="s">
        <v>376</v>
      </c>
      <c r="D25" s="77" t="s">
        <v>164</v>
      </c>
      <c r="E25" s="25" t="s">
        <v>39</v>
      </c>
      <c r="F25" s="24" t="s">
        <v>377</v>
      </c>
      <c r="G25" s="24" t="s">
        <v>122</v>
      </c>
      <c r="H25" s="24" t="s">
        <v>378</v>
      </c>
      <c r="I25" s="24" t="s">
        <v>122</v>
      </c>
      <c r="J25" s="24" t="s">
        <v>379</v>
      </c>
      <c r="K25" s="24" t="s">
        <v>122</v>
      </c>
      <c r="L25" s="27">
        <v>506.60576454400001</v>
      </c>
      <c r="M25" s="24" t="s">
        <v>380</v>
      </c>
      <c r="N25" s="27">
        <v>92265.833820700005</v>
      </c>
      <c r="O25" s="24" t="s">
        <v>381</v>
      </c>
    </row>
    <row r="26" spans="1:15" ht="24" customHeight="1" x14ac:dyDescent="0.2">
      <c r="A26" s="80" t="s">
        <v>382</v>
      </c>
      <c r="B26" s="81" t="s">
        <v>72</v>
      </c>
      <c r="C26" s="81" t="s">
        <v>383</v>
      </c>
      <c r="D26" s="81" t="s">
        <v>74</v>
      </c>
      <c r="E26" s="82" t="s">
        <v>75</v>
      </c>
      <c r="F26" s="80" t="s">
        <v>363</v>
      </c>
      <c r="G26" s="80" t="s">
        <v>122</v>
      </c>
      <c r="H26" s="80" t="s">
        <v>384</v>
      </c>
      <c r="I26" s="80" t="s">
        <v>122</v>
      </c>
      <c r="J26" s="80" t="s">
        <v>385</v>
      </c>
      <c r="K26" s="80" t="s">
        <v>122</v>
      </c>
      <c r="L26" s="83">
        <v>495.45724799999999</v>
      </c>
      <c r="M26" s="80" t="s">
        <v>386</v>
      </c>
      <c r="N26" s="83">
        <v>92761.291068699997</v>
      </c>
      <c r="O26" s="80" t="s">
        <v>387</v>
      </c>
    </row>
    <row r="27" spans="1:15" ht="48" customHeight="1" x14ac:dyDescent="0.2">
      <c r="A27" s="80" t="s">
        <v>388</v>
      </c>
      <c r="B27" s="81" t="s">
        <v>72</v>
      </c>
      <c r="C27" s="81" t="s">
        <v>389</v>
      </c>
      <c r="D27" s="81" t="s">
        <v>164</v>
      </c>
      <c r="E27" s="82" t="s">
        <v>39</v>
      </c>
      <c r="F27" s="80" t="s">
        <v>390</v>
      </c>
      <c r="G27" s="80" t="s">
        <v>122</v>
      </c>
      <c r="H27" s="80" t="s">
        <v>391</v>
      </c>
      <c r="I27" s="80" t="s">
        <v>122</v>
      </c>
      <c r="J27" s="80" t="s">
        <v>392</v>
      </c>
      <c r="K27" s="80" t="s">
        <v>122</v>
      </c>
      <c r="L27" s="83">
        <v>388.49536387199998</v>
      </c>
      <c r="M27" s="80" t="s">
        <v>393</v>
      </c>
      <c r="N27" s="83">
        <v>93149.786432599998</v>
      </c>
      <c r="O27" s="80" t="s">
        <v>394</v>
      </c>
    </row>
    <row r="28" spans="1:15" ht="36" customHeight="1" x14ac:dyDescent="0.2">
      <c r="A28" s="80" t="s">
        <v>395</v>
      </c>
      <c r="B28" s="81" t="s">
        <v>72</v>
      </c>
      <c r="C28" s="81" t="s">
        <v>396</v>
      </c>
      <c r="D28" s="81" t="s">
        <v>164</v>
      </c>
      <c r="E28" s="82" t="s">
        <v>39</v>
      </c>
      <c r="F28" s="80" t="s">
        <v>397</v>
      </c>
      <c r="G28" s="80" t="s">
        <v>122</v>
      </c>
      <c r="H28" s="80" t="s">
        <v>398</v>
      </c>
      <c r="I28" s="80" t="s">
        <v>122</v>
      </c>
      <c r="J28" s="80" t="s">
        <v>399</v>
      </c>
      <c r="K28" s="80" t="s">
        <v>122</v>
      </c>
      <c r="L28" s="83">
        <v>383.798817536</v>
      </c>
      <c r="M28" s="80" t="s">
        <v>400</v>
      </c>
      <c r="N28" s="83">
        <v>93533.585250100004</v>
      </c>
      <c r="O28" s="80" t="s">
        <v>401</v>
      </c>
    </row>
    <row r="29" spans="1:15" ht="36" customHeight="1" x14ac:dyDescent="0.2">
      <c r="A29" s="80" t="s">
        <v>402</v>
      </c>
      <c r="B29" s="81" t="s">
        <v>72</v>
      </c>
      <c r="C29" s="81" t="s">
        <v>403</v>
      </c>
      <c r="D29" s="81" t="s">
        <v>164</v>
      </c>
      <c r="E29" s="82" t="s">
        <v>39</v>
      </c>
      <c r="F29" s="80" t="s">
        <v>404</v>
      </c>
      <c r="G29" s="80" t="s">
        <v>122</v>
      </c>
      <c r="H29" s="80" t="s">
        <v>405</v>
      </c>
      <c r="I29" s="80" t="s">
        <v>122</v>
      </c>
      <c r="J29" s="80" t="s">
        <v>406</v>
      </c>
      <c r="K29" s="80" t="s">
        <v>122</v>
      </c>
      <c r="L29" s="83">
        <v>353.96605440000002</v>
      </c>
      <c r="M29" s="80" t="s">
        <v>407</v>
      </c>
      <c r="N29" s="83">
        <v>93887.551304499997</v>
      </c>
      <c r="O29" s="80" t="s">
        <v>408</v>
      </c>
    </row>
    <row r="30" spans="1:15" ht="24" customHeight="1" x14ac:dyDescent="0.2">
      <c r="A30" s="80" t="s">
        <v>64</v>
      </c>
      <c r="B30" s="81" t="s">
        <v>32</v>
      </c>
      <c r="C30" s="81" t="s">
        <v>65</v>
      </c>
      <c r="D30" s="81" t="s">
        <v>66</v>
      </c>
      <c r="E30" s="82" t="s">
        <v>43</v>
      </c>
      <c r="F30" s="80" t="s">
        <v>409</v>
      </c>
      <c r="G30" s="80" t="s">
        <v>122</v>
      </c>
      <c r="H30" s="80" t="s">
        <v>410</v>
      </c>
      <c r="I30" s="80" t="s">
        <v>122</v>
      </c>
      <c r="J30" s="80" t="s">
        <v>411</v>
      </c>
      <c r="K30" s="80" t="s">
        <v>122</v>
      </c>
      <c r="L30" s="83">
        <v>310.04272800000001</v>
      </c>
      <c r="M30" s="80" t="s">
        <v>412</v>
      </c>
      <c r="N30" s="83">
        <v>94197.594032499997</v>
      </c>
      <c r="O30" s="80" t="s">
        <v>413</v>
      </c>
    </row>
    <row r="31" spans="1:15" ht="24" customHeight="1" x14ac:dyDescent="0.2">
      <c r="A31" s="80" t="s">
        <v>414</v>
      </c>
      <c r="B31" s="81" t="s">
        <v>72</v>
      </c>
      <c r="C31" s="81" t="s">
        <v>415</v>
      </c>
      <c r="D31" s="81" t="s">
        <v>74</v>
      </c>
      <c r="E31" s="82" t="s">
        <v>75</v>
      </c>
      <c r="F31" s="80" t="s">
        <v>416</v>
      </c>
      <c r="G31" s="80" t="s">
        <v>122</v>
      </c>
      <c r="H31" s="80" t="s">
        <v>417</v>
      </c>
      <c r="I31" s="80" t="s">
        <v>122</v>
      </c>
      <c r="J31" s="80" t="s">
        <v>418</v>
      </c>
      <c r="K31" s="80" t="s">
        <v>122</v>
      </c>
      <c r="L31" s="83">
        <v>242.864496</v>
      </c>
      <c r="M31" s="80" t="s">
        <v>419</v>
      </c>
      <c r="N31" s="83">
        <v>94440.458528500007</v>
      </c>
      <c r="O31" s="80" t="s">
        <v>420</v>
      </c>
    </row>
    <row r="32" spans="1:15" ht="24" customHeight="1" x14ac:dyDescent="0.2">
      <c r="A32" s="80" t="s">
        <v>421</v>
      </c>
      <c r="B32" s="81" t="s">
        <v>72</v>
      </c>
      <c r="C32" s="81" t="s">
        <v>422</v>
      </c>
      <c r="D32" s="81" t="s">
        <v>66</v>
      </c>
      <c r="E32" s="82" t="s">
        <v>78</v>
      </c>
      <c r="F32" s="80" t="s">
        <v>423</v>
      </c>
      <c r="G32" s="80" t="s">
        <v>122</v>
      </c>
      <c r="H32" s="80" t="s">
        <v>424</v>
      </c>
      <c r="I32" s="80" t="s">
        <v>122</v>
      </c>
      <c r="J32" s="80" t="s">
        <v>425</v>
      </c>
      <c r="K32" s="80" t="s">
        <v>122</v>
      </c>
      <c r="L32" s="83">
        <v>193.77841839999999</v>
      </c>
      <c r="M32" s="80" t="s">
        <v>426</v>
      </c>
      <c r="N32" s="83">
        <v>94634.236946899997</v>
      </c>
      <c r="O32" s="80" t="s">
        <v>427</v>
      </c>
    </row>
    <row r="33" spans="1:15" ht="24" customHeight="1" x14ac:dyDescent="0.2">
      <c r="A33" s="80" t="s">
        <v>428</v>
      </c>
      <c r="B33" s="81" t="s">
        <v>72</v>
      </c>
      <c r="C33" s="81" t="s">
        <v>429</v>
      </c>
      <c r="D33" s="81" t="s">
        <v>164</v>
      </c>
      <c r="E33" s="82" t="s">
        <v>39</v>
      </c>
      <c r="F33" s="80" t="s">
        <v>430</v>
      </c>
      <c r="G33" s="80" t="s">
        <v>122</v>
      </c>
      <c r="H33" s="80" t="s">
        <v>431</v>
      </c>
      <c r="I33" s="80" t="s">
        <v>122</v>
      </c>
      <c r="J33" s="80" t="s">
        <v>432</v>
      </c>
      <c r="K33" s="80" t="s">
        <v>122</v>
      </c>
      <c r="L33" s="83">
        <v>174.50588127200001</v>
      </c>
      <c r="M33" s="80" t="s">
        <v>433</v>
      </c>
      <c r="N33" s="83">
        <v>94808.742828200004</v>
      </c>
      <c r="O33" s="80" t="s">
        <v>434</v>
      </c>
    </row>
    <row r="34" spans="1:15" ht="24" customHeight="1" x14ac:dyDescent="0.2">
      <c r="A34" s="80" t="s">
        <v>435</v>
      </c>
      <c r="B34" s="81" t="s">
        <v>72</v>
      </c>
      <c r="C34" s="81" t="s">
        <v>436</v>
      </c>
      <c r="D34" s="81" t="s">
        <v>74</v>
      </c>
      <c r="E34" s="82" t="s">
        <v>75</v>
      </c>
      <c r="F34" s="80" t="s">
        <v>416</v>
      </c>
      <c r="G34" s="80" t="s">
        <v>122</v>
      </c>
      <c r="H34" s="80" t="s">
        <v>437</v>
      </c>
      <c r="I34" s="80" t="s">
        <v>122</v>
      </c>
      <c r="J34" s="80" t="s">
        <v>438</v>
      </c>
      <c r="K34" s="80" t="s">
        <v>122</v>
      </c>
      <c r="L34" s="83">
        <v>172.77338399999999</v>
      </c>
      <c r="M34" s="80" t="s">
        <v>433</v>
      </c>
      <c r="N34" s="83">
        <v>94981.516212200004</v>
      </c>
      <c r="O34" s="80" t="s">
        <v>439</v>
      </c>
    </row>
    <row r="35" spans="1:15" ht="24" customHeight="1" x14ac:dyDescent="0.2">
      <c r="A35" s="80" t="s">
        <v>440</v>
      </c>
      <c r="B35" s="81" t="s">
        <v>72</v>
      </c>
      <c r="C35" s="81" t="s">
        <v>441</v>
      </c>
      <c r="D35" s="81" t="s">
        <v>74</v>
      </c>
      <c r="E35" s="82" t="s">
        <v>75</v>
      </c>
      <c r="F35" s="80" t="s">
        <v>442</v>
      </c>
      <c r="G35" s="80" t="s">
        <v>122</v>
      </c>
      <c r="H35" s="80" t="s">
        <v>443</v>
      </c>
      <c r="I35" s="80" t="s">
        <v>122</v>
      </c>
      <c r="J35" s="80" t="s">
        <v>444</v>
      </c>
      <c r="K35" s="80" t="s">
        <v>122</v>
      </c>
      <c r="L35" s="83">
        <v>171.47465600000001</v>
      </c>
      <c r="M35" s="80" t="s">
        <v>433</v>
      </c>
      <c r="N35" s="83">
        <v>95152.990868199995</v>
      </c>
      <c r="O35" s="80" t="s">
        <v>445</v>
      </c>
    </row>
    <row r="36" spans="1:15" ht="24" customHeight="1" x14ac:dyDescent="0.2">
      <c r="A36" s="80" t="s">
        <v>446</v>
      </c>
      <c r="B36" s="81" t="s">
        <v>45</v>
      </c>
      <c r="C36" s="81" t="s">
        <v>131</v>
      </c>
      <c r="D36" s="81" t="s">
        <v>74</v>
      </c>
      <c r="E36" s="82" t="s">
        <v>60</v>
      </c>
      <c r="F36" s="80" t="s">
        <v>447</v>
      </c>
      <c r="G36" s="80" t="s">
        <v>122</v>
      </c>
      <c r="H36" s="80" t="s">
        <v>448</v>
      </c>
      <c r="I36" s="80" t="s">
        <v>122</v>
      </c>
      <c r="J36" s="80" t="s">
        <v>449</v>
      </c>
      <c r="K36" s="80" t="s">
        <v>122</v>
      </c>
      <c r="L36" s="83">
        <v>158.75</v>
      </c>
      <c r="M36" s="80" t="s">
        <v>450</v>
      </c>
      <c r="N36" s="83">
        <v>95311.740868199995</v>
      </c>
      <c r="O36" s="80" t="s">
        <v>451</v>
      </c>
    </row>
    <row r="37" spans="1:15" ht="24" customHeight="1" x14ac:dyDescent="0.2">
      <c r="A37" s="80" t="s">
        <v>452</v>
      </c>
      <c r="B37" s="81" t="s">
        <v>45</v>
      </c>
      <c r="C37" s="81" t="s">
        <v>133</v>
      </c>
      <c r="D37" s="81" t="s">
        <v>74</v>
      </c>
      <c r="E37" s="82" t="s">
        <v>60</v>
      </c>
      <c r="F37" s="80" t="s">
        <v>453</v>
      </c>
      <c r="G37" s="80" t="s">
        <v>122</v>
      </c>
      <c r="H37" s="80" t="s">
        <v>454</v>
      </c>
      <c r="I37" s="80" t="s">
        <v>122</v>
      </c>
      <c r="J37" s="80" t="s">
        <v>455</v>
      </c>
      <c r="K37" s="80" t="s">
        <v>122</v>
      </c>
      <c r="L37" s="83">
        <v>156.84189361</v>
      </c>
      <c r="M37" s="80" t="s">
        <v>450</v>
      </c>
      <c r="N37" s="83">
        <v>95468.582761800004</v>
      </c>
      <c r="O37" s="80" t="s">
        <v>456</v>
      </c>
    </row>
    <row r="38" spans="1:15" ht="24" customHeight="1" x14ac:dyDescent="0.2">
      <c r="A38" s="80" t="s">
        <v>457</v>
      </c>
      <c r="B38" s="81" t="s">
        <v>45</v>
      </c>
      <c r="C38" s="81" t="s">
        <v>132</v>
      </c>
      <c r="D38" s="81" t="s">
        <v>74</v>
      </c>
      <c r="E38" s="82" t="s">
        <v>60</v>
      </c>
      <c r="F38" s="80" t="s">
        <v>458</v>
      </c>
      <c r="G38" s="80" t="s">
        <v>122</v>
      </c>
      <c r="H38" s="80" t="s">
        <v>459</v>
      </c>
      <c r="I38" s="80" t="s">
        <v>122</v>
      </c>
      <c r="J38" s="80" t="s">
        <v>460</v>
      </c>
      <c r="K38" s="80" t="s">
        <v>122</v>
      </c>
      <c r="L38" s="83">
        <v>154.70852384</v>
      </c>
      <c r="M38" s="80" t="s">
        <v>450</v>
      </c>
      <c r="N38" s="83">
        <v>95623.291285600004</v>
      </c>
      <c r="O38" s="80" t="s">
        <v>461</v>
      </c>
    </row>
    <row r="39" spans="1:15" ht="24" customHeight="1" x14ac:dyDescent="0.2">
      <c r="A39" s="80" t="s">
        <v>462</v>
      </c>
      <c r="B39" s="81" t="s">
        <v>45</v>
      </c>
      <c r="C39" s="81" t="s">
        <v>463</v>
      </c>
      <c r="D39" s="81" t="s">
        <v>66</v>
      </c>
      <c r="E39" s="82" t="s">
        <v>138</v>
      </c>
      <c r="F39" s="80" t="s">
        <v>464</v>
      </c>
      <c r="G39" s="80" t="s">
        <v>122</v>
      </c>
      <c r="H39" s="80" t="s">
        <v>465</v>
      </c>
      <c r="I39" s="80" t="s">
        <v>122</v>
      </c>
      <c r="J39" s="80" t="s">
        <v>466</v>
      </c>
      <c r="K39" s="80" t="s">
        <v>122</v>
      </c>
      <c r="L39" s="83">
        <v>150.34883787000001</v>
      </c>
      <c r="M39" s="80" t="s">
        <v>467</v>
      </c>
      <c r="N39" s="83">
        <v>95773.640123499994</v>
      </c>
      <c r="O39" s="80" t="s">
        <v>468</v>
      </c>
    </row>
    <row r="40" spans="1:15" ht="24" customHeight="1" x14ac:dyDescent="0.2">
      <c r="A40" s="80" t="s">
        <v>469</v>
      </c>
      <c r="B40" s="81" t="s">
        <v>72</v>
      </c>
      <c r="C40" s="81" t="s">
        <v>470</v>
      </c>
      <c r="D40" s="81" t="s">
        <v>74</v>
      </c>
      <c r="E40" s="82" t="s">
        <v>75</v>
      </c>
      <c r="F40" s="80" t="s">
        <v>471</v>
      </c>
      <c r="G40" s="80" t="s">
        <v>122</v>
      </c>
      <c r="H40" s="80" t="s">
        <v>357</v>
      </c>
      <c r="I40" s="80" t="s">
        <v>122</v>
      </c>
      <c r="J40" s="80" t="s">
        <v>472</v>
      </c>
      <c r="K40" s="80" t="s">
        <v>122</v>
      </c>
      <c r="L40" s="83">
        <v>128.415459336</v>
      </c>
      <c r="M40" s="80" t="s">
        <v>473</v>
      </c>
      <c r="N40" s="83">
        <v>95902.055582800007</v>
      </c>
      <c r="O40" s="80" t="s">
        <v>474</v>
      </c>
    </row>
    <row r="41" spans="1:15" ht="24" customHeight="1" x14ac:dyDescent="0.2">
      <c r="A41" s="80" t="s">
        <v>475</v>
      </c>
      <c r="B41" s="81" t="s">
        <v>45</v>
      </c>
      <c r="C41" s="81" t="s">
        <v>143</v>
      </c>
      <c r="D41" s="81" t="s">
        <v>66</v>
      </c>
      <c r="E41" s="82" t="s">
        <v>141</v>
      </c>
      <c r="F41" s="80" t="s">
        <v>476</v>
      </c>
      <c r="G41" s="80" t="s">
        <v>122</v>
      </c>
      <c r="H41" s="80" t="s">
        <v>477</v>
      </c>
      <c r="I41" s="80" t="s">
        <v>122</v>
      </c>
      <c r="J41" s="80" t="s">
        <v>478</v>
      </c>
      <c r="K41" s="80" t="s">
        <v>122</v>
      </c>
      <c r="L41" s="83">
        <v>126.83467</v>
      </c>
      <c r="M41" s="80" t="s">
        <v>473</v>
      </c>
      <c r="N41" s="83">
        <v>96028.890252800004</v>
      </c>
      <c r="O41" s="80" t="s">
        <v>479</v>
      </c>
    </row>
    <row r="42" spans="1:15" ht="24" customHeight="1" x14ac:dyDescent="0.2">
      <c r="A42" s="80" t="s">
        <v>480</v>
      </c>
      <c r="B42" s="81" t="s">
        <v>45</v>
      </c>
      <c r="C42" s="81" t="s">
        <v>130</v>
      </c>
      <c r="D42" s="81" t="s">
        <v>74</v>
      </c>
      <c r="E42" s="82" t="s">
        <v>60</v>
      </c>
      <c r="F42" s="80" t="s">
        <v>481</v>
      </c>
      <c r="G42" s="80" t="s">
        <v>122</v>
      </c>
      <c r="H42" s="80" t="s">
        <v>482</v>
      </c>
      <c r="I42" s="80" t="s">
        <v>122</v>
      </c>
      <c r="J42" s="80" t="s">
        <v>483</v>
      </c>
      <c r="K42" s="80" t="s">
        <v>122</v>
      </c>
      <c r="L42" s="83">
        <v>124.877088513</v>
      </c>
      <c r="M42" s="80" t="s">
        <v>473</v>
      </c>
      <c r="N42" s="83">
        <v>96153.767341300001</v>
      </c>
      <c r="O42" s="80" t="s">
        <v>484</v>
      </c>
    </row>
    <row r="43" spans="1:15" ht="24" customHeight="1" x14ac:dyDescent="0.2">
      <c r="A43" s="80" t="s">
        <v>485</v>
      </c>
      <c r="B43" s="81" t="s">
        <v>32</v>
      </c>
      <c r="C43" s="81" t="s">
        <v>486</v>
      </c>
      <c r="D43" s="81" t="s">
        <v>66</v>
      </c>
      <c r="E43" s="82" t="s">
        <v>46</v>
      </c>
      <c r="F43" s="80" t="s">
        <v>487</v>
      </c>
      <c r="G43" s="80" t="s">
        <v>122</v>
      </c>
      <c r="H43" s="80" t="s">
        <v>488</v>
      </c>
      <c r="I43" s="80" t="s">
        <v>122</v>
      </c>
      <c r="J43" s="80" t="s">
        <v>489</v>
      </c>
      <c r="K43" s="80" t="s">
        <v>122</v>
      </c>
      <c r="L43" s="83">
        <v>104.86439023299999</v>
      </c>
      <c r="M43" s="80" t="s">
        <v>490</v>
      </c>
      <c r="N43" s="83">
        <v>96258.631731500005</v>
      </c>
      <c r="O43" s="80" t="s">
        <v>491</v>
      </c>
    </row>
    <row r="44" spans="1:15" ht="24" customHeight="1" x14ac:dyDescent="0.2">
      <c r="A44" s="80" t="s">
        <v>492</v>
      </c>
      <c r="B44" s="81" t="s">
        <v>72</v>
      </c>
      <c r="C44" s="81" t="s">
        <v>493</v>
      </c>
      <c r="D44" s="81" t="s">
        <v>494</v>
      </c>
      <c r="E44" s="82" t="s">
        <v>75</v>
      </c>
      <c r="F44" s="80" t="s">
        <v>495</v>
      </c>
      <c r="G44" s="80" t="s">
        <v>122</v>
      </c>
      <c r="H44" s="80" t="s">
        <v>496</v>
      </c>
      <c r="I44" s="80" t="s">
        <v>122</v>
      </c>
      <c r="J44" s="80" t="s">
        <v>497</v>
      </c>
      <c r="K44" s="80" t="s">
        <v>122</v>
      </c>
      <c r="L44" s="83">
        <v>87.577301320000004</v>
      </c>
      <c r="M44" s="80" t="s">
        <v>498</v>
      </c>
      <c r="N44" s="83">
        <v>96346.209032800005</v>
      </c>
      <c r="O44" s="80" t="s">
        <v>499</v>
      </c>
    </row>
    <row r="45" spans="1:15" ht="24" customHeight="1" x14ac:dyDescent="0.2">
      <c r="A45" s="80" t="s">
        <v>500</v>
      </c>
      <c r="B45" s="81" t="s">
        <v>72</v>
      </c>
      <c r="C45" s="81" t="s">
        <v>501</v>
      </c>
      <c r="D45" s="81" t="s">
        <v>502</v>
      </c>
      <c r="E45" s="82" t="s">
        <v>75</v>
      </c>
      <c r="F45" s="80" t="s">
        <v>503</v>
      </c>
      <c r="G45" s="80" t="s">
        <v>122</v>
      </c>
      <c r="H45" s="80" t="s">
        <v>504</v>
      </c>
      <c r="I45" s="80" t="s">
        <v>122</v>
      </c>
      <c r="J45" s="80" t="s">
        <v>505</v>
      </c>
      <c r="K45" s="80" t="s">
        <v>122</v>
      </c>
      <c r="L45" s="83">
        <v>72.73471026</v>
      </c>
      <c r="M45" s="80" t="s">
        <v>506</v>
      </c>
      <c r="N45" s="83">
        <v>96418.943743099997</v>
      </c>
      <c r="O45" s="80" t="s">
        <v>507</v>
      </c>
    </row>
    <row r="46" spans="1:15" ht="24" customHeight="1" x14ac:dyDescent="0.2">
      <c r="A46" s="80" t="s">
        <v>172</v>
      </c>
      <c r="B46" s="81" t="s">
        <v>32</v>
      </c>
      <c r="C46" s="81" t="s">
        <v>173</v>
      </c>
      <c r="D46" s="81" t="s">
        <v>66</v>
      </c>
      <c r="E46" s="82" t="s">
        <v>46</v>
      </c>
      <c r="F46" s="80" t="s">
        <v>447</v>
      </c>
      <c r="G46" s="80" t="s">
        <v>122</v>
      </c>
      <c r="H46" s="80" t="s">
        <v>508</v>
      </c>
      <c r="I46" s="80" t="s">
        <v>122</v>
      </c>
      <c r="J46" s="80" t="s">
        <v>509</v>
      </c>
      <c r="K46" s="80" t="s">
        <v>122</v>
      </c>
      <c r="L46" s="83">
        <v>65.2</v>
      </c>
      <c r="M46" s="80" t="s">
        <v>506</v>
      </c>
      <c r="N46" s="83">
        <v>96484.143743099994</v>
      </c>
      <c r="O46" s="80" t="s">
        <v>510</v>
      </c>
    </row>
    <row r="47" spans="1:15" ht="24" customHeight="1" x14ac:dyDescent="0.2">
      <c r="A47" s="80" t="s">
        <v>511</v>
      </c>
      <c r="B47" s="81" t="s">
        <v>72</v>
      </c>
      <c r="C47" s="81" t="s">
        <v>512</v>
      </c>
      <c r="D47" s="81" t="s">
        <v>74</v>
      </c>
      <c r="E47" s="82" t="s">
        <v>75</v>
      </c>
      <c r="F47" s="80" t="s">
        <v>513</v>
      </c>
      <c r="G47" s="80" t="s">
        <v>122</v>
      </c>
      <c r="H47" s="80" t="s">
        <v>514</v>
      </c>
      <c r="I47" s="80" t="s">
        <v>122</v>
      </c>
      <c r="J47" s="80" t="s">
        <v>515</v>
      </c>
      <c r="K47" s="80" t="s">
        <v>122</v>
      </c>
      <c r="L47" s="83">
        <v>64.712419999999995</v>
      </c>
      <c r="M47" s="80" t="s">
        <v>506</v>
      </c>
      <c r="N47" s="83">
        <v>96548.856163100005</v>
      </c>
      <c r="O47" s="80" t="s">
        <v>516</v>
      </c>
    </row>
    <row r="48" spans="1:15" ht="24" customHeight="1" x14ac:dyDescent="0.2">
      <c r="A48" s="80" t="s">
        <v>517</v>
      </c>
      <c r="B48" s="81" t="s">
        <v>72</v>
      </c>
      <c r="C48" s="81" t="s">
        <v>518</v>
      </c>
      <c r="D48" s="81" t="s">
        <v>66</v>
      </c>
      <c r="E48" s="82" t="s">
        <v>154</v>
      </c>
      <c r="F48" s="80" t="s">
        <v>519</v>
      </c>
      <c r="G48" s="80" t="s">
        <v>122</v>
      </c>
      <c r="H48" s="80" t="s">
        <v>520</v>
      </c>
      <c r="I48" s="80" t="s">
        <v>122</v>
      </c>
      <c r="J48" s="80" t="s">
        <v>521</v>
      </c>
      <c r="K48" s="80" t="s">
        <v>122</v>
      </c>
      <c r="L48" s="83">
        <v>61.354084499999999</v>
      </c>
      <c r="M48" s="80" t="s">
        <v>522</v>
      </c>
      <c r="N48" s="83">
        <v>96610.2102476</v>
      </c>
      <c r="O48" s="80" t="s">
        <v>523</v>
      </c>
    </row>
    <row r="49" spans="1:15" ht="24" customHeight="1" x14ac:dyDescent="0.2">
      <c r="A49" s="80" t="s">
        <v>524</v>
      </c>
      <c r="B49" s="81" t="s">
        <v>72</v>
      </c>
      <c r="C49" s="81" t="s">
        <v>525</v>
      </c>
      <c r="D49" s="81" t="s">
        <v>164</v>
      </c>
      <c r="E49" s="82" t="s">
        <v>75</v>
      </c>
      <c r="F49" s="80" t="s">
        <v>526</v>
      </c>
      <c r="G49" s="80" t="s">
        <v>122</v>
      </c>
      <c r="H49" s="80" t="s">
        <v>527</v>
      </c>
      <c r="I49" s="80" t="s">
        <v>122</v>
      </c>
      <c r="J49" s="80" t="s">
        <v>528</v>
      </c>
      <c r="K49" s="80" t="s">
        <v>122</v>
      </c>
      <c r="L49" s="83">
        <v>58.113584099999997</v>
      </c>
      <c r="M49" s="80" t="s">
        <v>522</v>
      </c>
      <c r="N49" s="83">
        <v>96668.323831700007</v>
      </c>
      <c r="O49" s="80" t="s">
        <v>529</v>
      </c>
    </row>
    <row r="50" spans="1:15" ht="24" customHeight="1" x14ac:dyDescent="0.2">
      <c r="A50" s="80" t="s">
        <v>530</v>
      </c>
      <c r="B50" s="81" t="s">
        <v>72</v>
      </c>
      <c r="C50" s="81" t="s">
        <v>531</v>
      </c>
      <c r="D50" s="81" t="s">
        <v>66</v>
      </c>
      <c r="E50" s="82" t="s">
        <v>154</v>
      </c>
      <c r="F50" s="80" t="s">
        <v>532</v>
      </c>
      <c r="G50" s="80" t="s">
        <v>122</v>
      </c>
      <c r="H50" s="80" t="s">
        <v>533</v>
      </c>
      <c r="I50" s="80" t="s">
        <v>122</v>
      </c>
      <c r="J50" s="80" t="s">
        <v>534</v>
      </c>
      <c r="K50" s="80" t="s">
        <v>122</v>
      </c>
      <c r="L50" s="83">
        <v>54.453858264000012</v>
      </c>
      <c r="M50" s="80" t="s">
        <v>522</v>
      </c>
      <c r="N50" s="83">
        <v>96722.777690000003</v>
      </c>
      <c r="O50" s="80" t="s">
        <v>535</v>
      </c>
    </row>
    <row r="51" spans="1:15" ht="24" customHeight="1" x14ac:dyDescent="0.2">
      <c r="A51" s="80" t="s">
        <v>536</v>
      </c>
      <c r="B51" s="81" t="s">
        <v>45</v>
      </c>
      <c r="C51" s="81" t="s">
        <v>128</v>
      </c>
      <c r="D51" s="81" t="s">
        <v>164</v>
      </c>
      <c r="E51" s="82" t="s">
        <v>39</v>
      </c>
      <c r="F51" s="80" t="s">
        <v>537</v>
      </c>
      <c r="G51" s="80" t="s">
        <v>538</v>
      </c>
      <c r="H51" s="80" t="s">
        <v>539</v>
      </c>
      <c r="I51" s="80" t="s">
        <v>540</v>
      </c>
      <c r="J51" s="80" t="s">
        <v>541</v>
      </c>
      <c r="K51" s="80" t="s">
        <v>542</v>
      </c>
      <c r="L51" s="83">
        <v>53.530745000000003</v>
      </c>
      <c r="M51" s="80" t="s">
        <v>543</v>
      </c>
      <c r="N51" s="83">
        <v>96776.308434999999</v>
      </c>
      <c r="O51" s="80" t="s">
        <v>544</v>
      </c>
    </row>
    <row r="52" spans="1:15" ht="24" customHeight="1" x14ac:dyDescent="0.2">
      <c r="A52" s="80" t="s">
        <v>545</v>
      </c>
      <c r="B52" s="81" t="s">
        <v>45</v>
      </c>
      <c r="C52" s="81" t="s">
        <v>167</v>
      </c>
      <c r="D52" s="81" t="s">
        <v>164</v>
      </c>
      <c r="E52" s="82" t="s">
        <v>39</v>
      </c>
      <c r="F52" s="80" t="s">
        <v>546</v>
      </c>
      <c r="G52" s="80" t="s">
        <v>547</v>
      </c>
      <c r="H52" s="80" t="s">
        <v>548</v>
      </c>
      <c r="I52" s="80" t="s">
        <v>549</v>
      </c>
      <c r="J52" s="80" t="s">
        <v>550</v>
      </c>
      <c r="K52" s="80" t="s">
        <v>551</v>
      </c>
      <c r="L52" s="83">
        <v>52.1640525865634</v>
      </c>
      <c r="M52" s="80" t="s">
        <v>543</v>
      </c>
      <c r="N52" s="83">
        <v>96828.472487599996</v>
      </c>
      <c r="O52" s="80" t="s">
        <v>552</v>
      </c>
    </row>
    <row r="53" spans="1:15" ht="24" customHeight="1" x14ac:dyDescent="0.2">
      <c r="A53" s="80" t="s">
        <v>553</v>
      </c>
      <c r="B53" s="81" t="s">
        <v>45</v>
      </c>
      <c r="C53" s="81" t="s">
        <v>139</v>
      </c>
      <c r="D53" s="81" t="s">
        <v>66</v>
      </c>
      <c r="E53" s="82" t="s">
        <v>43</v>
      </c>
      <c r="F53" s="80" t="s">
        <v>554</v>
      </c>
      <c r="G53" s="80" t="s">
        <v>122</v>
      </c>
      <c r="H53" s="80" t="s">
        <v>555</v>
      </c>
      <c r="I53" s="80" t="s">
        <v>122</v>
      </c>
      <c r="J53" s="80" t="s">
        <v>556</v>
      </c>
      <c r="K53" s="80" t="s">
        <v>122</v>
      </c>
      <c r="L53" s="83">
        <v>51.414000000000001</v>
      </c>
      <c r="M53" s="80" t="s">
        <v>543</v>
      </c>
      <c r="N53" s="83">
        <v>96879.886487600001</v>
      </c>
      <c r="O53" s="80" t="s">
        <v>557</v>
      </c>
    </row>
    <row r="54" spans="1:15" ht="24" customHeight="1" x14ac:dyDescent="0.2">
      <c r="A54" s="80" t="s">
        <v>558</v>
      </c>
      <c r="B54" s="81" t="s">
        <v>72</v>
      </c>
      <c r="C54" s="81" t="s">
        <v>559</v>
      </c>
      <c r="D54" s="81" t="s">
        <v>74</v>
      </c>
      <c r="E54" s="82" t="s">
        <v>75</v>
      </c>
      <c r="F54" s="80" t="s">
        <v>560</v>
      </c>
      <c r="G54" s="80" t="s">
        <v>122</v>
      </c>
      <c r="H54" s="80" t="s">
        <v>357</v>
      </c>
      <c r="I54" s="80" t="s">
        <v>122</v>
      </c>
      <c r="J54" s="80" t="s">
        <v>561</v>
      </c>
      <c r="K54" s="80" t="s">
        <v>122</v>
      </c>
      <c r="L54" s="83">
        <v>49.377071999999998</v>
      </c>
      <c r="M54" s="80" t="s">
        <v>543</v>
      </c>
      <c r="N54" s="83">
        <v>96929.263559600004</v>
      </c>
      <c r="O54" s="80" t="s">
        <v>562</v>
      </c>
    </row>
    <row r="55" spans="1:15" ht="24" customHeight="1" x14ac:dyDescent="0.2">
      <c r="A55" s="80" t="s">
        <v>563</v>
      </c>
      <c r="B55" s="81" t="s">
        <v>32</v>
      </c>
      <c r="C55" s="81" t="s">
        <v>564</v>
      </c>
      <c r="D55" s="81" t="s">
        <v>66</v>
      </c>
      <c r="E55" s="82" t="s">
        <v>46</v>
      </c>
      <c r="F55" s="80" t="s">
        <v>565</v>
      </c>
      <c r="G55" s="80" t="s">
        <v>122</v>
      </c>
      <c r="H55" s="80" t="s">
        <v>566</v>
      </c>
      <c r="I55" s="80" t="s">
        <v>122</v>
      </c>
      <c r="J55" s="80" t="s">
        <v>567</v>
      </c>
      <c r="K55" s="80" t="s">
        <v>122</v>
      </c>
      <c r="L55" s="83">
        <v>46.359941280000001</v>
      </c>
      <c r="M55" s="80" t="s">
        <v>543</v>
      </c>
      <c r="N55" s="83">
        <v>96975.623500899994</v>
      </c>
      <c r="O55" s="80" t="s">
        <v>568</v>
      </c>
    </row>
    <row r="56" spans="1:15" ht="24" customHeight="1" x14ac:dyDescent="0.2">
      <c r="A56" s="80" t="s">
        <v>569</v>
      </c>
      <c r="B56" s="81" t="s">
        <v>72</v>
      </c>
      <c r="C56" s="81" t="s">
        <v>570</v>
      </c>
      <c r="D56" s="81" t="s">
        <v>66</v>
      </c>
      <c r="E56" s="82" t="s">
        <v>183</v>
      </c>
      <c r="F56" s="80" t="s">
        <v>571</v>
      </c>
      <c r="G56" s="80" t="s">
        <v>122</v>
      </c>
      <c r="H56" s="80" t="s">
        <v>572</v>
      </c>
      <c r="I56" s="80" t="s">
        <v>122</v>
      </c>
      <c r="J56" s="80" t="s">
        <v>573</v>
      </c>
      <c r="K56" s="80" t="s">
        <v>122</v>
      </c>
      <c r="L56" s="83">
        <v>41.054400000000001</v>
      </c>
      <c r="M56" s="80" t="s">
        <v>574</v>
      </c>
      <c r="N56" s="83">
        <v>97016.677900900002</v>
      </c>
      <c r="O56" s="80" t="s">
        <v>575</v>
      </c>
    </row>
    <row r="57" spans="1:15" ht="48" customHeight="1" x14ac:dyDescent="0.2">
      <c r="A57" s="80" t="s">
        <v>576</v>
      </c>
      <c r="B57" s="81" t="s">
        <v>72</v>
      </c>
      <c r="C57" s="81" t="s">
        <v>577</v>
      </c>
      <c r="D57" s="81" t="s">
        <v>66</v>
      </c>
      <c r="E57" s="82" t="s">
        <v>39</v>
      </c>
      <c r="F57" s="80" t="s">
        <v>578</v>
      </c>
      <c r="G57" s="80" t="s">
        <v>122</v>
      </c>
      <c r="H57" s="80" t="s">
        <v>579</v>
      </c>
      <c r="I57" s="80" t="s">
        <v>122</v>
      </c>
      <c r="J57" s="80" t="s">
        <v>580</v>
      </c>
      <c r="K57" s="80" t="s">
        <v>122</v>
      </c>
      <c r="L57" s="83">
        <v>37.841300992000001</v>
      </c>
      <c r="M57" s="80" t="s">
        <v>574</v>
      </c>
      <c r="N57" s="83">
        <v>97054.519201899995</v>
      </c>
      <c r="O57" s="80" t="s">
        <v>581</v>
      </c>
    </row>
    <row r="58" spans="1:15" ht="24" customHeight="1" x14ac:dyDescent="0.2">
      <c r="A58" s="80" t="s">
        <v>582</v>
      </c>
      <c r="B58" s="81" t="s">
        <v>32</v>
      </c>
      <c r="C58" s="81" t="s">
        <v>583</v>
      </c>
      <c r="D58" s="81" t="s">
        <v>502</v>
      </c>
      <c r="E58" s="82" t="s">
        <v>46</v>
      </c>
      <c r="F58" s="80" t="s">
        <v>487</v>
      </c>
      <c r="G58" s="80" t="s">
        <v>122</v>
      </c>
      <c r="H58" s="80" t="s">
        <v>584</v>
      </c>
      <c r="I58" s="80" t="s">
        <v>122</v>
      </c>
      <c r="J58" s="80" t="s">
        <v>585</v>
      </c>
      <c r="K58" s="80" t="s">
        <v>122</v>
      </c>
      <c r="L58" s="83">
        <v>37.447260687000004</v>
      </c>
      <c r="M58" s="80" t="s">
        <v>574</v>
      </c>
      <c r="N58" s="83">
        <v>97091.966462600001</v>
      </c>
      <c r="O58" s="80" t="s">
        <v>586</v>
      </c>
    </row>
    <row r="59" spans="1:15" ht="24" customHeight="1" x14ac:dyDescent="0.2">
      <c r="A59" s="80" t="s">
        <v>587</v>
      </c>
      <c r="B59" s="81" t="s">
        <v>72</v>
      </c>
      <c r="C59" s="81" t="s">
        <v>588</v>
      </c>
      <c r="D59" s="81" t="s">
        <v>66</v>
      </c>
      <c r="E59" s="82" t="s">
        <v>39</v>
      </c>
      <c r="F59" s="80" t="s">
        <v>589</v>
      </c>
      <c r="G59" s="80" t="s">
        <v>122</v>
      </c>
      <c r="H59" s="80" t="s">
        <v>590</v>
      </c>
      <c r="I59" s="80" t="s">
        <v>122</v>
      </c>
      <c r="J59" s="80" t="s">
        <v>591</v>
      </c>
      <c r="K59" s="80" t="s">
        <v>122</v>
      </c>
      <c r="L59" s="83">
        <v>34.368533311999997</v>
      </c>
      <c r="M59" s="80" t="s">
        <v>574</v>
      </c>
      <c r="N59" s="83">
        <v>97126.334995900004</v>
      </c>
      <c r="O59" s="80" t="s">
        <v>592</v>
      </c>
    </row>
    <row r="60" spans="1:15" ht="24" customHeight="1" x14ac:dyDescent="0.2">
      <c r="A60" s="80" t="s">
        <v>593</v>
      </c>
      <c r="B60" s="81" t="s">
        <v>45</v>
      </c>
      <c r="C60" s="81" t="s">
        <v>168</v>
      </c>
      <c r="D60" s="81" t="s">
        <v>74</v>
      </c>
      <c r="E60" s="82" t="s">
        <v>60</v>
      </c>
      <c r="F60" s="80" t="s">
        <v>594</v>
      </c>
      <c r="G60" s="80" t="s">
        <v>122</v>
      </c>
      <c r="H60" s="80" t="s">
        <v>595</v>
      </c>
      <c r="I60" s="80" t="s">
        <v>122</v>
      </c>
      <c r="J60" s="80" t="s">
        <v>596</v>
      </c>
      <c r="K60" s="80" t="s">
        <v>122</v>
      </c>
      <c r="L60" s="83">
        <v>31.850879729999999</v>
      </c>
      <c r="M60" s="80" t="s">
        <v>597</v>
      </c>
      <c r="N60" s="83">
        <v>97158.1858756</v>
      </c>
      <c r="O60" s="80" t="s">
        <v>598</v>
      </c>
    </row>
    <row r="61" spans="1:15" ht="24" customHeight="1" x14ac:dyDescent="0.2">
      <c r="A61" s="80" t="s">
        <v>599</v>
      </c>
      <c r="B61" s="81" t="s">
        <v>45</v>
      </c>
      <c r="C61" s="81" t="s">
        <v>127</v>
      </c>
      <c r="D61" s="81" t="s">
        <v>164</v>
      </c>
      <c r="E61" s="82" t="s">
        <v>39</v>
      </c>
      <c r="F61" s="80" t="s">
        <v>600</v>
      </c>
      <c r="G61" s="80" t="s">
        <v>538</v>
      </c>
      <c r="H61" s="80" t="s">
        <v>601</v>
      </c>
      <c r="I61" s="80" t="s">
        <v>602</v>
      </c>
      <c r="J61" s="80" t="s">
        <v>603</v>
      </c>
      <c r="K61" s="80" t="s">
        <v>542</v>
      </c>
      <c r="L61" s="83">
        <v>30.171019319999999</v>
      </c>
      <c r="M61" s="80" t="s">
        <v>597</v>
      </c>
      <c r="N61" s="83">
        <v>97188.356894900004</v>
      </c>
      <c r="O61" s="80" t="s">
        <v>604</v>
      </c>
    </row>
    <row r="62" spans="1:15" ht="24" customHeight="1" x14ac:dyDescent="0.2">
      <c r="A62" s="80" t="s">
        <v>69</v>
      </c>
      <c r="B62" s="81" t="s">
        <v>32</v>
      </c>
      <c r="C62" s="81" t="s">
        <v>70</v>
      </c>
      <c r="D62" s="81" t="s">
        <v>66</v>
      </c>
      <c r="E62" s="82" t="s">
        <v>43</v>
      </c>
      <c r="F62" s="80" t="s">
        <v>327</v>
      </c>
      <c r="G62" s="80" t="s">
        <v>122</v>
      </c>
      <c r="H62" s="80" t="s">
        <v>605</v>
      </c>
      <c r="I62" s="80" t="s">
        <v>122</v>
      </c>
      <c r="J62" s="80" t="s">
        <v>606</v>
      </c>
      <c r="K62" s="80" t="s">
        <v>122</v>
      </c>
      <c r="L62" s="83">
        <v>29.7</v>
      </c>
      <c r="M62" s="80" t="s">
        <v>597</v>
      </c>
      <c r="N62" s="83">
        <v>97218.056894900001</v>
      </c>
      <c r="O62" s="80" t="s">
        <v>607</v>
      </c>
    </row>
    <row r="63" spans="1:15" ht="24" customHeight="1" x14ac:dyDescent="0.2">
      <c r="A63" s="80" t="s">
        <v>608</v>
      </c>
      <c r="B63" s="81" t="s">
        <v>72</v>
      </c>
      <c r="C63" s="81" t="s">
        <v>609</v>
      </c>
      <c r="D63" s="81" t="s">
        <v>74</v>
      </c>
      <c r="E63" s="82" t="s">
        <v>75</v>
      </c>
      <c r="F63" s="80" t="s">
        <v>610</v>
      </c>
      <c r="G63" s="80" t="s">
        <v>122</v>
      </c>
      <c r="H63" s="80" t="s">
        <v>611</v>
      </c>
      <c r="I63" s="80" t="s">
        <v>122</v>
      </c>
      <c r="J63" s="80" t="s">
        <v>612</v>
      </c>
      <c r="K63" s="80" t="s">
        <v>122</v>
      </c>
      <c r="L63" s="83">
        <v>28.680296295000002</v>
      </c>
      <c r="M63" s="80" t="s">
        <v>597</v>
      </c>
      <c r="N63" s="83">
        <v>97246.737191199994</v>
      </c>
      <c r="O63" s="80" t="s">
        <v>613</v>
      </c>
    </row>
    <row r="64" spans="1:15" ht="24" customHeight="1" x14ac:dyDescent="0.2">
      <c r="A64" s="80" t="s">
        <v>614</v>
      </c>
      <c r="B64" s="81" t="s">
        <v>45</v>
      </c>
      <c r="C64" s="81" t="s">
        <v>137</v>
      </c>
      <c r="D64" s="81" t="s">
        <v>66</v>
      </c>
      <c r="E64" s="82" t="s">
        <v>138</v>
      </c>
      <c r="F64" s="80" t="s">
        <v>615</v>
      </c>
      <c r="G64" s="80" t="s">
        <v>122</v>
      </c>
      <c r="H64" s="80" t="s">
        <v>616</v>
      </c>
      <c r="I64" s="80" t="s">
        <v>122</v>
      </c>
      <c r="J64" s="80" t="s">
        <v>617</v>
      </c>
      <c r="K64" s="80" t="s">
        <v>122</v>
      </c>
      <c r="L64" s="83">
        <v>26.912897999999998</v>
      </c>
      <c r="M64" s="80" t="s">
        <v>597</v>
      </c>
      <c r="N64" s="83">
        <v>97273.650089200004</v>
      </c>
      <c r="O64" s="80" t="s">
        <v>618</v>
      </c>
    </row>
    <row r="65" spans="1:15" ht="24" customHeight="1" x14ac:dyDescent="0.2">
      <c r="A65" s="80" t="s">
        <v>619</v>
      </c>
      <c r="B65" s="81" t="s">
        <v>32</v>
      </c>
      <c r="C65" s="81" t="s">
        <v>620</v>
      </c>
      <c r="D65" s="81" t="s">
        <v>66</v>
      </c>
      <c r="E65" s="82" t="s">
        <v>46</v>
      </c>
      <c r="F65" s="80" t="s">
        <v>621</v>
      </c>
      <c r="G65" s="80" t="s">
        <v>122</v>
      </c>
      <c r="H65" s="80" t="s">
        <v>622</v>
      </c>
      <c r="I65" s="80" t="s">
        <v>122</v>
      </c>
      <c r="J65" s="80" t="s">
        <v>623</v>
      </c>
      <c r="K65" s="80" t="s">
        <v>122</v>
      </c>
      <c r="L65" s="83">
        <v>23.896977935999999</v>
      </c>
      <c r="M65" s="80" t="s">
        <v>624</v>
      </c>
      <c r="N65" s="83">
        <v>97297.547067099993</v>
      </c>
      <c r="O65" s="80" t="s">
        <v>625</v>
      </c>
    </row>
    <row r="66" spans="1:15" ht="36" customHeight="1" x14ac:dyDescent="0.2">
      <c r="A66" s="80" t="s">
        <v>626</v>
      </c>
      <c r="B66" s="81" t="s">
        <v>72</v>
      </c>
      <c r="C66" s="81" t="s">
        <v>627</v>
      </c>
      <c r="D66" s="81" t="s">
        <v>66</v>
      </c>
      <c r="E66" s="82" t="s">
        <v>39</v>
      </c>
      <c r="F66" s="80" t="s">
        <v>390</v>
      </c>
      <c r="G66" s="80" t="s">
        <v>122</v>
      </c>
      <c r="H66" s="80" t="s">
        <v>628</v>
      </c>
      <c r="I66" s="80" t="s">
        <v>122</v>
      </c>
      <c r="J66" s="80" t="s">
        <v>629</v>
      </c>
      <c r="K66" s="80" t="s">
        <v>122</v>
      </c>
      <c r="L66" s="83">
        <v>22.300804287999998</v>
      </c>
      <c r="M66" s="80" t="s">
        <v>624</v>
      </c>
      <c r="N66" s="83">
        <v>97319.847871399994</v>
      </c>
      <c r="O66" s="80" t="s">
        <v>630</v>
      </c>
    </row>
    <row r="67" spans="1:15" ht="24" customHeight="1" x14ac:dyDescent="0.2">
      <c r="A67" s="80" t="s">
        <v>76</v>
      </c>
      <c r="B67" s="81" t="s">
        <v>72</v>
      </c>
      <c r="C67" s="81" t="s">
        <v>77</v>
      </c>
      <c r="D67" s="81" t="s">
        <v>66</v>
      </c>
      <c r="E67" s="82" t="s">
        <v>78</v>
      </c>
      <c r="F67" s="80" t="s">
        <v>631</v>
      </c>
      <c r="G67" s="80" t="s">
        <v>122</v>
      </c>
      <c r="H67" s="80" t="s">
        <v>632</v>
      </c>
      <c r="I67" s="80" t="s">
        <v>122</v>
      </c>
      <c r="J67" s="80" t="s">
        <v>633</v>
      </c>
      <c r="K67" s="80" t="s">
        <v>122</v>
      </c>
      <c r="L67" s="83">
        <v>20.466000000000001</v>
      </c>
      <c r="M67" s="80" t="s">
        <v>624</v>
      </c>
      <c r="N67" s="83">
        <v>97340.313871399994</v>
      </c>
      <c r="O67" s="80" t="s">
        <v>634</v>
      </c>
    </row>
    <row r="68" spans="1:15" ht="24" customHeight="1" x14ac:dyDescent="0.2">
      <c r="A68" s="80" t="s">
        <v>635</v>
      </c>
      <c r="B68" s="81" t="s">
        <v>72</v>
      </c>
      <c r="C68" s="81" t="s">
        <v>636</v>
      </c>
      <c r="D68" s="81" t="s">
        <v>164</v>
      </c>
      <c r="E68" s="82" t="s">
        <v>75</v>
      </c>
      <c r="F68" s="80" t="s">
        <v>637</v>
      </c>
      <c r="G68" s="80" t="s">
        <v>122</v>
      </c>
      <c r="H68" s="80" t="s">
        <v>496</v>
      </c>
      <c r="I68" s="80" t="s">
        <v>122</v>
      </c>
      <c r="J68" s="80" t="s">
        <v>638</v>
      </c>
      <c r="K68" s="80" t="s">
        <v>122</v>
      </c>
      <c r="L68" s="83">
        <v>20.399999999999999</v>
      </c>
      <c r="M68" s="80" t="s">
        <v>624</v>
      </c>
      <c r="N68" s="83">
        <v>97360.713871400003</v>
      </c>
      <c r="O68" s="80" t="s">
        <v>639</v>
      </c>
    </row>
    <row r="69" spans="1:15" ht="24" customHeight="1" x14ac:dyDescent="0.2">
      <c r="A69" s="80" t="s">
        <v>119</v>
      </c>
      <c r="B69" s="81" t="s">
        <v>72</v>
      </c>
      <c r="C69" s="81" t="s">
        <v>120</v>
      </c>
      <c r="D69" s="81" t="s">
        <v>66</v>
      </c>
      <c r="E69" s="82" t="s">
        <v>121</v>
      </c>
      <c r="F69" s="80" t="s">
        <v>640</v>
      </c>
      <c r="G69" s="80" t="s">
        <v>122</v>
      </c>
      <c r="H69" s="80" t="s">
        <v>641</v>
      </c>
      <c r="I69" s="80" t="s">
        <v>122</v>
      </c>
      <c r="J69" s="80" t="s">
        <v>642</v>
      </c>
      <c r="K69" s="80" t="s">
        <v>122</v>
      </c>
      <c r="L69" s="83">
        <v>19.216799999999999</v>
      </c>
      <c r="M69" s="80" t="s">
        <v>624</v>
      </c>
      <c r="N69" s="83">
        <v>97379.930671399998</v>
      </c>
      <c r="O69" s="80" t="s">
        <v>643</v>
      </c>
    </row>
    <row r="70" spans="1:15" ht="24" customHeight="1" x14ac:dyDescent="0.2">
      <c r="A70" s="80" t="s">
        <v>162</v>
      </c>
      <c r="B70" s="81" t="s">
        <v>72</v>
      </c>
      <c r="C70" s="81" t="s">
        <v>163</v>
      </c>
      <c r="D70" s="81" t="s">
        <v>164</v>
      </c>
      <c r="E70" s="82" t="s">
        <v>39</v>
      </c>
      <c r="F70" s="80" t="s">
        <v>644</v>
      </c>
      <c r="G70" s="80" t="s">
        <v>122</v>
      </c>
      <c r="H70" s="80" t="s">
        <v>645</v>
      </c>
      <c r="I70" s="80" t="s">
        <v>122</v>
      </c>
      <c r="J70" s="80" t="s">
        <v>646</v>
      </c>
      <c r="K70" s="80" t="s">
        <v>122</v>
      </c>
      <c r="L70" s="83">
        <v>18.405200000000001</v>
      </c>
      <c r="M70" s="80" t="s">
        <v>624</v>
      </c>
      <c r="N70" s="83">
        <v>97398.335871400006</v>
      </c>
      <c r="O70" s="80" t="s">
        <v>647</v>
      </c>
    </row>
    <row r="71" spans="1:15" ht="24" customHeight="1" x14ac:dyDescent="0.2">
      <c r="A71" s="80" t="s">
        <v>648</v>
      </c>
      <c r="B71" s="81" t="s">
        <v>72</v>
      </c>
      <c r="C71" s="81" t="s">
        <v>649</v>
      </c>
      <c r="D71" s="81" t="s">
        <v>66</v>
      </c>
      <c r="E71" s="82" t="s">
        <v>183</v>
      </c>
      <c r="F71" s="80" t="s">
        <v>650</v>
      </c>
      <c r="G71" s="80" t="s">
        <v>122</v>
      </c>
      <c r="H71" s="80" t="s">
        <v>651</v>
      </c>
      <c r="I71" s="80" t="s">
        <v>122</v>
      </c>
      <c r="J71" s="80" t="s">
        <v>652</v>
      </c>
      <c r="K71" s="80" t="s">
        <v>122</v>
      </c>
      <c r="L71" s="83">
        <v>17.97692</v>
      </c>
      <c r="M71" s="80" t="s">
        <v>624</v>
      </c>
      <c r="N71" s="83">
        <v>97416.312791400007</v>
      </c>
      <c r="O71" s="80" t="s">
        <v>653</v>
      </c>
    </row>
    <row r="72" spans="1:15" ht="24" customHeight="1" x14ac:dyDescent="0.2">
      <c r="A72" s="80" t="s">
        <v>654</v>
      </c>
      <c r="B72" s="81" t="s">
        <v>72</v>
      </c>
      <c r="C72" s="81" t="s">
        <v>655</v>
      </c>
      <c r="D72" s="81" t="s">
        <v>74</v>
      </c>
      <c r="E72" s="82" t="s">
        <v>75</v>
      </c>
      <c r="F72" s="80" t="s">
        <v>656</v>
      </c>
      <c r="G72" s="80" t="s">
        <v>122</v>
      </c>
      <c r="H72" s="80" t="s">
        <v>657</v>
      </c>
      <c r="I72" s="80" t="s">
        <v>122</v>
      </c>
      <c r="J72" s="80" t="s">
        <v>658</v>
      </c>
      <c r="K72" s="80" t="s">
        <v>122</v>
      </c>
      <c r="L72" s="83">
        <v>17.623813999999999</v>
      </c>
      <c r="M72" s="80" t="s">
        <v>624</v>
      </c>
      <c r="N72" s="83">
        <v>97433.936605399998</v>
      </c>
      <c r="O72" s="80" t="s">
        <v>659</v>
      </c>
    </row>
    <row r="73" spans="1:15" ht="24" customHeight="1" x14ac:dyDescent="0.2">
      <c r="A73" s="80" t="s">
        <v>660</v>
      </c>
      <c r="B73" s="81" t="s">
        <v>32</v>
      </c>
      <c r="C73" s="81" t="s">
        <v>661</v>
      </c>
      <c r="D73" s="81" t="s">
        <v>66</v>
      </c>
      <c r="E73" s="82" t="s">
        <v>46</v>
      </c>
      <c r="F73" s="80" t="s">
        <v>662</v>
      </c>
      <c r="G73" s="80" t="s">
        <v>122</v>
      </c>
      <c r="H73" s="80" t="s">
        <v>663</v>
      </c>
      <c r="I73" s="80" t="s">
        <v>122</v>
      </c>
      <c r="J73" s="80" t="s">
        <v>664</v>
      </c>
      <c r="K73" s="80" t="s">
        <v>122</v>
      </c>
      <c r="L73" s="83">
        <v>17.12996987</v>
      </c>
      <c r="M73" s="80" t="s">
        <v>624</v>
      </c>
      <c r="N73" s="83">
        <v>97451.066575300007</v>
      </c>
      <c r="O73" s="80" t="s">
        <v>665</v>
      </c>
    </row>
    <row r="74" spans="1:15" ht="24" customHeight="1" x14ac:dyDescent="0.2">
      <c r="A74" s="80" t="s">
        <v>666</v>
      </c>
      <c r="B74" s="81" t="s">
        <v>45</v>
      </c>
      <c r="C74" s="81" t="s">
        <v>667</v>
      </c>
      <c r="D74" s="81" t="s">
        <v>164</v>
      </c>
      <c r="E74" s="82" t="s">
        <v>39</v>
      </c>
      <c r="F74" s="80" t="s">
        <v>668</v>
      </c>
      <c r="G74" s="80" t="s">
        <v>669</v>
      </c>
      <c r="H74" s="80" t="s">
        <v>670</v>
      </c>
      <c r="I74" s="80" t="s">
        <v>671</v>
      </c>
      <c r="J74" s="80" t="s">
        <v>672</v>
      </c>
      <c r="K74" s="80" t="s">
        <v>673</v>
      </c>
      <c r="L74" s="83">
        <v>16.348521827028001</v>
      </c>
      <c r="M74" s="80" t="s">
        <v>624</v>
      </c>
      <c r="N74" s="83">
        <v>97467.415097100005</v>
      </c>
      <c r="O74" s="80" t="s">
        <v>674</v>
      </c>
    </row>
    <row r="75" spans="1:15" ht="24" customHeight="1" x14ac:dyDescent="0.2">
      <c r="A75" s="80" t="s">
        <v>675</v>
      </c>
      <c r="B75" s="81" t="s">
        <v>72</v>
      </c>
      <c r="C75" s="81" t="s">
        <v>676</v>
      </c>
      <c r="D75" s="81" t="s">
        <v>74</v>
      </c>
      <c r="E75" s="82" t="s">
        <v>75</v>
      </c>
      <c r="F75" s="80" t="s">
        <v>677</v>
      </c>
      <c r="G75" s="80" t="s">
        <v>122</v>
      </c>
      <c r="H75" s="80" t="s">
        <v>678</v>
      </c>
      <c r="I75" s="80" t="s">
        <v>122</v>
      </c>
      <c r="J75" s="80" t="s">
        <v>679</v>
      </c>
      <c r="K75" s="80" t="s">
        <v>122</v>
      </c>
      <c r="L75" s="83">
        <v>14.7341765</v>
      </c>
      <c r="M75" s="80" t="s">
        <v>624</v>
      </c>
      <c r="N75" s="83">
        <v>97482.149273599993</v>
      </c>
      <c r="O75" s="80" t="s">
        <v>680</v>
      </c>
    </row>
    <row r="76" spans="1:15" ht="24" customHeight="1" x14ac:dyDescent="0.2">
      <c r="A76" s="80" t="s">
        <v>113</v>
      </c>
      <c r="B76" s="81" t="s">
        <v>32</v>
      </c>
      <c r="C76" s="81" t="s">
        <v>114</v>
      </c>
      <c r="D76" s="81" t="s">
        <v>66</v>
      </c>
      <c r="E76" s="82" t="s">
        <v>46</v>
      </c>
      <c r="F76" s="80" t="s">
        <v>681</v>
      </c>
      <c r="G76" s="80" t="s">
        <v>122</v>
      </c>
      <c r="H76" s="80" t="s">
        <v>682</v>
      </c>
      <c r="I76" s="80" t="s">
        <v>122</v>
      </c>
      <c r="J76" s="80" t="s">
        <v>683</v>
      </c>
      <c r="K76" s="80" t="s">
        <v>122</v>
      </c>
      <c r="L76" s="83">
        <v>13.4048</v>
      </c>
      <c r="M76" s="80" t="s">
        <v>684</v>
      </c>
      <c r="N76" s="83">
        <v>97495.554073599997</v>
      </c>
      <c r="O76" s="80" t="s">
        <v>685</v>
      </c>
    </row>
    <row r="77" spans="1:15" ht="24" customHeight="1" x14ac:dyDescent="0.2">
      <c r="A77" s="80" t="s">
        <v>686</v>
      </c>
      <c r="B77" s="81" t="s">
        <v>72</v>
      </c>
      <c r="C77" s="81" t="s">
        <v>687</v>
      </c>
      <c r="D77" s="81" t="s">
        <v>164</v>
      </c>
      <c r="E77" s="82" t="s">
        <v>75</v>
      </c>
      <c r="F77" s="80" t="s">
        <v>688</v>
      </c>
      <c r="G77" s="80" t="s">
        <v>122</v>
      </c>
      <c r="H77" s="80" t="s">
        <v>689</v>
      </c>
      <c r="I77" s="80" t="s">
        <v>122</v>
      </c>
      <c r="J77" s="80" t="s">
        <v>690</v>
      </c>
      <c r="K77" s="80" t="s">
        <v>122</v>
      </c>
      <c r="L77" s="83">
        <v>12.7169425</v>
      </c>
      <c r="M77" s="80" t="s">
        <v>684</v>
      </c>
      <c r="N77" s="83">
        <v>97508.2710161</v>
      </c>
      <c r="O77" s="80" t="s">
        <v>691</v>
      </c>
    </row>
    <row r="78" spans="1:15" ht="24" customHeight="1" x14ac:dyDescent="0.2">
      <c r="A78" s="80" t="s">
        <v>692</v>
      </c>
      <c r="B78" s="81" t="s">
        <v>45</v>
      </c>
      <c r="C78" s="81" t="s">
        <v>693</v>
      </c>
      <c r="D78" s="81" t="s">
        <v>66</v>
      </c>
      <c r="E78" s="82" t="s">
        <v>138</v>
      </c>
      <c r="F78" s="80" t="s">
        <v>694</v>
      </c>
      <c r="G78" s="80" t="s">
        <v>122</v>
      </c>
      <c r="H78" s="80" t="s">
        <v>695</v>
      </c>
      <c r="I78" s="80" t="s">
        <v>122</v>
      </c>
      <c r="J78" s="80" t="s">
        <v>696</v>
      </c>
      <c r="K78" s="80" t="s">
        <v>122</v>
      </c>
      <c r="L78" s="83">
        <v>10.967454119999999</v>
      </c>
      <c r="M78" s="80" t="s">
        <v>684</v>
      </c>
      <c r="N78" s="83">
        <v>97519.238470199998</v>
      </c>
      <c r="O78" s="80" t="s">
        <v>697</v>
      </c>
    </row>
    <row r="79" spans="1:15" ht="24" customHeight="1" x14ac:dyDescent="0.2">
      <c r="A79" s="80" t="s">
        <v>698</v>
      </c>
      <c r="B79" s="81" t="s">
        <v>45</v>
      </c>
      <c r="C79" s="81" t="s">
        <v>699</v>
      </c>
      <c r="D79" s="81" t="s">
        <v>74</v>
      </c>
      <c r="E79" s="82" t="s">
        <v>60</v>
      </c>
      <c r="F79" s="80" t="s">
        <v>700</v>
      </c>
      <c r="G79" s="80" t="s">
        <v>122</v>
      </c>
      <c r="H79" s="80" t="s">
        <v>701</v>
      </c>
      <c r="I79" s="80" t="s">
        <v>122</v>
      </c>
      <c r="J79" s="80" t="s">
        <v>702</v>
      </c>
      <c r="K79" s="80" t="s">
        <v>122</v>
      </c>
      <c r="L79" s="83">
        <v>9.5900739000000002</v>
      </c>
      <c r="M79" s="80" t="s">
        <v>684</v>
      </c>
      <c r="N79" s="83">
        <v>97528.828544100004</v>
      </c>
      <c r="O79" s="80" t="s">
        <v>703</v>
      </c>
    </row>
    <row r="80" spans="1:15" ht="24" customHeight="1" x14ac:dyDescent="0.2">
      <c r="A80" s="80" t="s">
        <v>704</v>
      </c>
      <c r="B80" s="81" t="s">
        <v>45</v>
      </c>
      <c r="C80" s="81" t="s">
        <v>140</v>
      </c>
      <c r="D80" s="81" t="s">
        <v>66</v>
      </c>
      <c r="E80" s="82" t="s">
        <v>141</v>
      </c>
      <c r="F80" s="80" t="s">
        <v>705</v>
      </c>
      <c r="G80" s="80" t="s">
        <v>122</v>
      </c>
      <c r="H80" s="80" t="s">
        <v>706</v>
      </c>
      <c r="I80" s="80" t="s">
        <v>122</v>
      </c>
      <c r="J80" s="80" t="s">
        <v>707</v>
      </c>
      <c r="K80" s="80" t="s">
        <v>122</v>
      </c>
      <c r="L80" s="83">
        <v>9.2664500000000007</v>
      </c>
      <c r="M80" s="80" t="s">
        <v>684</v>
      </c>
      <c r="N80" s="83">
        <v>97538.0949941</v>
      </c>
      <c r="O80" s="80" t="s">
        <v>708</v>
      </c>
    </row>
    <row r="81" spans="1:15" ht="24" customHeight="1" x14ac:dyDescent="0.2">
      <c r="A81" s="80" t="s">
        <v>709</v>
      </c>
      <c r="B81" s="81" t="s">
        <v>32</v>
      </c>
      <c r="C81" s="81" t="s">
        <v>710</v>
      </c>
      <c r="D81" s="81" t="s">
        <v>502</v>
      </c>
      <c r="E81" s="82" t="s">
        <v>711</v>
      </c>
      <c r="F81" s="80" t="s">
        <v>712</v>
      </c>
      <c r="G81" s="80" t="s">
        <v>122</v>
      </c>
      <c r="H81" s="80" t="s">
        <v>713</v>
      </c>
      <c r="I81" s="80" t="s">
        <v>122</v>
      </c>
      <c r="J81" s="80" t="s">
        <v>714</v>
      </c>
      <c r="K81" s="80" t="s">
        <v>122</v>
      </c>
      <c r="L81" s="83">
        <v>8.830591398000001</v>
      </c>
      <c r="M81" s="80" t="s">
        <v>684</v>
      </c>
      <c r="N81" s="83">
        <v>97546.925585499994</v>
      </c>
      <c r="O81" s="80" t="s">
        <v>715</v>
      </c>
    </row>
    <row r="82" spans="1:15" ht="24" customHeight="1" x14ac:dyDescent="0.2">
      <c r="A82" s="80" t="s">
        <v>716</v>
      </c>
      <c r="B82" s="81" t="s">
        <v>72</v>
      </c>
      <c r="C82" s="81" t="s">
        <v>717</v>
      </c>
      <c r="D82" s="81" t="s">
        <v>164</v>
      </c>
      <c r="E82" s="82" t="s">
        <v>75</v>
      </c>
      <c r="F82" s="80" t="s">
        <v>718</v>
      </c>
      <c r="G82" s="80" t="s">
        <v>122</v>
      </c>
      <c r="H82" s="80" t="s">
        <v>719</v>
      </c>
      <c r="I82" s="80" t="s">
        <v>122</v>
      </c>
      <c r="J82" s="80" t="s">
        <v>720</v>
      </c>
      <c r="K82" s="80" t="s">
        <v>122</v>
      </c>
      <c r="L82" s="83">
        <v>7.3301600000000002</v>
      </c>
      <c r="M82" s="80" t="s">
        <v>684</v>
      </c>
      <c r="N82" s="83">
        <v>97554.255745500006</v>
      </c>
      <c r="O82" s="80" t="s">
        <v>721</v>
      </c>
    </row>
    <row r="83" spans="1:15" ht="24" customHeight="1" x14ac:dyDescent="0.2">
      <c r="A83" s="80" t="s">
        <v>722</v>
      </c>
      <c r="B83" s="81" t="s">
        <v>72</v>
      </c>
      <c r="C83" s="81" t="s">
        <v>723</v>
      </c>
      <c r="D83" s="81" t="s">
        <v>164</v>
      </c>
      <c r="E83" s="82" t="s">
        <v>75</v>
      </c>
      <c r="F83" s="80" t="s">
        <v>447</v>
      </c>
      <c r="G83" s="80" t="s">
        <v>122</v>
      </c>
      <c r="H83" s="80" t="s">
        <v>724</v>
      </c>
      <c r="I83" s="80" t="s">
        <v>122</v>
      </c>
      <c r="J83" s="80" t="s">
        <v>725</v>
      </c>
      <c r="K83" s="80" t="s">
        <v>122</v>
      </c>
      <c r="L83" s="83">
        <v>6.5</v>
      </c>
      <c r="M83" s="80" t="s">
        <v>684</v>
      </c>
      <c r="N83" s="83">
        <v>97560.755745500006</v>
      </c>
      <c r="O83" s="80" t="s">
        <v>726</v>
      </c>
    </row>
    <row r="84" spans="1:15" ht="24" customHeight="1" x14ac:dyDescent="0.2">
      <c r="A84" s="80" t="s">
        <v>117</v>
      </c>
      <c r="B84" s="81" t="s">
        <v>72</v>
      </c>
      <c r="C84" s="81" t="s">
        <v>118</v>
      </c>
      <c r="D84" s="81" t="s">
        <v>74</v>
      </c>
      <c r="E84" s="82" t="s">
        <v>75</v>
      </c>
      <c r="F84" s="80" t="s">
        <v>727</v>
      </c>
      <c r="G84" s="80" t="s">
        <v>122</v>
      </c>
      <c r="H84" s="80" t="s">
        <v>357</v>
      </c>
      <c r="I84" s="80" t="s">
        <v>122</v>
      </c>
      <c r="J84" s="80" t="s">
        <v>728</v>
      </c>
      <c r="K84" s="80" t="s">
        <v>122</v>
      </c>
      <c r="L84" s="83">
        <v>5.7008000000000001</v>
      </c>
      <c r="M84" s="80" t="s">
        <v>684</v>
      </c>
      <c r="N84" s="83">
        <v>97566.456545499997</v>
      </c>
      <c r="O84" s="80" t="s">
        <v>726</v>
      </c>
    </row>
    <row r="85" spans="1:15" ht="24" customHeight="1" x14ac:dyDescent="0.2">
      <c r="A85" s="80" t="s">
        <v>170</v>
      </c>
      <c r="B85" s="81" t="s">
        <v>32</v>
      </c>
      <c r="C85" s="81" t="s">
        <v>171</v>
      </c>
      <c r="D85" s="81" t="s">
        <v>66</v>
      </c>
      <c r="E85" s="82" t="s">
        <v>138</v>
      </c>
      <c r="F85" s="80" t="s">
        <v>729</v>
      </c>
      <c r="G85" s="80" t="s">
        <v>122</v>
      </c>
      <c r="H85" s="80" t="s">
        <v>730</v>
      </c>
      <c r="I85" s="80" t="s">
        <v>122</v>
      </c>
      <c r="J85" s="80" t="s">
        <v>731</v>
      </c>
      <c r="K85" s="80" t="s">
        <v>122</v>
      </c>
      <c r="L85" s="83">
        <v>5.3250000000000002</v>
      </c>
      <c r="M85" s="80" t="s">
        <v>684</v>
      </c>
      <c r="N85" s="83">
        <v>97571.781545499995</v>
      </c>
      <c r="O85" s="80" t="s">
        <v>732</v>
      </c>
    </row>
    <row r="86" spans="1:15" ht="24" customHeight="1" x14ac:dyDescent="0.2">
      <c r="A86" s="80" t="s">
        <v>111</v>
      </c>
      <c r="B86" s="81" t="s">
        <v>32</v>
      </c>
      <c r="C86" s="81" t="s">
        <v>112</v>
      </c>
      <c r="D86" s="81" t="s">
        <v>66</v>
      </c>
      <c r="E86" s="82" t="s">
        <v>46</v>
      </c>
      <c r="F86" s="80" t="s">
        <v>681</v>
      </c>
      <c r="G86" s="80" t="s">
        <v>122</v>
      </c>
      <c r="H86" s="80" t="s">
        <v>733</v>
      </c>
      <c r="I86" s="80" t="s">
        <v>122</v>
      </c>
      <c r="J86" s="80" t="s">
        <v>734</v>
      </c>
      <c r="K86" s="80" t="s">
        <v>122</v>
      </c>
      <c r="L86" s="83">
        <v>5.2824</v>
      </c>
      <c r="M86" s="80" t="s">
        <v>684</v>
      </c>
      <c r="N86" s="83">
        <v>97577.063945500006</v>
      </c>
      <c r="O86" s="80" t="s">
        <v>732</v>
      </c>
    </row>
    <row r="87" spans="1:15" ht="24" customHeight="1" x14ac:dyDescent="0.2">
      <c r="A87" s="80" t="s">
        <v>735</v>
      </c>
      <c r="B87" s="81" t="s">
        <v>72</v>
      </c>
      <c r="C87" s="81" t="s">
        <v>736</v>
      </c>
      <c r="D87" s="81" t="s">
        <v>164</v>
      </c>
      <c r="E87" s="82" t="s">
        <v>75</v>
      </c>
      <c r="F87" s="80" t="s">
        <v>688</v>
      </c>
      <c r="G87" s="80" t="s">
        <v>122</v>
      </c>
      <c r="H87" s="80" t="s">
        <v>737</v>
      </c>
      <c r="I87" s="80" t="s">
        <v>122</v>
      </c>
      <c r="J87" s="80" t="s">
        <v>738</v>
      </c>
      <c r="K87" s="80" t="s">
        <v>122</v>
      </c>
      <c r="L87" s="83">
        <v>5.0867769999999997</v>
      </c>
      <c r="M87" s="80" t="s">
        <v>684</v>
      </c>
      <c r="N87" s="83">
        <v>97582.150722499995</v>
      </c>
      <c r="O87" s="80" t="s">
        <v>739</v>
      </c>
    </row>
    <row r="88" spans="1:15" ht="24" customHeight="1" x14ac:dyDescent="0.2">
      <c r="A88" s="80" t="s">
        <v>740</v>
      </c>
      <c r="B88" s="81" t="s">
        <v>32</v>
      </c>
      <c r="C88" s="81" t="s">
        <v>741</v>
      </c>
      <c r="D88" s="81" t="s">
        <v>66</v>
      </c>
      <c r="E88" s="82" t="s">
        <v>46</v>
      </c>
      <c r="F88" s="80" t="s">
        <v>742</v>
      </c>
      <c r="G88" s="80" t="s">
        <v>122</v>
      </c>
      <c r="H88" s="80" t="s">
        <v>743</v>
      </c>
      <c r="I88" s="80" t="s">
        <v>122</v>
      </c>
      <c r="J88" s="80" t="s">
        <v>744</v>
      </c>
      <c r="K88" s="80" t="s">
        <v>122</v>
      </c>
      <c r="L88" s="83">
        <v>4.7543463240000001</v>
      </c>
      <c r="M88" s="80" t="s">
        <v>745</v>
      </c>
      <c r="N88" s="83">
        <v>97586.905068799999</v>
      </c>
      <c r="O88" s="80" t="s">
        <v>739</v>
      </c>
    </row>
    <row r="89" spans="1:15" ht="24" customHeight="1" x14ac:dyDescent="0.2">
      <c r="A89" s="80" t="s">
        <v>746</v>
      </c>
      <c r="B89" s="81" t="s">
        <v>72</v>
      </c>
      <c r="C89" s="81" t="s">
        <v>747</v>
      </c>
      <c r="D89" s="81" t="s">
        <v>164</v>
      </c>
      <c r="E89" s="82" t="s">
        <v>75</v>
      </c>
      <c r="F89" s="80" t="s">
        <v>718</v>
      </c>
      <c r="G89" s="80" t="s">
        <v>122</v>
      </c>
      <c r="H89" s="80" t="s">
        <v>748</v>
      </c>
      <c r="I89" s="80" t="s">
        <v>122</v>
      </c>
      <c r="J89" s="80" t="s">
        <v>749</v>
      </c>
      <c r="K89" s="80" t="s">
        <v>122</v>
      </c>
      <c r="L89" s="83">
        <v>4.4726400000000002</v>
      </c>
      <c r="M89" s="80" t="s">
        <v>745</v>
      </c>
      <c r="N89" s="83">
        <v>97591.377708800006</v>
      </c>
      <c r="O89" s="80" t="s">
        <v>750</v>
      </c>
    </row>
    <row r="90" spans="1:15" ht="24" customHeight="1" x14ac:dyDescent="0.2">
      <c r="A90" s="80" t="s">
        <v>115</v>
      </c>
      <c r="B90" s="81" t="s">
        <v>72</v>
      </c>
      <c r="C90" s="81" t="s">
        <v>116</v>
      </c>
      <c r="D90" s="81" t="s">
        <v>66</v>
      </c>
      <c r="E90" s="82" t="s">
        <v>39</v>
      </c>
      <c r="F90" s="80" t="s">
        <v>751</v>
      </c>
      <c r="G90" s="80" t="s">
        <v>122</v>
      </c>
      <c r="H90" s="80" t="s">
        <v>752</v>
      </c>
      <c r="I90" s="80" t="s">
        <v>122</v>
      </c>
      <c r="J90" s="80" t="s">
        <v>753</v>
      </c>
      <c r="K90" s="80" t="s">
        <v>122</v>
      </c>
      <c r="L90" s="83">
        <v>4.4352</v>
      </c>
      <c r="M90" s="80" t="s">
        <v>745</v>
      </c>
      <c r="N90" s="83">
        <v>97595.812908799999</v>
      </c>
      <c r="O90" s="80" t="s">
        <v>750</v>
      </c>
    </row>
    <row r="91" spans="1:15" ht="24" customHeight="1" x14ac:dyDescent="0.2">
      <c r="A91" s="80" t="s">
        <v>754</v>
      </c>
      <c r="B91" s="81" t="s">
        <v>32</v>
      </c>
      <c r="C91" s="81" t="s">
        <v>755</v>
      </c>
      <c r="D91" s="81" t="s">
        <v>502</v>
      </c>
      <c r="E91" s="82" t="s">
        <v>46</v>
      </c>
      <c r="F91" s="80" t="s">
        <v>565</v>
      </c>
      <c r="G91" s="80" t="s">
        <v>122</v>
      </c>
      <c r="H91" s="80" t="s">
        <v>756</v>
      </c>
      <c r="I91" s="80" t="s">
        <v>122</v>
      </c>
      <c r="J91" s="80" t="s">
        <v>757</v>
      </c>
      <c r="K91" s="80" t="s">
        <v>122</v>
      </c>
      <c r="L91" s="83">
        <v>4.1503236299999999</v>
      </c>
      <c r="M91" s="80" t="s">
        <v>745</v>
      </c>
      <c r="N91" s="83">
        <v>97599.963232399998</v>
      </c>
      <c r="O91" s="80" t="s">
        <v>758</v>
      </c>
    </row>
    <row r="92" spans="1:15" ht="24" customHeight="1" x14ac:dyDescent="0.2">
      <c r="A92" s="80" t="s">
        <v>759</v>
      </c>
      <c r="B92" s="81" t="s">
        <v>72</v>
      </c>
      <c r="C92" s="81" t="s">
        <v>760</v>
      </c>
      <c r="D92" s="81" t="s">
        <v>164</v>
      </c>
      <c r="E92" s="82" t="s">
        <v>75</v>
      </c>
      <c r="F92" s="80" t="s">
        <v>761</v>
      </c>
      <c r="G92" s="80" t="s">
        <v>122</v>
      </c>
      <c r="H92" s="80" t="s">
        <v>762</v>
      </c>
      <c r="I92" s="80" t="s">
        <v>122</v>
      </c>
      <c r="J92" s="80" t="s">
        <v>763</v>
      </c>
      <c r="K92" s="80" t="s">
        <v>122</v>
      </c>
      <c r="L92" s="83">
        <v>3.96</v>
      </c>
      <c r="M92" s="80" t="s">
        <v>745</v>
      </c>
      <c r="N92" s="83">
        <v>97603.923232400004</v>
      </c>
      <c r="O92" s="80" t="s">
        <v>758</v>
      </c>
    </row>
    <row r="93" spans="1:15" ht="24" customHeight="1" x14ac:dyDescent="0.2">
      <c r="A93" s="80" t="s">
        <v>764</v>
      </c>
      <c r="B93" s="81" t="s">
        <v>72</v>
      </c>
      <c r="C93" s="81" t="s">
        <v>765</v>
      </c>
      <c r="D93" s="81" t="s">
        <v>164</v>
      </c>
      <c r="E93" s="82" t="s">
        <v>75</v>
      </c>
      <c r="F93" s="80" t="s">
        <v>761</v>
      </c>
      <c r="G93" s="80" t="s">
        <v>122</v>
      </c>
      <c r="H93" s="80" t="s">
        <v>766</v>
      </c>
      <c r="I93" s="80" t="s">
        <v>122</v>
      </c>
      <c r="J93" s="80" t="s">
        <v>767</v>
      </c>
      <c r="K93" s="80" t="s">
        <v>122</v>
      </c>
      <c r="L93" s="83">
        <v>3.7679999999999998</v>
      </c>
      <c r="M93" s="80" t="s">
        <v>745</v>
      </c>
      <c r="N93" s="83">
        <v>97607.6912324</v>
      </c>
      <c r="O93" s="80" t="s">
        <v>758</v>
      </c>
    </row>
    <row r="94" spans="1:15" ht="36" customHeight="1" x14ac:dyDescent="0.2">
      <c r="A94" s="80" t="s">
        <v>768</v>
      </c>
      <c r="B94" s="81" t="s">
        <v>72</v>
      </c>
      <c r="C94" s="81" t="s">
        <v>769</v>
      </c>
      <c r="D94" s="81" t="s">
        <v>164</v>
      </c>
      <c r="E94" s="82" t="s">
        <v>39</v>
      </c>
      <c r="F94" s="80" t="s">
        <v>770</v>
      </c>
      <c r="G94" s="80" t="s">
        <v>122</v>
      </c>
      <c r="H94" s="80" t="s">
        <v>771</v>
      </c>
      <c r="I94" s="80" t="s">
        <v>122</v>
      </c>
      <c r="J94" s="80" t="s">
        <v>772</v>
      </c>
      <c r="K94" s="80" t="s">
        <v>122</v>
      </c>
      <c r="L94" s="83">
        <v>3.6796052100000001</v>
      </c>
      <c r="M94" s="80" t="s">
        <v>745</v>
      </c>
      <c r="N94" s="83">
        <v>97611.3708376</v>
      </c>
      <c r="O94" s="80" t="s">
        <v>773</v>
      </c>
    </row>
    <row r="95" spans="1:15" ht="24" customHeight="1" x14ac:dyDescent="0.2">
      <c r="A95" s="80" t="s">
        <v>774</v>
      </c>
      <c r="B95" s="81" t="s">
        <v>45</v>
      </c>
      <c r="C95" s="81" t="s">
        <v>775</v>
      </c>
      <c r="D95" s="81" t="s">
        <v>164</v>
      </c>
      <c r="E95" s="82" t="s">
        <v>39</v>
      </c>
      <c r="F95" s="80" t="s">
        <v>776</v>
      </c>
      <c r="G95" s="80" t="s">
        <v>538</v>
      </c>
      <c r="H95" s="80" t="s">
        <v>777</v>
      </c>
      <c r="I95" s="80" t="s">
        <v>778</v>
      </c>
      <c r="J95" s="80" t="s">
        <v>779</v>
      </c>
      <c r="K95" s="80" t="s">
        <v>542</v>
      </c>
      <c r="L95" s="83">
        <v>3.3989760420000006</v>
      </c>
      <c r="M95" s="80" t="s">
        <v>745</v>
      </c>
      <c r="N95" s="83">
        <v>97614.769813599996</v>
      </c>
      <c r="O95" s="80" t="s">
        <v>773</v>
      </c>
    </row>
    <row r="96" spans="1:15" ht="24" customHeight="1" x14ac:dyDescent="0.2">
      <c r="A96" s="80" t="s">
        <v>780</v>
      </c>
      <c r="B96" s="81" t="s">
        <v>72</v>
      </c>
      <c r="C96" s="81" t="s">
        <v>781</v>
      </c>
      <c r="D96" s="81" t="s">
        <v>66</v>
      </c>
      <c r="E96" s="82" t="s">
        <v>782</v>
      </c>
      <c r="F96" s="80" t="s">
        <v>783</v>
      </c>
      <c r="G96" s="80" t="s">
        <v>122</v>
      </c>
      <c r="H96" s="80" t="s">
        <v>784</v>
      </c>
      <c r="I96" s="80" t="s">
        <v>122</v>
      </c>
      <c r="J96" s="80" t="s">
        <v>785</v>
      </c>
      <c r="K96" s="80" t="s">
        <v>122</v>
      </c>
      <c r="L96" s="83">
        <v>3.15381438</v>
      </c>
      <c r="M96" s="80" t="s">
        <v>745</v>
      </c>
      <c r="N96" s="83">
        <v>97617.923628000004</v>
      </c>
      <c r="O96" s="80" t="s">
        <v>773</v>
      </c>
    </row>
    <row r="97" spans="1:15" ht="24" customHeight="1" x14ac:dyDescent="0.2">
      <c r="A97" s="80" t="s">
        <v>786</v>
      </c>
      <c r="B97" s="81" t="s">
        <v>72</v>
      </c>
      <c r="C97" s="81" t="s">
        <v>787</v>
      </c>
      <c r="D97" s="81" t="s">
        <v>164</v>
      </c>
      <c r="E97" s="82" t="s">
        <v>75</v>
      </c>
      <c r="F97" s="80" t="s">
        <v>447</v>
      </c>
      <c r="G97" s="80" t="s">
        <v>122</v>
      </c>
      <c r="H97" s="80" t="s">
        <v>788</v>
      </c>
      <c r="I97" s="80" t="s">
        <v>122</v>
      </c>
      <c r="J97" s="80" t="s">
        <v>789</v>
      </c>
      <c r="K97" s="80" t="s">
        <v>122</v>
      </c>
      <c r="L97" s="83">
        <v>2.35</v>
      </c>
      <c r="M97" s="80" t="s">
        <v>745</v>
      </c>
      <c r="N97" s="83">
        <v>97620.273627999995</v>
      </c>
      <c r="O97" s="80" t="s">
        <v>790</v>
      </c>
    </row>
    <row r="98" spans="1:15" ht="24" customHeight="1" x14ac:dyDescent="0.2">
      <c r="A98" s="80" t="s">
        <v>791</v>
      </c>
      <c r="B98" s="81" t="s">
        <v>72</v>
      </c>
      <c r="C98" s="81" t="s">
        <v>792</v>
      </c>
      <c r="D98" s="81" t="s">
        <v>164</v>
      </c>
      <c r="E98" s="82" t="s">
        <v>39</v>
      </c>
      <c r="F98" s="80" t="s">
        <v>793</v>
      </c>
      <c r="G98" s="80" t="s">
        <v>122</v>
      </c>
      <c r="H98" s="80" t="s">
        <v>794</v>
      </c>
      <c r="I98" s="80" t="s">
        <v>122</v>
      </c>
      <c r="J98" s="80" t="s">
        <v>795</v>
      </c>
      <c r="K98" s="80" t="s">
        <v>122</v>
      </c>
      <c r="L98" s="83">
        <v>1.9976070399999999</v>
      </c>
      <c r="M98" s="80" t="s">
        <v>745</v>
      </c>
      <c r="N98" s="83">
        <v>97622.271234999993</v>
      </c>
      <c r="O98" s="80" t="s">
        <v>790</v>
      </c>
    </row>
    <row r="99" spans="1:15" ht="24" customHeight="1" x14ac:dyDescent="0.2">
      <c r="A99" s="80" t="s">
        <v>796</v>
      </c>
      <c r="B99" s="81" t="s">
        <v>72</v>
      </c>
      <c r="C99" s="81" t="s">
        <v>797</v>
      </c>
      <c r="D99" s="81" t="s">
        <v>66</v>
      </c>
      <c r="E99" s="82" t="s">
        <v>121</v>
      </c>
      <c r="F99" s="80" t="s">
        <v>798</v>
      </c>
      <c r="G99" s="80" t="s">
        <v>122</v>
      </c>
      <c r="H99" s="80" t="s">
        <v>799</v>
      </c>
      <c r="I99" s="80" t="s">
        <v>122</v>
      </c>
      <c r="J99" s="80" t="s">
        <v>800</v>
      </c>
      <c r="K99" s="80" t="s">
        <v>122</v>
      </c>
      <c r="L99" s="83">
        <v>1.941194112</v>
      </c>
      <c r="M99" s="80" t="s">
        <v>745</v>
      </c>
      <c r="N99" s="83">
        <v>97624.212429099993</v>
      </c>
      <c r="O99" s="80" t="s">
        <v>790</v>
      </c>
    </row>
    <row r="100" spans="1:15" ht="24" customHeight="1" x14ac:dyDescent="0.2">
      <c r="A100" s="80" t="s">
        <v>801</v>
      </c>
      <c r="B100" s="81" t="s">
        <v>72</v>
      </c>
      <c r="C100" s="81" t="s">
        <v>802</v>
      </c>
      <c r="D100" s="81" t="s">
        <v>164</v>
      </c>
      <c r="E100" s="82" t="s">
        <v>782</v>
      </c>
      <c r="F100" s="80" t="s">
        <v>803</v>
      </c>
      <c r="G100" s="80" t="s">
        <v>122</v>
      </c>
      <c r="H100" s="80" t="s">
        <v>804</v>
      </c>
      <c r="I100" s="80" t="s">
        <v>122</v>
      </c>
      <c r="J100" s="80" t="s">
        <v>805</v>
      </c>
      <c r="K100" s="80" t="s">
        <v>122</v>
      </c>
      <c r="L100" s="83">
        <v>1.7983838400000001</v>
      </c>
      <c r="M100" s="80" t="s">
        <v>745</v>
      </c>
      <c r="N100" s="83">
        <v>97626.0108129</v>
      </c>
      <c r="O100" s="80" t="s">
        <v>790</v>
      </c>
    </row>
    <row r="101" spans="1:15" ht="24" customHeight="1" x14ac:dyDescent="0.2">
      <c r="A101" s="80" t="s">
        <v>806</v>
      </c>
      <c r="B101" s="81" t="s">
        <v>72</v>
      </c>
      <c r="C101" s="81" t="s">
        <v>807</v>
      </c>
      <c r="D101" s="81" t="s">
        <v>66</v>
      </c>
      <c r="E101" s="82" t="s">
        <v>808</v>
      </c>
      <c r="F101" s="80" t="s">
        <v>809</v>
      </c>
      <c r="G101" s="80" t="s">
        <v>122</v>
      </c>
      <c r="H101" s="80" t="s">
        <v>810</v>
      </c>
      <c r="I101" s="80" t="s">
        <v>122</v>
      </c>
      <c r="J101" s="80" t="s">
        <v>811</v>
      </c>
      <c r="K101" s="80" t="s">
        <v>122</v>
      </c>
      <c r="L101" s="83">
        <v>1.7230155250000001</v>
      </c>
      <c r="M101" s="80" t="s">
        <v>745</v>
      </c>
      <c r="N101" s="83">
        <v>97627.7338284</v>
      </c>
      <c r="O101" s="80" t="s">
        <v>790</v>
      </c>
    </row>
    <row r="102" spans="1:15" ht="24" customHeight="1" x14ac:dyDescent="0.2">
      <c r="A102" s="80" t="s">
        <v>812</v>
      </c>
      <c r="B102" s="81" t="s">
        <v>32</v>
      </c>
      <c r="C102" s="81" t="s">
        <v>813</v>
      </c>
      <c r="D102" s="81" t="s">
        <v>164</v>
      </c>
      <c r="E102" s="82" t="s">
        <v>46</v>
      </c>
      <c r="F102" s="80" t="s">
        <v>814</v>
      </c>
      <c r="G102" s="80" t="s">
        <v>122</v>
      </c>
      <c r="H102" s="80" t="s">
        <v>815</v>
      </c>
      <c r="I102" s="80" t="s">
        <v>122</v>
      </c>
      <c r="J102" s="80" t="s">
        <v>816</v>
      </c>
      <c r="K102" s="80" t="s">
        <v>122</v>
      </c>
      <c r="L102" s="83">
        <v>1.6771157619999999</v>
      </c>
      <c r="M102" s="80" t="s">
        <v>745</v>
      </c>
      <c r="N102" s="83">
        <v>97629.410944200004</v>
      </c>
      <c r="O102" s="80" t="s">
        <v>817</v>
      </c>
    </row>
    <row r="103" spans="1:15" ht="24" customHeight="1" x14ac:dyDescent="0.2">
      <c r="A103" s="80" t="s">
        <v>818</v>
      </c>
      <c r="B103" s="81" t="s">
        <v>32</v>
      </c>
      <c r="C103" s="81" t="s">
        <v>819</v>
      </c>
      <c r="D103" s="81" t="s">
        <v>66</v>
      </c>
      <c r="E103" s="82" t="s">
        <v>46</v>
      </c>
      <c r="F103" s="80" t="s">
        <v>565</v>
      </c>
      <c r="G103" s="80" t="s">
        <v>122</v>
      </c>
      <c r="H103" s="80" t="s">
        <v>820</v>
      </c>
      <c r="I103" s="80" t="s">
        <v>122</v>
      </c>
      <c r="J103" s="80" t="s">
        <v>821</v>
      </c>
      <c r="K103" s="80" t="s">
        <v>122</v>
      </c>
      <c r="L103" s="83">
        <v>1.6206787199999999</v>
      </c>
      <c r="M103" s="80" t="s">
        <v>745</v>
      </c>
      <c r="N103" s="83">
        <v>97631.031622900002</v>
      </c>
      <c r="O103" s="80" t="s">
        <v>817</v>
      </c>
    </row>
    <row r="104" spans="1:15" ht="24" customHeight="1" x14ac:dyDescent="0.2">
      <c r="A104" s="80" t="s">
        <v>822</v>
      </c>
      <c r="B104" s="81" t="s">
        <v>32</v>
      </c>
      <c r="C104" s="81" t="s">
        <v>823</v>
      </c>
      <c r="D104" s="81" t="s">
        <v>66</v>
      </c>
      <c r="E104" s="82" t="s">
        <v>138</v>
      </c>
      <c r="F104" s="80" t="s">
        <v>824</v>
      </c>
      <c r="G104" s="80" t="s">
        <v>122</v>
      </c>
      <c r="H104" s="80" t="s">
        <v>825</v>
      </c>
      <c r="I104" s="80" t="s">
        <v>122</v>
      </c>
      <c r="J104" s="80" t="s">
        <v>724</v>
      </c>
      <c r="K104" s="80" t="s">
        <v>122</v>
      </c>
      <c r="L104" s="83">
        <v>1.2986688</v>
      </c>
      <c r="M104" s="80" t="s">
        <v>745</v>
      </c>
      <c r="N104" s="83">
        <v>97632.330291699996</v>
      </c>
      <c r="O104" s="80" t="s">
        <v>817</v>
      </c>
    </row>
    <row r="105" spans="1:15" ht="24" customHeight="1" x14ac:dyDescent="0.2">
      <c r="A105" s="80" t="s">
        <v>826</v>
      </c>
      <c r="B105" s="81" t="s">
        <v>72</v>
      </c>
      <c r="C105" s="81" t="s">
        <v>827</v>
      </c>
      <c r="D105" s="81" t="s">
        <v>828</v>
      </c>
      <c r="E105" s="82" t="s">
        <v>75</v>
      </c>
      <c r="F105" s="80" t="s">
        <v>495</v>
      </c>
      <c r="G105" s="80" t="s">
        <v>122</v>
      </c>
      <c r="H105" s="80" t="s">
        <v>829</v>
      </c>
      <c r="I105" s="80" t="s">
        <v>122</v>
      </c>
      <c r="J105" s="80" t="s">
        <v>830</v>
      </c>
      <c r="K105" s="80" t="s">
        <v>122</v>
      </c>
      <c r="L105" s="83">
        <v>1.2879014900000001</v>
      </c>
      <c r="M105" s="80" t="s">
        <v>745</v>
      </c>
      <c r="N105" s="83">
        <v>97633.618193200004</v>
      </c>
      <c r="O105" s="80" t="s">
        <v>817</v>
      </c>
    </row>
    <row r="106" spans="1:15" ht="24" customHeight="1" x14ac:dyDescent="0.2">
      <c r="A106" s="80" t="s">
        <v>831</v>
      </c>
      <c r="B106" s="81" t="s">
        <v>32</v>
      </c>
      <c r="C106" s="81" t="s">
        <v>832</v>
      </c>
      <c r="D106" s="81" t="s">
        <v>66</v>
      </c>
      <c r="E106" s="82" t="s">
        <v>43</v>
      </c>
      <c r="F106" s="80" t="s">
        <v>833</v>
      </c>
      <c r="G106" s="80" t="s">
        <v>122</v>
      </c>
      <c r="H106" s="80" t="s">
        <v>834</v>
      </c>
      <c r="I106" s="80" t="s">
        <v>122</v>
      </c>
      <c r="J106" s="80" t="s">
        <v>835</v>
      </c>
      <c r="K106" s="80" t="s">
        <v>122</v>
      </c>
      <c r="L106" s="83">
        <v>1.13828</v>
      </c>
      <c r="M106" s="80" t="s">
        <v>745</v>
      </c>
      <c r="N106" s="83">
        <v>97634.756473200003</v>
      </c>
      <c r="O106" s="80" t="s">
        <v>817</v>
      </c>
    </row>
    <row r="107" spans="1:15" ht="24" customHeight="1" x14ac:dyDescent="0.2">
      <c r="A107" s="80" t="s">
        <v>836</v>
      </c>
      <c r="B107" s="81" t="s">
        <v>45</v>
      </c>
      <c r="C107" s="81" t="s">
        <v>837</v>
      </c>
      <c r="D107" s="81" t="s">
        <v>164</v>
      </c>
      <c r="E107" s="82" t="s">
        <v>39</v>
      </c>
      <c r="F107" s="80" t="s">
        <v>838</v>
      </c>
      <c r="G107" s="80" t="s">
        <v>538</v>
      </c>
      <c r="H107" s="80" t="s">
        <v>839</v>
      </c>
      <c r="I107" s="80" t="s">
        <v>840</v>
      </c>
      <c r="J107" s="80" t="s">
        <v>841</v>
      </c>
      <c r="K107" s="80" t="s">
        <v>542</v>
      </c>
      <c r="L107" s="83">
        <v>1.0692140990000001</v>
      </c>
      <c r="M107" s="80" t="s">
        <v>745</v>
      </c>
      <c r="N107" s="83">
        <v>97635.825687300006</v>
      </c>
      <c r="O107" s="80" t="s">
        <v>817</v>
      </c>
    </row>
    <row r="108" spans="1:15" ht="24" customHeight="1" x14ac:dyDescent="0.2">
      <c r="A108" s="80" t="s">
        <v>842</v>
      </c>
      <c r="B108" s="81" t="s">
        <v>45</v>
      </c>
      <c r="C108" s="81" t="s">
        <v>843</v>
      </c>
      <c r="D108" s="81" t="s">
        <v>164</v>
      </c>
      <c r="E108" s="82" t="s">
        <v>39</v>
      </c>
      <c r="F108" s="80" t="s">
        <v>844</v>
      </c>
      <c r="G108" s="80" t="s">
        <v>538</v>
      </c>
      <c r="H108" s="80" t="s">
        <v>845</v>
      </c>
      <c r="I108" s="80" t="s">
        <v>846</v>
      </c>
      <c r="J108" s="80" t="s">
        <v>847</v>
      </c>
      <c r="K108" s="80" t="s">
        <v>542</v>
      </c>
      <c r="L108" s="83">
        <v>1.0079597300000001</v>
      </c>
      <c r="M108" s="80" t="s">
        <v>745</v>
      </c>
      <c r="N108" s="83">
        <v>97636.833647000007</v>
      </c>
      <c r="O108" s="80" t="s">
        <v>817</v>
      </c>
    </row>
    <row r="109" spans="1:15" ht="24" customHeight="1" x14ac:dyDescent="0.2">
      <c r="A109" s="80" t="s">
        <v>848</v>
      </c>
      <c r="B109" s="81" t="s">
        <v>72</v>
      </c>
      <c r="C109" s="81" t="s">
        <v>849</v>
      </c>
      <c r="D109" s="81" t="s">
        <v>66</v>
      </c>
      <c r="E109" s="82" t="s">
        <v>78</v>
      </c>
      <c r="F109" s="80" t="s">
        <v>850</v>
      </c>
      <c r="G109" s="80" t="s">
        <v>122</v>
      </c>
      <c r="H109" s="80" t="s">
        <v>851</v>
      </c>
      <c r="I109" s="80" t="s">
        <v>122</v>
      </c>
      <c r="J109" s="80" t="s">
        <v>852</v>
      </c>
      <c r="K109" s="80" t="s">
        <v>122</v>
      </c>
      <c r="L109" s="83">
        <v>0.98457216000000003</v>
      </c>
      <c r="M109" s="80" t="s">
        <v>745</v>
      </c>
      <c r="N109" s="83">
        <v>97637.818219199995</v>
      </c>
      <c r="O109" s="80" t="s">
        <v>853</v>
      </c>
    </row>
    <row r="110" spans="1:15" ht="24" customHeight="1" x14ac:dyDescent="0.2">
      <c r="A110" s="80" t="s">
        <v>854</v>
      </c>
      <c r="B110" s="81" t="s">
        <v>72</v>
      </c>
      <c r="C110" s="81" t="s">
        <v>855</v>
      </c>
      <c r="D110" s="81" t="s">
        <v>494</v>
      </c>
      <c r="E110" s="82" t="s">
        <v>75</v>
      </c>
      <c r="F110" s="80" t="s">
        <v>503</v>
      </c>
      <c r="G110" s="80" t="s">
        <v>122</v>
      </c>
      <c r="H110" s="80" t="s">
        <v>829</v>
      </c>
      <c r="I110" s="80" t="s">
        <v>122</v>
      </c>
      <c r="J110" s="80" t="s">
        <v>852</v>
      </c>
      <c r="K110" s="80" t="s">
        <v>122</v>
      </c>
      <c r="L110" s="83">
        <v>0.98290149000000004</v>
      </c>
      <c r="M110" s="80" t="s">
        <v>745</v>
      </c>
      <c r="N110" s="83">
        <v>97638.801120699994</v>
      </c>
      <c r="O110" s="80" t="s">
        <v>853</v>
      </c>
    </row>
    <row r="111" spans="1:15" ht="24" customHeight="1" x14ac:dyDescent="0.2">
      <c r="A111" s="80" t="s">
        <v>856</v>
      </c>
      <c r="B111" s="81" t="s">
        <v>32</v>
      </c>
      <c r="C111" s="81" t="s">
        <v>857</v>
      </c>
      <c r="D111" s="81" t="s">
        <v>164</v>
      </c>
      <c r="E111" s="82" t="s">
        <v>46</v>
      </c>
      <c r="F111" s="80" t="s">
        <v>814</v>
      </c>
      <c r="G111" s="80" t="s">
        <v>122</v>
      </c>
      <c r="H111" s="80" t="s">
        <v>858</v>
      </c>
      <c r="I111" s="80" t="s">
        <v>122</v>
      </c>
      <c r="J111" s="80" t="s">
        <v>424</v>
      </c>
      <c r="K111" s="80" t="s">
        <v>122</v>
      </c>
      <c r="L111" s="83">
        <v>0.79645471999999995</v>
      </c>
      <c r="M111" s="80" t="s">
        <v>745</v>
      </c>
      <c r="N111" s="83">
        <v>97639.597575399996</v>
      </c>
      <c r="O111" s="80" t="s">
        <v>853</v>
      </c>
    </row>
    <row r="112" spans="1:15" ht="24" customHeight="1" x14ac:dyDescent="0.2">
      <c r="A112" s="80" t="s">
        <v>859</v>
      </c>
      <c r="B112" s="81" t="s">
        <v>72</v>
      </c>
      <c r="C112" s="81" t="s">
        <v>860</v>
      </c>
      <c r="D112" s="81" t="s">
        <v>164</v>
      </c>
      <c r="E112" s="82" t="s">
        <v>75</v>
      </c>
      <c r="F112" s="80" t="s">
        <v>526</v>
      </c>
      <c r="G112" s="80" t="s">
        <v>122</v>
      </c>
      <c r="H112" s="80" t="s">
        <v>829</v>
      </c>
      <c r="I112" s="80" t="s">
        <v>122</v>
      </c>
      <c r="J112" s="80" t="s">
        <v>861</v>
      </c>
      <c r="K112" s="80" t="s">
        <v>122</v>
      </c>
      <c r="L112" s="83">
        <v>0.74504594999999996</v>
      </c>
      <c r="M112" s="80" t="s">
        <v>745</v>
      </c>
      <c r="N112" s="83">
        <v>97640.342621400006</v>
      </c>
      <c r="O112" s="80" t="s">
        <v>853</v>
      </c>
    </row>
    <row r="113" spans="1:15" ht="24" customHeight="1" x14ac:dyDescent="0.2">
      <c r="A113" s="80" t="s">
        <v>862</v>
      </c>
      <c r="B113" s="81" t="s">
        <v>72</v>
      </c>
      <c r="C113" s="81" t="s">
        <v>863</v>
      </c>
      <c r="D113" s="81" t="s">
        <v>164</v>
      </c>
      <c r="E113" s="82" t="s">
        <v>75</v>
      </c>
      <c r="F113" s="80" t="s">
        <v>729</v>
      </c>
      <c r="G113" s="80" t="s">
        <v>122</v>
      </c>
      <c r="H113" s="80" t="s">
        <v>864</v>
      </c>
      <c r="I113" s="80" t="s">
        <v>122</v>
      </c>
      <c r="J113" s="80" t="s">
        <v>865</v>
      </c>
      <c r="K113" s="80" t="s">
        <v>122</v>
      </c>
      <c r="L113" s="83">
        <v>0.57999999999999996</v>
      </c>
      <c r="M113" s="80" t="s">
        <v>745</v>
      </c>
      <c r="N113" s="83">
        <v>97640.922621399994</v>
      </c>
      <c r="O113" s="80" t="s">
        <v>853</v>
      </c>
    </row>
    <row r="114" spans="1:15" ht="24" customHeight="1" x14ac:dyDescent="0.2">
      <c r="A114" s="80" t="s">
        <v>866</v>
      </c>
      <c r="B114" s="81" t="s">
        <v>72</v>
      </c>
      <c r="C114" s="81" t="s">
        <v>867</v>
      </c>
      <c r="D114" s="81" t="s">
        <v>164</v>
      </c>
      <c r="E114" s="82" t="s">
        <v>39</v>
      </c>
      <c r="F114" s="80" t="s">
        <v>868</v>
      </c>
      <c r="G114" s="80" t="s">
        <v>122</v>
      </c>
      <c r="H114" s="80" t="s">
        <v>869</v>
      </c>
      <c r="I114" s="80" t="s">
        <v>122</v>
      </c>
      <c r="J114" s="80" t="s">
        <v>870</v>
      </c>
      <c r="K114" s="80" t="s">
        <v>122</v>
      </c>
      <c r="L114" s="83">
        <v>0.54036541199999999</v>
      </c>
      <c r="M114" s="80" t="s">
        <v>745</v>
      </c>
      <c r="N114" s="83">
        <v>97641.462986800005</v>
      </c>
      <c r="O114" s="80" t="s">
        <v>853</v>
      </c>
    </row>
    <row r="115" spans="1:15" ht="24" customHeight="1" x14ac:dyDescent="0.2">
      <c r="A115" s="80" t="s">
        <v>871</v>
      </c>
      <c r="B115" s="81" t="s">
        <v>72</v>
      </c>
      <c r="C115" s="81" t="s">
        <v>872</v>
      </c>
      <c r="D115" s="81" t="s">
        <v>66</v>
      </c>
      <c r="E115" s="82" t="s">
        <v>39</v>
      </c>
      <c r="F115" s="80" t="s">
        <v>873</v>
      </c>
      <c r="G115" s="80" t="s">
        <v>122</v>
      </c>
      <c r="H115" s="80" t="s">
        <v>874</v>
      </c>
      <c r="I115" s="80" t="s">
        <v>122</v>
      </c>
      <c r="J115" s="80" t="s">
        <v>875</v>
      </c>
      <c r="K115" s="80" t="s">
        <v>122</v>
      </c>
      <c r="L115" s="83">
        <v>0.521744816</v>
      </c>
      <c r="M115" s="80" t="s">
        <v>745</v>
      </c>
      <c r="N115" s="83">
        <v>97641.984731599994</v>
      </c>
      <c r="O115" s="80" t="s">
        <v>853</v>
      </c>
    </row>
    <row r="116" spans="1:15" ht="24" customHeight="1" x14ac:dyDescent="0.2">
      <c r="A116" s="80" t="s">
        <v>876</v>
      </c>
      <c r="B116" s="81" t="s">
        <v>72</v>
      </c>
      <c r="C116" s="81" t="s">
        <v>877</v>
      </c>
      <c r="D116" s="81" t="s">
        <v>164</v>
      </c>
      <c r="E116" s="82" t="s">
        <v>39</v>
      </c>
      <c r="F116" s="80" t="s">
        <v>878</v>
      </c>
      <c r="G116" s="80" t="s">
        <v>122</v>
      </c>
      <c r="H116" s="80" t="s">
        <v>879</v>
      </c>
      <c r="I116" s="80" t="s">
        <v>122</v>
      </c>
      <c r="J116" s="80" t="s">
        <v>880</v>
      </c>
      <c r="K116" s="80" t="s">
        <v>122</v>
      </c>
      <c r="L116" s="83">
        <v>0.42834341999999997</v>
      </c>
      <c r="M116" s="80" t="s">
        <v>745</v>
      </c>
      <c r="N116" s="83">
        <v>97642.413075000004</v>
      </c>
      <c r="O116" s="80" t="s">
        <v>853</v>
      </c>
    </row>
    <row r="117" spans="1:15" ht="24" customHeight="1" x14ac:dyDescent="0.2">
      <c r="A117" s="80" t="s">
        <v>881</v>
      </c>
      <c r="B117" s="81" t="s">
        <v>32</v>
      </c>
      <c r="C117" s="81" t="s">
        <v>882</v>
      </c>
      <c r="D117" s="81" t="s">
        <v>66</v>
      </c>
      <c r="E117" s="82" t="s">
        <v>883</v>
      </c>
      <c r="F117" s="80" t="s">
        <v>884</v>
      </c>
      <c r="G117" s="80" t="s">
        <v>122</v>
      </c>
      <c r="H117" s="80" t="s">
        <v>885</v>
      </c>
      <c r="I117" s="80" t="s">
        <v>122</v>
      </c>
      <c r="J117" s="80" t="s">
        <v>886</v>
      </c>
      <c r="K117" s="80" t="s">
        <v>122</v>
      </c>
      <c r="L117" s="83">
        <v>0.33138679999999998</v>
      </c>
      <c r="M117" s="80" t="s">
        <v>745</v>
      </c>
      <c r="N117" s="83">
        <v>97642.744461800001</v>
      </c>
      <c r="O117" s="80" t="s">
        <v>853</v>
      </c>
    </row>
    <row r="118" spans="1:15" ht="24" customHeight="1" x14ac:dyDescent="0.2">
      <c r="A118" s="80" t="s">
        <v>887</v>
      </c>
      <c r="B118" s="81" t="s">
        <v>72</v>
      </c>
      <c r="C118" s="81" t="s">
        <v>888</v>
      </c>
      <c r="D118" s="81" t="s">
        <v>164</v>
      </c>
      <c r="E118" s="82" t="s">
        <v>75</v>
      </c>
      <c r="F118" s="80" t="s">
        <v>637</v>
      </c>
      <c r="G118" s="80" t="s">
        <v>122</v>
      </c>
      <c r="H118" s="80" t="s">
        <v>829</v>
      </c>
      <c r="I118" s="80" t="s">
        <v>122</v>
      </c>
      <c r="J118" s="80" t="s">
        <v>889</v>
      </c>
      <c r="K118" s="80" t="s">
        <v>122</v>
      </c>
      <c r="L118" s="83">
        <v>0.3</v>
      </c>
      <c r="M118" s="80" t="s">
        <v>745</v>
      </c>
      <c r="N118" s="83">
        <v>97643.044461800004</v>
      </c>
      <c r="O118" s="80" t="s">
        <v>853</v>
      </c>
    </row>
    <row r="119" spans="1:15" ht="24" customHeight="1" x14ac:dyDescent="0.2">
      <c r="A119" s="80" t="s">
        <v>890</v>
      </c>
      <c r="B119" s="81" t="s">
        <v>72</v>
      </c>
      <c r="C119" s="81" t="s">
        <v>891</v>
      </c>
      <c r="D119" s="81" t="s">
        <v>66</v>
      </c>
      <c r="E119" s="82" t="s">
        <v>154</v>
      </c>
      <c r="F119" s="80" t="s">
        <v>892</v>
      </c>
      <c r="G119" s="80" t="s">
        <v>122</v>
      </c>
      <c r="H119" s="80" t="s">
        <v>893</v>
      </c>
      <c r="I119" s="80" t="s">
        <v>122</v>
      </c>
      <c r="J119" s="80" t="s">
        <v>894</v>
      </c>
      <c r="K119" s="80" t="s">
        <v>122</v>
      </c>
      <c r="L119" s="83">
        <v>0.29315311199999999</v>
      </c>
      <c r="M119" s="80" t="s">
        <v>745</v>
      </c>
      <c r="N119" s="83">
        <v>97643.337614899996</v>
      </c>
      <c r="O119" s="80" t="s">
        <v>853</v>
      </c>
    </row>
    <row r="120" spans="1:15" ht="24" customHeight="1" x14ac:dyDescent="0.2">
      <c r="A120" s="80" t="s">
        <v>895</v>
      </c>
      <c r="B120" s="81" t="s">
        <v>72</v>
      </c>
      <c r="C120" s="81" t="s">
        <v>896</v>
      </c>
      <c r="D120" s="81" t="s">
        <v>66</v>
      </c>
      <c r="E120" s="82" t="s">
        <v>78</v>
      </c>
      <c r="F120" s="80" t="s">
        <v>897</v>
      </c>
      <c r="G120" s="80" t="s">
        <v>122</v>
      </c>
      <c r="H120" s="80" t="s">
        <v>898</v>
      </c>
      <c r="I120" s="80" t="s">
        <v>122</v>
      </c>
      <c r="J120" s="80" t="s">
        <v>899</v>
      </c>
      <c r="K120" s="80" t="s">
        <v>122</v>
      </c>
      <c r="L120" s="83">
        <v>0.24947208000000001</v>
      </c>
      <c r="M120" s="80" t="s">
        <v>745</v>
      </c>
      <c r="N120" s="83">
        <v>97643.587087000007</v>
      </c>
      <c r="O120" s="80" t="s">
        <v>853</v>
      </c>
    </row>
    <row r="121" spans="1:15" ht="24" customHeight="1" x14ac:dyDescent="0.2">
      <c r="A121" s="80" t="s">
        <v>900</v>
      </c>
      <c r="B121" s="81" t="s">
        <v>32</v>
      </c>
      <c r="C121" s="81" t="s">
        <v>901</v>
      </c>
      <c r="D121" s="81" t="s">
        <v>66</v>
      </c>
      <c r="E121" s="82" t="s">
        <v>46</v>
      </c>
      <c r="F121" s="80" t="s">
        <v>902</v>
      </c>
      <c r="G121" s="80" t="s">
        <v>122</v>
      </c>
      <c r="H121" s="80" t="s">
        <v>903</v>
      </c>
      <c r="I121" s="80" t="s">
        <v>122</v>
      </c>
      <c r="J121" s="80" t="s">
        <v>899</v>
      </c>
      <c r="K121" s="80" t="s">
        <v>122</v>
      </c>
      <c r="L121" s="83">
        <v>0.24540920799999999</v>
      </c>
      <c r="M121" s="80" t="s">
        <v>745</v>
      </c>
      <c r="N121" s="83">
        <v>97643.832496200004</v>
      </c>
      <c r="O121" s="80" t="s">
        <v>853</v>
      </c>
    </row>
    <row r="122" spans="1:15" ht="24" customHeight="1" x14ac:dyDescent="0.2">
      <c r="A122" s="80" t="s">
        <v>904</v>
      </c>
      <c r="B122" s="81" t="s">
        <v>72</v>
      </c>
      <c r="C122" s="81" t="s">
        <v>905</v>
      </c>
      <c r="D122" s="81" t="s">
        <v>66</v>
      </c>
      <c r="E122" s="82" t="s">
        <v>39</v>
      </c>
      <c r="F122" s="80" t="s">
        <v>906</v>
      </c>
      <c r="G122" s="80" t="s">
        <v>122</v>
      </c>
      <c r="H122" s="80" t="s">
        <v>907</v>
      </c>
      <c r="I122" s="80" t="s">
        <v>122</v>
      </c>
      <c r="J122" s="80" t="s">
        <v>908</v>
      </c>
      <c r="K122" s="80" t="s">
        <v>122</v>
      </c>
      <c r="L122" s="83">
        <v>0.22604076000000001</v>
      </c>
      <c r="M122" s="80" t="s">
        <v>745</v>
      </c>
      <c r="N122" s="83">
        <v>97644.058537000004</v>
      </c>
      <c r="O122" s="80" t="s">
        <v>853</v>
      </c>
    </row>
    <row r="123" spans="1:15" ht="24" customHeight="1" x14ac:dyDescent="0.2">
      <c r="A123" s="80" t="s">
        <v>909</v>
      </c>
      <c r="B123" s="81" t="s">
        <v>72</v>
      </c>
      <c r="C123" s="81" t="s">
        <v>910</v>
      </c>
      <c r="D123" s="81" t="s">
        <v>66</v>
      </c>
      <c r="E123" s="82" t="s">
        <v>154</v>
      </c>
      <c r="F123" s="80" t="s">
        <v>911</v>
      </c>
      <c r="G123" s="80" t="s">
        <v>122</v>
      </c>
      <c r="H123" s="80" t="s">
        <v>912</v>
      </c>
      <c r="I123" s="80" t="s">
        <v>122</v>
      </c>
      <c r="J123" s="80" t="s">
        <v>913</v>
      </c>
      <c r="K123" s="80" t="s">
        <v>122</v>
      </c>
      <c r="L123" s="83">
        <v>0.20867276000000001</v>
      </c>
      <c r="M123" s="80" t="s">
        <v>745</v>
      </c>
      <c r="N123" s="83">
        <v>97644.267209800004</v>
      </c>
      <c r="O123" s="80" t="s">
        <v>853</v>
      </c>
    </row>
    <row r="124" spans="1:15" ht="24" customHeight="1" x14ac:dyDescent="0.2">
      <c r="A124" s="80" t="s">
        <v>914</v>
      </c>
      <c r="B124" s="81" t="s">
        <v>45</v>
      </c>
      <c r="C124" s="81" t="s">
        <v>915</v>
      </c>
      <c r="D124" s="81" t="s">
        <v>164</v>
      </c>
      <c r="E124" s="82" t="s">
        <v>39</v>
      </c>
      <c r="F124" s="80" t="s">
        <v>916</v>
      </c>
      <c r="G124" s="80" t="s">
        <v>538</v>
      </c>
      <c r="H124" s="80" t="s">
        <v>917</v>
      </c>
      <c r="I124" s="80" t="s">
        <v>918</v>
      </c>
      <c r="J124" s="80" t="s">
        <v>913</v>
      </c>
      <c r="K124" s="80" t="s">
        <v>542</v>
      </c>
      <c r="L124" s="83">
        <v>0.20858040000000003</v>
      </c>
      <c r="M124" s="80" t="s">
        <v>745</v>
      </c>
      <c r="N124" s="83">
        <v>97644.475790199998</v>
      </c>
      <c r="O124" s="80" t="s">
        <v>853</v>
      </c>
    </row>
    <row r="125" spans="1:15" ht="24" customHeight="1" x14ac:dyDescent="0.2">
      <c r="A125" s="80" t="s">
        <v>919</v>
      </c>
      <c r="B125" s="81" t="s">
        <v>32</v>
      </c>
      <c r="C125" s="81" t="s">
        <v>920</v>
      </c>
      <c r="D125" s="81" t="s">
        <v>66</v>
      </c>
      <c r="E125" s="82" t="s">
        <v>46</v>
      </c>
      <c r="F125" s="80" t="s">
        <v>921</v>
      </c>
      <c r="G125" s="80" t="s">
        <v>122</v>
      </c>
      <c r="H125" s="80" t="s">
        <v>922</v>
      </c>
      <c r="I125" s="80" t="s">
        <v>122</v>
      </c>
      <c r="J125" s="80" t="s">
        <v>923</v>
      </c>
      <c r="K125" s="80" t="s">
        <v>122</v>
      </c>
      <c r="L125" s="83">
        <v>0.16971240000000001</v>
      </c>
      <c r="M125" s="80" t="s">
        <v>745</v>
      </c>
      <c r="N125" s="83">
        <v>97644.645502600004</v>
      </c>
      <c r="O125" s="80" t="s">
        <v>853</v>
      </c>
    </row>
    <row r="126" spans="1:15" ht="24" customHeight="1" x14ac:dyDescent="0.2">
      <c r="A126" s="80" t="s">
        <v>924</v>
      </c>
      <c r="B126" s="81" t="s">
        <v>32</v>
      </c>
      <c r="C126" s="81" t="s">
        <v>925</v>
      </c>
      <c r="D126" s="81" t="s">
        <v>66</v>
      </c>
      <c r="E126" s="82" t="s">
        <v>46</v>
      </c>
      <c r="F126" s="80" t="s">
        <v>926</v>
      </c>
      <c r="G126" s="80" t="s">
        <v>122</v>
      </c>
      <c r="H126" s="80" t="s">
        <v>927</v>
      </c>
      <c r="I126" s="80" t="s">
        <v>122</v>
      </c>
      <c r="J126" s="80" t="s">
        <v>928</v>
      </c>
      <c r="K126" s="80" t="s">
        <v>122</v>
      </c>
      <c r="L126" s="83">
        <v>0.14978629800000001</v>
      </c>
      <c r="M126" s="80" t="s">
        <v>745</v>
      </c>
      <c r="N126" s="83">
        <v>97644.795288900001</v>
      </c>
      <c r="O126" s="80" t="s">
        <v>853</v>
      </c>
    </row>
    <row r="127" spans="1:15" ht="24" customHeight="1" x14ac:dyDescent="0.2">
      <c r="A127" s="80" t="s">
        <v>929</v>
      </c>
      <c r="B127" s="81" t="s">
        <v>32</v>
      </c>
      <c r="C127" s="81" t="s">
        <v>930</v>
      </c>
      <c r="D127" s="81" t="s">
        <v>66</v>
      </c>
      <c r="E127" s="82" t="s">
        <v>46</v>
      </c>
      <c r="F127" s="80" t="s">
        <v>793</v>
      </c>
      <c r="G127" s="80" t="s">
        <v>122</v>
      </c>
      <c r="H127" s="80" t="s">
        <v>437</v>
      </c>
      <c r="I127" s="80" t="s">
        <v>122</v>
      </c>
      <c r="J127" s="80" t="s">
        <v>931</v>
      </c>
      <c r="K127" s="80" t="s">
        <v>122</v>
      </c>
      <c r="L127" s="83">
        <v>0.14122966000000001</v>
      </c>
      <c r="M127" s="80" t="s">
        <v>745</v>
      </c>
      <c r="N127" s="83">
        <v>97644.936518600007</v>
      </c>
      <c r="O127" s="80" t="s">
        <v>853</v>
      </c>
    </row>
    <row r="128" spans="1:15" ht="24" customHeight="1" x14ac:dyDescent="0.2">
      <c r="A128" s="80" t="s">
        <v>932</v>
      </c>
      <c r="B128" s="81" t="s">
        <v>32</v>
      </c>
      <c r="C128" s="81" t="s">
        <v>933</v>
      </c>
      <c r="D128" s="81" t="s">
        <v>66</v>
      </c>
      <c r="E128" s="82" t="s">
        <v>46</v>
      </c>
      <c r="F128" s="80" t="s">
        <v>934</v>
      </c>
      <c r="G128" s="80" t="s">
        <v>122</v>
      </c>
      <c r="H128" s="80" t="s">
        <v>935</v>
      </c>
      <c r="I128" s="80" t="s">
        <v>122</v>
      </c>
      <c r="J128" s="80" t="s">
        <v>936</v>
      </c>
      <c r="K128" s="80" t="s">
        <v>122</v>
      </c>
      <c r="L128" s="83">
        <v>0.112348824</v>
      </c>
      <c r="M128" s="80" t="s">
        <v>745</v>
      </c>
      <c r="N128" s="83">
        <v>97645.048867399993</v>
      </c>
      <c r="O128" s="80" t="s">
        <v>853</v>
      </c>
    </row>
    <row r="129" spans="1:15" ht="24" customHeight="1" x14ac:dyDescent="0.2">
      <c r="A129" s="80" t="s">
        <v>937</v>
      </c>
      <c r="B129" s="81" t="s">
        <v>72</v>
      </c>
      <c r="C129" s="81" t="s">
        <v>938</v>
      </c>
      <c r="D129" s="81" t="s">
        <v>66</v>
      </c>
      <c r="E129" s="82" t="s">
        <v>121</v>
      </c>
      <c r="F129" s="80" t="s">
        <v>939</v>
      </c>
      <c r="G129" s="80" t="s">
        <v>122</v>
      </c>
      <c r="H129" s="80" t="s">
        <v>940</v>
      </c>
      <c r="I129" s="80" t="s">
        <v>122</v>
      </c>
      <c r="J129" s="80" t="s">
        <v>936</v>
      </c>
      <c r="K129" s="80" t="s">
        <v>122</v>
      </c>
      <c r="L129" s="83">
        <v>0.11160864</v>
      </c>
      <c r="M129" s="80" t="s">
        <v>745</v>
      </c>
      <c r="N129" s="83">
        <v>97645.160476000005</v>
      </c>
      <c r="O129" s="80" t="s">
        <v>853</v>
      </c>
    </row>
    <row r="130" spans="1:15" ht="24" customHeight="1" x14ac:dyDescent="0.2">
      <c r="A130" s="80" t="s">
        <v>941</v>
      </c>
      <c r="B130" s="81" t="s">
        <v>32</v>
      </c>
      <c r="C130" s="81" t="s">
        <v>942</v>
      </c>
      <c r="D130" s="81" t="s">
        <v>66</v>
      </c>
      <c r="E130" s="82" t="s">
        <v>46</v>
      </c>
      <c r="F130" s="80" t="s">
        <v>902</v>
      </c>
      <c r="G130" s="80" t="s">
        <v>122</v>
      </c>
      <c r="H130" s="80" t="s">
        <v>943</v>
      </c>
      <c r="I130" s="80" t="s">
        <v>122</v>
      </c>
      <c r="J130" s="80" t="s">
        <v>944</v>
      </c>
      <c r="K130" s="80" t="s">
        <v>122</v>
      </c>
      <c r="L130" s="83">
        <v>9.8101131999999994E-2</v>
      </c>
      <c r="M130" s="80" t="s">
        <v>745</v>
      </c>
      <c r="N130" s="83">
        <v>97645.258577100001</v>
      </c>
      <c r="O130" s="80" t="s">
        <v>853</v>
      </c>
    </row>
    <row r="131" spans="1:15" ht="24" customHeight="1" x14ac:dyDescent="0.2">
      <c r="A131" s="80" t="s">
        <v>945</v>
      </c>
      <c r="B131" s="81" t="s">
        <v>32</v>
      </c>
      <c r="C131" s="81" t="s">
        <v>946</v>
      </c>
      <c r="D131" s="81" t="s">
        <v>66</v>
      </c>
      <c r="E131" s="82" t="s">
        <v>46</v>
      </c>
      <c r="F131" s="80" t="s">
        <v>814</v>
      </c>
      <c r="G131" s="80" t="s">
        <v>122</v>
      </c>
      <c r="H131" s="80" t="s">
        <v>947</v>
      </c>
      <c r="I131" s="80" t="s">
        <v>122</v>
      </c>
      <c r="J131" s="80" t="s">
        <v>948</v>
      </c>
      <c r="K131" s="80" t="s">
        <v>122</v>
      </c>
      <c r="L131" s="83">
        <v>6.0151096000000001E-2</v>
      </c>
      <c r="M131" s="80" t="s">
        <v>745</v>
      </c>
      <c r="N131" s="83">
        <v>97645.3187282</v>
      </c>
      <c r="O131" s="80" t="s">
        <v>853</v>
      </c>
    </row>
    <row r="132" spans="1:15" ht="24" customHeight="1" x14ac:dyDescent="0.2">
      <c r="A132" s="80" t="s">
        <v>949</v>
      </c>
      <c r="B132" s="81" t="s">
        <v>72</v>
      </c>
      <c r="C132" s="81" t="s">
        <v>950</v>
      </c>
      <c r="D132" s="81" t="s">
        <v>164</v>
      </c>
      <c r="E132" s="82" t="s">
        <v>75</v>
      </c>
      <c r="F132" s="80" t="s">
        <v>729</v>
      </c>
      <c r="G132" s="80" t="s">
        <v>122</v>
      </c>
      <c r="H132" s="80" t="s">
        <v>951</v>
      </c>
      <c r="I132" s="80" t="s">
        <v>122</v>
      </c>
      <c r="J132" s="80" t="s">
        <v>673</v>
      </c>
      <c r="K132" s="80" t="s">
        <v>122</v>
      </c>
      <c r="L132" s="83">
        <v>4.4999999999999998E-2</v>
      </c>
      <c r="M132" s="80" t="s">
        <v>745</v>
      </c>
      <c r="N132" s="83">
        <v>97645.363728199998</v>
      </c>
      <c r="O132" s="80" t="s">
        <v>853</v>
      </c>
    </row>
    <row r="133" spans="1:15" ht="24" customHeight="1" x14ac:dyDescent="0.2">
      <c r="A133" s="80" t="s">
        <v>952</v>
      </c>
      <c r="B133" s="81" t="s">
        <v>72</v>
      </c>
      <c r="C133" s="81" t="s">
        <v>953</v>
      </c>
      <c r="D133" s="81" t="s">
        <v>74</v>
      </c>
      <c r="E133" s="82" t="s">
        <v>75</v>
      </c>
      <c r="F133" s="80" t="s">
        <v>954</v>
      </c>
      <c r="G133" s="80" t="s">
        <v>122</v>
      </c>
      <c r="H133" s="80" t="s">
        <v>357</v>
      </c>
      <c r="I133" s="80" t="s">
        <v>122</v>
      </c>
      <c r="J133" s="80" t="s">
        <v>829</v>
      </c>
      <c r="K133" s="80" t="s">
        <v>122</v>
      </c>
      <c r="L133" s="83">
        <v>1.4673452E-2</v>
      </c>
      <c r="M133" s="80" t="s">
        <v>745</v>
      </c>
      <c r="N133" s="83">
        <v>97645.3784017</v>
      </c>
      <c r="O133" s="80" t="s">
        <v>853</v>
      </c>
    </row>
    <row r="134" spans="1:15" ht="24" customHeight="1" x14ac:dyDescent="0.2">
      <c r="A134" s="80" t="s">
        <v>955</v>
      </c>
      <c r="B134" s="81" t="s">
        <v>45</v>
      </c>
      <c r="C134" s="81" t="s">
        <v>956</v>
      </c>
      <c r="D134" s="81" t="s">
        <v>164</v>
      </c>
      <c r="E134" s="82" t="s">
        <v>39</v>
      </c>
      <c r="F134" s="80" t="s">
        <v>957</v>
      </c>
      <c r="G134" s="80" t="s">
        <v>538</v>
      </c>
      <c r="H134" s="80" t="s">
        <v>958</v>
      </c>
      <c r="I134" s="80" t="s">
        <v>931</v>
      </c>
      <c r="J134" s="80" t="s">
        <v>829</v>
      </c>
      <c r="K134" s="80" t="s">
        <v>542</v>
      </c>
      <c r="L134" s="83">
        <v>1.032724E-2</v>
      </c>
      <c r="M134" s="80" t="s">
        <v>745</v>
      </c>
      <c r="N134" s="83">
        <v>97645.388728899998</v>
      </c>
      <c r="O134" s="80" t="s">
        <v>853</v>
      </c>
    </row>
    <row r="135" spans="1:15" ht="24" customHeight="1" x14ac:dyDescent="0.2">
      <c r="A135" s="80" t="s">
        <v>959</v>
      </c>
      <c r="B135" s="81" t="s">
        <v>32</v>
      </c>
      <c r="C135" s="81" t="s">
        <v>960</v>
      </c>
      <c r="D135" s="81" t="s">
        <v>66</v>
      </c>
      <c r="E135" s="82" t="s">
        <v>46</v>
      </c>
      <c r="F135" s="80" t="s">
        <v>961</v>
      </c>
      <c r="G135" s="80" t="s">
        <v>122</v>
      </c>
      <c r="H135" s="80" t="s">
        <v>962</v>
      </c>
      <c r="I135" s="80" t="s">
        <v>122</v>
      </c>
      <c r="J135" s="80" t="s">
        <v>829</v>
      </c>
      <c r="K135" s="80" t="s">
        <v>122</v>
      </c>
      <c r="L135" s="83">
        <v>1.001784E-2</v>
      </c>
      <c r="M135" s="80" t="s">
        <v>745</v>
      </c>
      <c r="N135" s="83">
        <v>97645.398746699997</v>
      </c>
      <c r="O135" s="80" t="s">
        <v>853</v>
      </c>
    </row>
    <row r="136" spans="1:15" ht="24" customHeight="1" x14ac:dyDescent="0.2">
      <c r="A136" s="80" t="s">
        <v>963</v>
      </c>
      <c r="B136" s="81" t="s">
        <v>72</v>
      </c>
      <c r="C136" s="81" t="s">
        <v>964</v>
      </c>
      <c r="D136" s="81" t="s">
        <v>66</v>
      </c>
      <c r="E136" s="82" t="s">
        <v>183</v>
      </c>
      <c r="F136" s="80" t="s">
        <v>965</v>
      </c>
      <c r="G136" s="80" t="s">
        <v>122</v>
      </c>
      <c r="H136" s="80" t="s">
        <v>966</v>
      </c>
      <c r="I136" s="80" t="s">
        <v>122</v>
      </c>
      <c r="J136" s="80" t="s">
        <v>542</v>
      </c>
      <c r="K136" s="80" t="s">
        <v>122</v>
      </c>
      <c r="L136" s="83">
        <v>4.8391199999999997E-3</v>
      </c>
      <c r="M136" s="80" t="s">
        <v>745</v>
      </c>
      <c r="N136" s="83">
        <v>97645.403585799999</v>
      </c>
      <c r="O136" s="80" t="s">
        <v>853</v>
      </c>
    </row>
    <row r="137" spans="1:15" ht="24" customHeight="1" x14ac:dyDescent="0.2">
      <c r="A137" s="80" t="s">
        <v>967</v>
      </c>
      <c r="B137" s="81" t="s">
        <v>32</v>
      </c>
      <c r="C137" s="81" t="s">
        <v>968</v>
      </c>
      <c r="D137" s="81" t="s">
        <v>66</v>
      </c>
      <c r="E137" s="82" t="s">
        <v>46</v>
      </c>
      <c r="F137" s="80" t="s">
        <v>961</v>
      </c>
      <c r="G137" s="80" t="s">
        <v>122</v>
      </c>
      <c r="H137" s="80" t="s">
        <v>969</v>
      </c>
      <c r="I137" s="80" t="s">
        <v>122</v>
      </c>
      <c r="J137" s="80" t="s">
        <v>542</v>
      </c>
      <c r="K137" s="80" t="s">
        <v>122</v>
      </c>
      <c r="L137" s="83">
        <v>3.05368E-3</v>
      </c>
      <c r="M137" s="80" t="s">
        <v>745</v>
      </c>
      <c r="N137" s="83">
        <v>97645.406639499997</v>
      </c>
      <c r="O137" s="80" t="s">
        <v>853</v>
      </c>
    </row>
    <row r="138" spans="1:15" ht="24" customHeight="1" x14ac:dyDescent="0.2">
      <c r="A138" s="80" t="s">
        <v>970</v>
      </c>
      <c r="B138" s="81" t="s">
        <v>32</v>
      </c>
      <c r="C138" s="81" t="s">
        <v>971</v>
      </c>
      <c r="D138" s="81" t="s">
        <v>66</v>
      </c>
      <c r="E138" s="82" t="s">
        <v>46</v>
      </c>
      <c r="F138" s="80" t="s">
        <v>972</v>
      </c>
      <c r="G138" s="80" t="s">
        <v>122</v>
      </c>
      <c r="H138" s="80" t="s">
        <v>973</v>
      </c>
      <c r="I138" s="80" t="s">
        <v>122</v>
      </c>
      <c r="J138" s="80" t="s">
        <v>542</v>
      </c>
      <c r="K138" s="80" t="s">
        <v>122</v>
      </c>
      <c r="L138" s="83">
        <v>1.6346399999999999E-3</v>
      </c>
      <c r="M138" s="80" t="s">
        <v>745</v>
      </c>
      <c r="N138" s="83">
        <v>97645.408274100002</v>
      </c>
      <c r="O138" s="80" t="s">
        <v>853</v>
      </c>
    </row>
    <row r="139" spans="1:15" ht="24" customHeight="1" x14ac:dyDescent="0.2">
      <c r="A139" s="80" t="s">
        <v>974</v>
      </c>
      <c r="B139" s="81" t="s">
        <v>32</v>
      </c>
      <c r="C139" s="81" t="s">
        <v>975</v>
      </c>
      <c r="D139" s="81" t="s">
        <v>66</v>
      </c>
      <c r="E139" s="82" t="s">
        <v>46</v>
      </c>
      <c r="F139" s="80" t="s">
        <v>976</v>
      </c>
      <c r="G139" s="80" t="s">
        <v>122</v>
      </c>
      <c r="H139" s="80" t="s">
        <v>977</v>
      </c>
      <c r="I139" s="80" t="s">
        <v>122</v>
      </c>
      <c r="J139" s="80" t="s">
        <v>542</v>
      </c>
      <c r="K139" s="80" t="s">
        <v>122</v>
      </c>
      <c r="L139" s="83">
        <v>3.3911000000000001E-5</v>
      </c>
      <c r="M139" s="80" t="s">
        <v>745</v>
      </c>
      <c r="N139" s="83">
        <v>97645.408307999998</v>
      </c>
      <c r="O139" s="80" t="s">
        <v>853</v>
      </c>
    </row>
    <row r="140" spans="1:15" ht="24" customHeight="1" x14ac:dyDescent="0.2">
      <c r="A140" s="80" t="s">
        <v>978</v>
      </c>
      <c r="B140" s="81" t="s">
        <v>32</v>
      </c>
      <c r="C140" s="81" t="s">
        <v>979</v>
      </c>
      <c r="D140" s="81" t="s">
        <v>66</v>
      </c>
      <c r="E140" s="82" t="s">
        <v>46</v>
      </c>
      <c r="F140" s="80" t="s">
        <v>980</v>
      </c>
      <c r="G140" s="80" t="s">
        <v>122</v>
      </c>
      <c r="H140" s="80" t="s">
        <v>616</v>
      </c>
      <c r="I140" s="80" t="s">
        <v>122</v>
      </c>
      <c r="J140" s="80" t="s">
        <v>542</v>
      </c>
      <c r="K140" s="80" t="s">
        <v>122</v>
      </c>
      <c r="L140" s="83">
        <v>1.398E-5</v>
      </c>
      <c r="M140" s="80" t="s">
        <v>745</v>
      </c>
      <c r="N140" s="83">
        <v>97645.408322000003</v>
      </c>
      <c r="O140" s="80" t="s">
        <v>853</v>
      </c>
    </row>
    <row r="141" spans="1:15" ht="24" customHeight="1" x14ac:dyDescent="0.2">
      <c r="A141" s="80" t="s">
        <v>981</v>
      </c>
      <c r="B141" s="81" t="s">
        <v>32</v>
      </c>
      <c r="C141" s="81" t="s">
        <v>982</v>
      </c>
      <c r="D141" s="81" t="s">
        <v>66</v>
      </c>
      <c r="E141" s="82" t="s">
        <v>46</v>
      </c>
      <c r="F141" s="80" t="s">
        <v>983</v>
      </c>
      <c r="G141" s="80" t="s">
        <v>122</v>
      </c>
      <c r="H141" s="80" t="s">
        <v>984</v>
      </c>
      <c r="I141" s="80" t="s">
        <v>122</v>
      </c>
      <c r="J141" s="80" t="s">
        <v>542</v>
      </c>
      <c r="K141" s="80" t="s">
        <v>122</v>
      </c>
      <c r="L141" s="83">
        <v>1.3854E-5</v>
      </c>
      <c r="M141" s="80" t="s">
        <v>745</v>
      </c>
      <c r="N141" s="83">
        <v>97645.408335900007</v>
      </c>
      <c r="O141" s="80" t="s">
        <v>853</v>
      </c>
    </row>
    <row r="142" spans="1:15" ht="24" customHeight="1" x14ac:dyDescent="0.2">
      <c r="A142" s="80" t="s">
        <v>985</v>
      </c>
      <c r="B142" s="81" t="s">
        <v>32</v>
      </c>
      <c r="C142" s="81" t="s">
        <v>986</v>
      </c>
      <c r="D142" s="81" t="s">
        <v>66</v>
      </c>
      <c r="E142" s="82" t="s">
        <v>987</v>
      </c>
      <c r="F142" s="80" t="s">
        <v>980</v>
      </c>
      <c r="G142" s="80" t="s">
        <v>122</v>
      </c>
      <c r="H142" s="80" t="s">
        <v>988</v>
      </c>
      <c r="I142" s="80" t="s">
        <v>122</v>
      </c>
      <c r="J142" s="80" t="s">
        <v>542</v>
      </c>
      <c r="K142" s="80" t="s">
        <v>122</v>
      </c>
      <c r="L142" s="83">
        <v>1.1240000000000001E-5</v>
      </c>
      <c r="M142" s="80" t="s">
        <v>745</v>
      </c>
      <c r="N142" s="83">
        <v>97645.408347100005</v>
      </c>
      <c r="O142" s="80" t="s">
        <v>853</v>
      </c>
    </row>
    <row r="143" spans="1:15" ht="24" customHeight="1" x14ac:dyDescent="0.2">
      <c r="A143" s="80" t="s">
        <v>989</v>
      </c>
      <c r="B143" s="81" t="s">
        <v>32</v>
      </c>
      <c r="C143" s="81" t="s">
        <v>990</v>
      </c>
      <c r="D143" s="81" t="s">
        <v>66</v>
      </c>
      <c r="E143" s="82" t="s">
        <v>46</v>
      </c>
      <c r="F143" s="80" t="s">
        <v>991</v>
      </c>
      <c r="G143" s="80" t="s">
        <v>122</v>
      </c>
      <c r="H143" s="80" t="s">
        <v>992</v>
      </c>
      <c r="I143" s="80" t="s">
        <v>122</v>
      </c>
      <c r="J143" s="80" t="s">
        <v>542</v>
      </c>
      <c r="K143" s="80" t="s">
        <v>122</v>
      </c>
      <c r="L143" s="83">
        <v>9.3870000000000001E-6</v>
      </c>
      <c r="M143" s="80" t="s">
        <v>745</v>
      </c>
      <c r="N143" s="83">
        <v>97645.408356500004</v>
      </c>
      <c r="O143" s="80" t="s">
        <v>853</v>
      </c>
    </row>
    <row r="144" spans="1:15" ht="24" customHeight="1" x14ac:dyDescent="0.2">
      <c r="A144" s="80" t="s">
        <v>993</v>
      </c>
      <c r="B144" s="81" t="s">
        <v>32</v>
      </c>
      <c r="C144" s="81" t="s">
        <v>994</v>
      </c>
      <c r="D144" s="81" t="s">
        <v>66</v>
      </c>
      <c r="E144" s="82" t="s">
        <v>46</v>
      </c>
      <c r="F144" s="80" t="s">
        <v>983</v>
      </c>
      <c r="G144" s="80" t="s">
        <v>122</v>
      </c>
      <c r="H144" s="80" t="s">
        <v>995</v>
      </c>
      <c r="I144" s="80" t="s">
        <v>122</v>
      </c>
      <c r="J144" s="80" t="s">
        <v>542</v>
      </c>
      <c r="K144" s="80" t="s">
        <v>122</v>
      </c>
      <c r="L144" s="83">
        <v>8.568E-6</v>
      </c>
      <c r="M144" s="80" t="s">
        <v>745</v>
      </c>
      <c r="N144" s="83">
        <v>97645.408365099996</v>
      </c>
      <c r="O144" s="80" t="s">
        <v>853</v>
      </c>
    </row>
    <row r="145" spans="1:15" ht="24" customHeight="1" x14ac:dyDescent="0.2">
      <c r="A145" s="80" t="s">
        <v>996</v>
      </c>
      <c r="B145" s="81" t="s">
        <v>32</v>
      </c>
      <c r="C145" s="81" t="s">
        <v>997</v>
      </c>
      <c r="D145" s="81" t="s">
        <v>66</v>
      </c>
      <c r="E145" s="82" t="s">
        <v>46</v>
      </c>
      <c r="F145" s="80" t="s">
        <v>998</v>
      </c>
      <c r="G145" s="80" t="s">
        <v>122</v>
      </c>
      <c r="H145" s="80" t="s">
        <v>999</v>
      </c>
      <c r="I145" s="80" t="s">
        <v>122</v>
      </c>
      <c r="J145" s="80" t="s">
        <v>542</v>
      </c>
      <c r="K145" s="80" t="s">
        <v>122</v>
      </c>
      <c r="L145" s="83">
        <v>6.2219999999999999E-6</v>
      </c>
      <c r="M145" s="80" t="s">
        <v>745</v>
      </c>
      <c r="N145" s="83">
        <v>97645.4083713</v>
      </c>
      <c r="O145" s="80" t="s">
        <v>853</v>
      </c>
    </row>
    <row r="146" spans="1:15" ht="24" customHeight="1" x14ac:dyDescent="0.2">
      <c r="A146" s="80" t="s">
        <v>1000</v>
      </c>
      <c r="B146" s="81" t="s">
        <v>32</v>
      </c>
      <c r="C146" s="81" t="s">
        <v>1001</v>
      </c>
      <c r="D146" s="81" t="s">
        <v>66</v>
      </c>
      <c r="E146" s="82" t="s">
        <v>46</v>
      </c>
      <c r="F146" s="80" t="s">
        <v>998</v>
      </c>
      <c r="G146" s="80" t="s">
        <v>122</v>
      </c>
      <c r="H146" s="80" t="s">
        <v>1002</v>
      </c>
      <c r="I146" s="80" t="s">
        <v>122</v>
      </c>
      <c r="J146" s="80" t="s">
        <v>542</v>
      </c>
      <c r="K146" s="80" t="s">
        <v>122</v>
      </c>
      <c r="L146" s="83">
        <v>5.925E-6</v>
      </c>
      <c r="M146" s="80" t="s">
        <v>745</v>
      </c>
      <c r="N146" s="83">
        <v>97645.408377200001</v>
      </c>
      <c r="O146" s="80" t="s">
        <v>853</v>
      </c>
    </row>
    <row r="147" spans="1:15" ht="24" customHeight="1" x14ac:dyDescent="0.2">
      <c r="A147" s="80" t="s">
        <v>1003</v>
      </c>
      <c r="B147" s="81" t="s">
        <v>32</v>
      </c>
      <c r="C147" s="81" t="s">
        <v>1004</v>
      </c>
      <c r="D147" s="81" t="s">
        <v>66</v>
      </c>
      <c r="E147" s="82" t="s">
        <v>46</v>
      </c>
      <c r="F147" s="80" t="s">
        <v>998</v>
      </c>
      <c r="G147" s="80" t="s">
        <v>122</v>
      </c>
      <c r="H147" s="80" t="s">
        <v>1005</v>
      </c>
      <c r="I147" s="80" t="s">
        <v>122</v>
      </c>
      <c r="J147" s="80" t="s">
        <v>542</v>
      </c>
      <c r="K147" s="80" t="s">
        <v>122</v>
      </c>
      <c r="L147" s="83">
        <v>5.0370000000000002E-6</v>
      </c>
      <c r="M147" s="80" t="s">
        <v>745</v>
      </c>
      <c r="N147" s="83">
        <v>97645.408382199996</v>
      </c>
      <c r="O147" s="80" t="s">
        <v>853</v>
      </c>
    </row>
    <row r="148" spans="1:15" ht="24" customHeight="1" x14ac:dyDescent="0.2">
      <c r="A148" s="80" t="s">
        <v>1006</v>
      </c>
      <c r="B148" s="81" t="s">
        <v>32</v>
      </c>
      <c r="C148" s="81" t="s">
        <v>1007</v>
      </c>
      <c r="D148" s="81" t="s">
        <v>66</v>
      </c>
      <c r="E148" s="82" t="s">
        <v>46</v>
      </c>
      <c r="F148" s="80" t="s">
        <v>976</v>
      </c>
      <c r="G148" s="80" t="s">
        <v>122</v>
      </c>
      <c r="H148" s="80" t="s">
        <v>1008</v>
      </c>
      <c r="I148" s="80" t="s">
        <v>122</v>
      </c>
      <c r="J148" s="80" t="s">
        <v>542</v>
      </c>
      <c r="K148" s="80" t="s">
        <v>122</v>
      </c>
      <c r="L148" s="83">
        <v>2.6390000000000001E-6</v>
      </c>
      <c r="M148" s="80" t="s">
        <v>745</v>
      </c>
      <c r="N148" s="83">
        <v>97645.408384800001</v>
      </c>
      <c r="O148" s="80" t="s">
        <v>853</v>
      </c>
    </row>
    <row r="149" spans="1:15" ht="24" customHeight="1" x14ac:dyDescent="0.2">
      <c r="A149" s="80" t="s">
        <v>1009</v>
      </c>
      <c r="B149" s="81" t="s">
        <v>32</v>
      </c>
      <c r="C149" s="81" t="s">
        <v>1010</v>
      </c>
      <c r="D149" s="81" t="s">
        <v>66</v>
      </c>
      <c r="E149" s="82" t="s">
        <v>46</v>
      </c>
      <c r="F149" s="80" t="s">
        <v>976</v>
      </c>
      <c r="G149" s="80" t="s">
        <v>122</v>
      </c>
      <c r="H149" s="80" t="s">
        <v>1011</v>
      </c>
      <c r="I149" s="80" t="s">
        <v>122</v>
      </c>
      <c r="J149" s="80" t="s">
        <v>542</v>
      </c>
      <c r="K149" s="80" t="s">
        <v>122</v>
      </c>
      <c r="L149" s="83">
        <v>2.6079999999999998E-6</v>
      </c>
      <c r="M149" s="80" t="s">
        <v>745</v>
      </c>
      <c r="N149" s="83">
        <v>97645.408387400006</v>
      </c>
      <c r="O149" s="80" t="s">
        <v>853</v>
      </c>
    </row>
    <row r="150" spans="1:15" ht="24" customHeight="1" x14ac:dyDescent="0.2">
      <c r="A150" s="80" t="s">
        <v>1012</v>
      </c>
      <c r="B150" s="81" t="s">
        <v>32</v>
      </c>
      <c r="C150" s="81" t="s">
        <v>1013</v>
      </c>
      <c r="D150" s="81" t="s">
        <v>66</v>
      </c>
      <c r="E150" s="82" t="s">
        <v>46</v>
      </c>
      <c r="F150" s="80" t="s">
        <v>976</v>
      </c>
      <c r="G150" s="80" t="s">
        <v>122</v>
      </c>
      <c r="H150" s="80" t="s">
        <v>1014</v>
      </c>
      <c r="I150" s="80" t="s">
        <v>122</v>
      </c>
      <c r="J150" s="80" t="s">
        <v>542</v>
      </c>
      <c r="K150" s="80" t="s">
        <v>122</v>
      </c>
      <c r="L150" s="83">
        <v>2.2230000000000001E-6</v>
      </c>
      <c r="M150" s="80" t="s">
        <v>745</v>
      </c>
      <c r="N150" s="83">
        <v>97645.408389599994</v>
      </c>
      <c r="O150" s="80" t="s">
        <v>853</v>
      </c>
    </row>
    <row r="151" spans="1:15" ht="24" customHeight="1" x14ac:dyDescent="0.2">
      <c r="A151" s="80" t="s">
        <v>1015</v>
      </c>
      <c r="B151" s="81" t="s">
        <v>32</v>
      </c>
      <c r="C151" s="81" t="s">
        <v>1016</v>
      </c>
      <c r="D151" s="81" t="s">
        <v>66</v>
      </c>
      <c r="E151" s="82" t="s">
        <v>46</v>
      </c>
      <c r="F151" s="80" t="s">
        <v>976</v>
      </c>
      <c r="G151" s="80" t="s">
        <v>122</v>
      </c>
      <c r="H151" s="80" t="s">
        <v>1017</v>
      </c>
      <c r="I151" s="80" t="s">
        <v>122</v>
      </c>
      <c r="J151" s="80" t="s">
        <v>542</v>
      </c>
      <c r="K151" s="80" t="s">
        <v>122</v>
      </c>
      <c r="L151" s="83">
        <v>2.0559999999999999E-6</v>
      </c>
      <c r="M151" s="80" t="s">
        <v>745</v>
      </c>
      <c r="N151" s="83">
        <v>97645.408391699995</v>
      </c>
      <c r="O151" s="80" t="s">
        <v>853</v>
      </c>
    </row>
    <row r="152" spans="1:15" x14ac:dyDescent="0.2">
      <c r="A152" s="79"/>
      <c r="B152" s="79"/>
      <c r="C152" s="79"/>
      <c r="D152" s="79"/>
      <c r="E152" s="79"/>
      <c r="F152" s="79"/>
      <c r="G152" s="79"/>
      <c r="H152" s="79"/>
      <c r="I152" s="79"/>
      <c r="J152" s="79"/>
      <c r="K152" s="79"/>
      <c r="L152" s="79"/>
      <c r="M152" s="79"/>
      <c r="N152" s="79"/>
      <c r="O152" s="79"/>
    </row>
    <row r="153" spans="1:15" x14ac:dyDescent="0.2">
      <c r="A153" s="76"/>
      <c r="B153" s="76"/>
      <c r="C153" s="76"/>
      <c r="D153" s="76"/>
      <c r="E153" s="76"/>
      <c r="F153" s="76"/>
      <c r="G153" s="76"/>
      <c r="H153" s="76"/>
      <c r="I153" s="76"/>
      <c r="J153" s="76"/>
      <c r="K153" s="76"/>
      <c r="L153" s="299" t="s">
        <v>1018</v>
      </c>
      <c r="M153" s="299"/>
      <c r="N153" s="299"/>
      <c r="O153" s="287"/>
    </row>
    <row r="154" spans="1:15" x14ac:dyDescent="0.2">
      <c r="A154" s="76"/>
      <c r="B154" s="76"/>
      <c r="C154" s="76"/>
      <c r="D154" s="76"/>
      <c r="E154" s="76"/>
      <c r="F154" s="76"/>
      <c r="G154" s="76"/>
      <c r="H154" s="76"/>
      <c r="I154" s="76"/>
      <c r="J154" s="76"/>
      <c r="K154" s="76"/>
      <c r="L154" s="299" t="s">
        <v>164</v>
      </c>
      <c r="M154" s="299"/>
      <c r="N154" s="299"/>
      <c r="O154" s="76" t="s">
        <v>1019</v>
      </c>
    </row>
    <row r="155" spans="1:15" x14ac:dyDescent="0.2">
      <c r="A155" s="76"/>
      <c r="B155" s="76"/>
      <c r="C155" s="76"/>
      <c r="D155" s="76"/>
      <c r="E155" s="76"/>
      <c r="F155" s="76"/>
      <c r="G155" s="76"/>
      <c r="H155" s="76"/>
      <c r="I155" s="76"/>
      <c r="J155" s="76"/>
      <c r="K155" s="76"/>
      <c r="L155" s="299" t="s">
        <v>1020</v>
      </c>
      <c r="M155" s="299"/>
      <c r="N155" s="299"/>
      <c r="O155" s="76" t="s">
        <v>1021</v>
      </c>
    </row>
    <row r="156" spans="1:15" x14ac:dyDescent="0.2">
      <c r="A156" s="76"/>
      <c r="B156" s="76"/>
      <c r="C156" s="76"/>
      <c r="D156" s="76"/>
      <c r="E156" s="76"/>
      <c r="F156" s="76"/>
      <c r="G156" s="76"/>
      <c r="H156" s="76"/>
      <c r="I156" s="76"/>
      <c r="J156" s="76"/>
      <c r="K156" s="76"/>
      <c r="L156" s="299" t="s">
        <v>74</v>
      </c>
      <c r="M156" s="299"/>
      <c r="N156" s="299"/>
      <c r="O156" s="76" t="s">
        <v>1022</v>
      </c>
    </row>
    <row r="157" spans="1:15" x14ac:dyDescent="0.2">
      <c r="A157" s="76"/>
      <c r="B157" s="76"/>
      <c r="C157" s="76"/>
      <c r="D157" s="76"/>
      <c r="E157" s="76"/>
      <c r="F157" s="76"/>
      <c r="G157" s="76"/>
      <c r="H157" s="76"/>
      <c r="I157" s="76"/>
      <c r="J157" s="76"/>
      <c r="K157" s="76"/>
      <c r="L157" s="299" t="s">
        <v>66</v>
      </c>
      <c r="M157" s="299"/>
      <c r="N157" s="299"/>
      <c r="O157" s="76" t="s">
        <v>1023</v>
      </c>
    </row>
    <row r="158" spans="1:15" x14ac:dyDescent="0.2">
      <c r="A158" s="76"/>
      <c r="B158" s="76"/>
      <c r="C158" s="76"/>
      <c r="D158" s="76"/>
      <c r="E158" s="76"/>
      <c r="F158" s="76"/>
      <c r="G158" s="76"/>
      <c r="H158" s="76"/>
      <c r="I158" s="76"/>
      <c r="J158" s="76"/>
      <c r="K158" s="76"/>
      <c r="L158" s="299" t="s">
        <v>502</v>
      </c>
      <c r="M158" s="299"/>
      <c r="N158" s="299"/>
      <c r="O158" s="76" t="s">
        <v>1024</v>
      </c>
    </row>
    <row r="159" spans="1:15" x14ac:dyDescent="0.2">
      <c r="A159" s="76"/>
      <c r="B159" s="76"/>
      <c r="C159" s="76"/>
      <c r="D159" s="76"/>
      <c r="E159" s="76"/>
      <c r="F159" s="76"/>
      <c r="G159" s="76"/>
      <c r="H159" s="76"/>
      <c r="I159" s="76"/>
      <c r="J159" s="76"/>
      <c r="K159" s="76"/>
      <c r="L159" s="299" t="s">
        <v>828</v>
      </c>
      <c r="M159" s="299"/>
      <c r="N159" s="299"/>
      <c r="O159" s="76" t="s">
        <v>1025</v>
      </c>
    </row>
    <row r="160" spans="1:15" x14ac:dyDescent="0.2">
      <c r="A160" s="76"/>
      <c r="B160" s="76"/>
      <c r="C160" s="76"/>
      <c r="D160" s="76"/>
      <c r="E160" s="76"/>
      <c r="F160" s="76"/>
      <c r="G160" s="76"/>
      <c r="H160" s="76"/>
      <c r="I160" s="76"/>
      <c r="J160" s="76"/>
      <c r="K160" s="76"/>
      <c r="L160" s="299" t="s">
        <v>1026</v>
      </c>
      <c r="M160" s="299"/>
      <c r="N160" s="299"/>
      <c r="O160" s="76" t="s">
        <v>1021</v>
      </c>
    </row>
    <row r="161" spans="1:15" x14ac:dyDescent="0.2">
      <c r="A161" s="76"/>
      <c r="B161" s="76"/>
      <c r="C161" s="76"/>
      <c r="D161" s="76"/>
      <c r="E161" s="76"/>
      <c r="F161" s="76"/>
      <c r="G161" s="76"/>
      <c r="H161" s="76"/>
      <c r="I161" s="76"/>
      <c r="J161" s="76"/>
      <c r="K161" s="76"/>
      <c r="L161" s="299" t="s">
        <v>1027</v>
      </c>
      <c r="M161" s="299"/>
      <c r="N161" s="299"/>
      <c r="O161" s="76" t="s">
        <v>1021</v>
      </c>
    </row>
    <row r="162" spans="1:15" x14ac:dyDescent="0.2">
      <c r="A162" s="76"/>
      <c r="B162" s="76"/>
      <c r="C162" s="76"/>
      <c r="D162" s="76"/>
      <c r="E162" s="76"/>
      <c r="F162" s="76"/>
      <c r="G162" s="76"/>
      <c r="H162" s="76"/>
      <c r="I162" s="76"/>
      <c r="J162" s="76"/>
      <c r="K162" s="76"/>
      <c r="L162" s="299" t="s">
        <v>1028</v>
      </c>
      <c r="M162" s="299"/>
      <c r="N162" s="299"/>
      <c r="O162" s="76" t="s">
        <v>1021</v>
      </c>
    </row>
    <row r="163" spans="1:15" x14ac:dyDescent="0.2">
      <c r="A163" s="76"/>
      <c r="B163" s="76"/>
      <c r="C163" s="76"/>
      <c r="D163" s="76"/>
      <c r="E163" s="76"/>
      <c r="F163" s="76"/>
      <c r="G163" s="76"/>
      <c r="H163" s="76"/>
      <c r="I163" s="76"/>
      <c r="J163" s="76"/>
      <c r="K163" s="76"/>
      <c r="L163" s="299" t="s">
        <v>494</v>
      </c>
      <c r="M163" s="299"/>
      <c r="N163" s="299"/>
      <c r="O163" s="76" t="s">
        <v>1029</v>
      </c>
    </row>
    <row r="164" spans="1:15" x14ac:dyDescent="0.2">
      <c r="A164" s="79"/>
      <c r="B164" s="79"/>
      <c r="C164" s="79"/>
      <c r="D164" s="79"/>
      <c r="E164" s="79"/>
      <c r="F164" s="79"/>
      <c r="G164" s="79"/>
      <c r="H164" s="79"/>
      <c r="I164" s="79"/>
      <c r="J164" s="79"/>
      <c r="K164" s="79"/>
      <c r="L164" s="79"/>
      <c r="M164" s="79"/>
      <c r="N164" s="79"/>
      <c r="O164" s="79"/>
    </row>
    <row r="165" spans="1:15" x14ac:dyDescent="0.2">
      <c r="A165" s="292"/>
      <c r="B165" s="292"/>
      <c r="C165" s="292"/>
      <c r="D165" s="13"/>
      <c r="E165" s="73"/>
      <c r="F165" s="73"/>
      <c r="G165" s="73"/>
      <c r="H165" s="73"/>
      <c r="I165" s="73"/>
      <c r="J165" s="73"/>
      <c r="K165" s="289" t="s">
        <v>20</v>
      </c>
      <c r="L165" s="292"/>
      <c r="M165" s="293">
        <v>78598.990000000005</v>
      </c>
      <c r="N165" s="292"/>
      <c r="O165" s="292"/>
    </row>
    <row r="166" spans="1:15" x14ac:dyDescent="0.2">
      <c r="A166" s="292"/>
      <c r="B166" s="292"/>
      <c r="C166" s="292"/>
      <c r="D166" s="13"/>
      <c r="E166" s="73"/>
      <c r="F166" s="73"/>
      <c r="G166" s="73"/>
      <c r="H166" s="73"/>
      <c r="I166" s="73"/>
      <c r="J166" s="73"/>
      <c r="K166" s="289" t="s">
        <v>21</v>
      </c>
      <c r="L166" s="292"/>
      <c r="M166" s="293">
        <v>19043.400000000001</v>
      </c>
      <c r="N166" s="292"/>
      <c r="O166" s="292"/>
    </row>
    <row r="167" spans="1:15" x14ac:dyDescent="0.2">
      <c r="A167" s="292"/>
      <c r="B167" s="292"/>
      <c r="C167" s="292"/>
      <c r="D167" s="13"/>
      <c r="E167" s="73"/>
      <c r="F167" s="73"/>
      <c r="G167" s="73"/>
      <c r="H167" s="73"/>
      <c r="I167" s="73"/>
      <c r="J167" s="73"/>
      <c r="K167" s="289" t="s">
        <v>22</v>
      </c>
      <c r="L167" s="292"/>
      <c r="M167" s="293">
        <v>97642.39</v>
      </c>
      <c r="N167" s="292"/>
      <c r="O167" s="292"/>
    </row>
    <row r="168" spans="1:15" ht="60" customHeight="1" x14ac:dyDescent="0.2">
      <c r="A168" s="31"/>
      <c r="B168" s="31"/>
      <c r="C168" s="31"/>
      <c r="D168" s="31"/>
      <c r="E168" s="31"/>
      <c r="F168" s="31"/>
      <c r="G168" s="31"/>
      <c r="H168" s="31"/>
      <c r="I168" s="31"/>
      <c r="J168" s="31"/>
      <c r="K168" s="31"/>
      <c r="L168" s="31"/>
      <c r="M168" s="31"/>
      <c r="N168" s="31"/>
      <c r="O168" s="31"/>
    </row>
    <row r="169" spans="1:15" ht="69.95" customHeight="1" x14ac:dyDescent="0.2">
      <c r="A169" s="307" t="s">
        <v>1032</v>
      </c>
      <c r="B169" s="287"/>
      <c r="C169" s="287"/>
      <c r="D169" s="287"/>
      <c r="E169" s="287"/>
      <c r="F169" s="287"/>
      <c r="G169" s="287"/>
      <c r="H169" s="287"/>
      <c r="I169" s="287"/>
      <c r="J169" s="287"/>
      <c r="K169" s="287"/>
      <c r="L169" s="287"/>
      <c r="M169" s="287"/>
      <c r="N169" s="287"/>
      <c r="O169" s="287"/>
    </row>
  </sheetData>
  <mergeCells count="39">
    <mergeCell ref="A167:C167"/>
    <mergeCell ref="K167:L167"/>
    <mergeCell ref="M167:O167"/>
    <mergeCell ref="A169:O169"/>
    <mergeCell ref="A7:O7"/>
    <mergeCell ref="L163:N163"/>
    <mergeCell ref="A165:C165"/>
    <mergeCell ref="K165:L165"/>
    <mergeCell ref="M165:O165"/>
    <mergeCell ref="A166:C166"/>
    <mergeCell ref="K166:L166"/>
    <mergeCell ref="M166:O166"/>
    <mergeCell ref="L157:N157"/>
    <mergeCell ref="L158:N158"/>
    <mergeCell ref="L159:N159"/>
    <mergeCell ref="L160:N160"/>
    <mergeCell ref="L161:N161"/>
    <mergeCell ref="L162:N162"/>
    <mergeCell ref="P8:P9"/>
    <mergeCell ref="Q8:Q9"/>
    <mergeCell ref="L153:O153"/>
    <mergeCell ref="L154:N154"/>
    <mergeCell ref="L155:N155"/>
    <mergeCell ref="L156:N156"/>
    <mergeCell ref="O8:O9"/>
    <mergeCell ref="E5:G5"/>
    <mergeCell ref="H5:O5"/>
    <mergeCell ref="E6:G6"/>
    <mergeCell ref="H6:O6"/>
    <mergeCell ref="A8:A9"/>
    <mergeCell ref="B8:B9"/>
    <mergeCell ref="C8:C9"/>
    <mergeCell ref="D8:D9"/>
    <mergeCell ref="E8:E9"/>
    <mergeCell ref="F8:G8"/>
    <mergeCell ref="H8:I8"/>
    <mergeCell ref="J8:L8"/>
    <mergeCell ref="M8:M9"/>
    <mergeCell ref="N8:N9"/>
  </mergeCells>
  <pageMargins left="0.511811024" right="0.511811024" top="0.78740157499999996" bottom="0.78740157499999996" header="0.31496062000000002" footer="0.31496062000000002"/>
  <pageSetup paperSize="9" scale="34"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45"/>
  <sheetViews>
    <sheetView tabSelected="1" view="pageBreakPreview" topLeftCell="J1" zoomScale="60" zoomScaleNormal="100" workbookViewId="0">
      <selection activeCell="A7" sqref="A7:I7"/>
    </sheetView>
  </sheetViews>
  <sheetFormatPr defaultRowHeight="12.75" x14ac:dyDescent="0.2"/>
  <cols>
    <col min="1" max="4" width="5.125" style="32" hidden="1" customWidth="1"/>
    <col min="5" max="6" width="10.25" style="32" hidden="1" customWidth="1"/>
    <col min="7" max="7" width="10.75" style="32" hidden="1" customWidth="1"/>
    <col min="8" max="8" width="9.5" style="33" hidden="1" customWidth="1"/>
    <col min="9" max="9" width="3.25" style="33" hidden="1" customWidth="1"/>
    <col min="10" max="15" width="9.625" style="32" customWidth="1"/>
    <col min="16" max="16" width="11.625" style="32" customWidth="1"/>
    <col min="17" max="19" width="9.625" style="32" customWidth="1"/>
    <col min="20" max="250" width="9" style="33"/>
    <col min="251" max="257" width="0" style="33" hidden="1" customWidth="1"/>
    <col min="258" max="258" width="9.625" style="33" customWidth="1"/>
    <col min="259" max="259" width="3.25" style="33" customWidth="1"/>
    <col min="260" max="265" width="9.625" style="33" customWidth="1"/>
    <col min="266" max="266" width="11.625" style="33" customWidth="1"/>
    <col min="267" max="269" width="9.625" style="33" customWidth="1"/>
    <col min="270" max="506" width="9" style="33"/>
    <col min="507" max="513" width="0" style="33" hidden="1" customWidth="1"/>
    <col min="514" max="514" width="9.625" style="33" customWidth="1"/>
    <col min="515" max="515" width="3.25" style="33" customWidth="1"/>
    <col min="516" max="521" width="9.625" style="33" customWidth="1"/>
    <col min="522" max="522" width="11.625" style="33" customWidth="1"/>
    <col min="523" max="525" width="9.625" style="33" customWidth="1"/>
    <col min="526" max="762" width="9" style="33"/>
    <col min="763" max="769" width="0" style="33" hidden="1" customWidth="1"/>
    <col min="770" max="770" width="9.625" style="33" customWidth="1"/>
    <col min="771" max="771" width="3.25" style="33" customWidth="1"/>
    <col min="772" max="777" width="9.625" style="33" customWidth="1"/>
    <col min="778" max="778" width="11.625" style="33" customWidth="1"/>
    <col min="779" max="781" width="9.625" style="33" customWidth="1"/>
    <col min="782" max="1018" width="9" style="33"/>
    <col min="1019" max="1025" width="0" style="33" hidden="1" customWidth="1"/>
    <col min="1026" max="1026" width="9.625" style="33" customWidth="1"/>
    <col min="1027" max="1027" width="3.25" style="33" customWidth="1"/>
    <col min="1028" max="1033" width="9.625" style="33" customWidth="1"/>
    <col min="1034" max="1034" width="11.625" style="33" customWidth="1"/>
    <col min="1035" max="1037" width="9.625" style="33" customWidth="1"/>
    <col min="1038" max="1274" width="9" style="33"/>
    <col min="1275" max="1281" width="0" style="33" hidden="1" customWidth="1"/>
    <col min="1282" max="1282" width="9.625" style="33" customWidth="1"/>
    <col min="1283" max="1283" width="3.25" style="33" customWidth="1"/>
    <col min="1284" max="1289" width="9.625" style="33" customWidth="1"/>
    <col min="1290" max="1290" width="11.625" style="33" customWidth="1"/>
    <col min="1291" max="1293" width="9.625" style="33" customWidth="1"/>
    <col min="1294" max="1530" width="9" style="33"/>
    <col min="1531" max="1537" width="0" style="33" hidden="1" customWidth="1"/>
    <col min="1538" max="1538" width="9.625" style="33" customWidth="1"/>
    <col min="1539" max="1539" width="3.25" style="33" customWidth="1"/>
    <col min="1540" max="1545" width="9.625" style="33" customWidth="1"/>
    <col min="1546" max="1546" width="11.625" style="33" customWidth="1"/>
    <col min="1547" max="1549" width="9.625" style="33" customWidth="1"/>
    <col min="1550" max="1786" width="9" style="33"/>
    <col min="1787" max="1793" width="0" style="33" hidden="1" customWidth="1"/>
    <col min="1794" max="1794" width="9.625" style="33" customWidth="1"/>
    <col min="1795" max="1795" width="3.25" style="33" customWidth="1"/>
    <col min="1796" max="1801" width="9.625" style="33" customWidth="1"/>
    <col min="1802" max="1802" width="11.625" style="33" customWidth="1"/>
    <col min="1803" max="1805" width="9.625" style="33" customWidth="1"/>
    <col min="1806" max="2042" width="9" style="33"/>
    <col min="2043" max="2049" width="0" style="33" hidden="1" customWidth="1"/>
    <col min="2050" max="2050" width="9.625" style="33" customWidth="1"/>
    <col min="2051" max="2051" width="3.25" style="33" customWidth="1"/>
    <col min="2052" max="2057" width="9.625" style="33" customWidth="1"/>
    <col min="2058" max="2058" width="11.625" style="33" customWidth="1"/>
    <col min="2059" max="2061" width="9.625" style="33" customWidth="1"/>
    <col min="2062" max="2298" width="9" style="33"/>
    <col min="2299" max="2305" width="0" style="33" hidden="1" customWidth="1"/>
    <col min="2306" max="2306" width="9.625" style="33" customWidth="1"/>
    <col min="2307" max="2307" width="3.25" style="33" customWidth="1"/>
    <col min="2308" max="2313" width="9.625" style="33" customWidth="1"/>
    <col min="2314" max="2314" width="11.625" style="33" customWidth="1"/>
    <col min="2315" max="2317" width="9.625" style="33" customWidth="1"/>
    <col min="2318" max="2554" width="9" style="33"/>
    <col min="2555" max="2561" width="0" style="33" hidden="1" customWidth="1"/>
    <col min="2562" max="2562" width="9.625" style="33" customWidth="1"/>
    <col min="2563" max="2563" width="3.25" style="33" customWidth="1"/>
    <col min="2564" max="2569" width="9.625" style="33" customWidth="1"/>
    <col min="2570" max="2570" width="11.625" style="33" customWidth="1"/>
    <col min="2571" max="2573" width="9.625" style="33" customWidth="1"/>
    <col min="2574" max="2810" width="9" style="33"/>
    <col min="2811" max="2817" width="0" style="33" hidden="1" customWidth="1"/>
    <col min="2818" max="2818" width="9.625" style="33" customWidth="1"/>
    <col min="2819" max="2819" width="3.25" style="33" customWidth="1"/>
    <col min="2820" max="2825" width="9.625" style="33" customWidth="1"/>
    <col min="2826" max="2826" width="11.625" style="33" customWidth="1"/>
    <col min="2827" max="2829" width="9.625" style="33" customWidth="1"/>
    <col min="2830" max="3066" width="9" style="33"/>
    <col min="3067" max="3073" width="0" style="33" hidden="1" customWidth="1"/>
    <col min="3074" max="3074" width="9.625" style="33" customWidth="1"/>
    <col min="3075" max="3075" width="3.25" style="33" customWidth="1"/>
    <col min="3076" max="3081" width="9.625" style="33" customWidth="1"/>
    <col min="3082" max="3082" width="11.625" style="33" customWidth="1"/>
    <col min="3083" max="3085" width="9.625" style="33" customWidth="1"/>
    <col min="3086" max="3322" width="9" style="33"/>
    <col min="3323" max="3329" width="0" style="33" hidden="1" customWidth="1"/>
    <col min="3330" max="3330" width="9.625" style="33" customWidth="1"/>
    <col min="3331" max="3331" width="3.25" style="33" customWidth="1"/>
    <col min="3332" max="3337" width="9.625" style="33" customWidth="1"/>
    <col min="3338" max="3338" width="11.625" style="33" customWidth="1"/>
    <col min="3339" max="3341" width="9.625" style="33" customWidth="1"/>
    <col min="3342" max="3578" width="9" style="33"/>
    <col min="3579" max="3585" width="0" style="33" hidden="1" customWidth="1"/>
    <col min="3586" max="3586" width="9.625" style="33" customWidth="1"/>
    <col min="3587" max="3587" width="3.25" style="33" customWidth="1"/>
    <col min="3588" max="3593" width="9.625" style="33" customWidth="1"/>
    <col min="3594" max="3594" width="11.625" style="33" customWidth="1"/>
    <col min="3595" max="3597" width="9.625" style="33" customWidth="1"/>
    <col min="3598" max="3834" width="9" style="33"/>
    <col min="3835" max="3841" width="0" style="33" hidden="1" customWidth="1"/>
    <col min="3842" max="3842" width="9.625" style="33" customWidth="1"/>
    <col min="3843" max="3843" width="3.25" style="33" customWidth="1"/>
    <col min="3844" max="3849" width="9.625" style="33" customWidth="1"/>
    <col min="3850" max="3850" width="11.625" style="33" customWidth="1"/>
    <col min="3851" max="3853" width="9.625" style="33" customWidth="1"/>
    <col min="3854" max="4090" width="9" style="33"/>
    <col min="4091" max="4097" width="0" style="33" hidden="1" customWidth="1"/>
    <col min="4098" max="4098" width="9.625" style="33" customWidth="1"/>
    <col min="4099" max="4099" width="3.25" style="33" customWidth="1"/>
    <col min="4100" max="4105" width="9.625" style="33" customWidth="1"/>
    <col min="4106" max="4106" width="11.625" style="33" customWidth="1"/>
    <col min="4107" max="4109" width="9.625" style="33" customWidth="1"/>
    <col min="4110" max="4346" width="9" style="33"/>
    <col min="4347" max="4353" width="0" style="33" hidden="1" customWidth="1"/>
    <col min="4354" max="4354" width="9.625" style="33" customWidth="1"/>
    <col min="4355" max="4355" width="3.25" style="33" customWidth="1"/>
    <col min="4356" max="4361" width="9.625" style="33" customWidth="1"/>
    <col min="4362" max="4362" width="11.625" style="33" customWidth="1"/>
    <col min="4363" max="4365" width="9.625" style="33" customWidth="1"/>
    <col min="4366" max="4602" width="9" style="33"/>
    <col min="4603" max="4609" width="0" style="33" hidden="1" customWidth="1"/>
    <col min="4610" max="4610" width="9.625" style="33" customWidth="1"/>
    <col min="4611" max="4611" width="3.25" style="33" customWidth="1"/>
    <col min="4612" max="4617" width="9.625" style="33" customWidth="1"/>
    <col min="4618" max="4618" width="11.625" style="33" customWidth="1"/>
    <col min="4619" max="4621" width="9.625" style="33" customWidth="1"/>
    <col min="4622" max="4858" width="9" style="33"/>
    <col min="4859" max="4865" width="0" style="33" hidden="1" customWidth="1"/>
    <col min="4866" max="4866" width="9.625" style="33" customWidth="1"/>
    <col min="4867" max="4867" width="3.25" style="33" customWidth="1"/>
    <col min="4868" max="4873" width="9.625" style="33" customWidth="1"/>
    <col min="4874" max="4874" width="11.625" style="33" customWidth="1"/>
    <col min="4875" max="4877" width="9.625" style="33" customWidth="1"/>
    <col min="4878" max="5114" width="9" style="33"/>
    <col min="5115" max="5121" width="0" style="33" hidden="1" customWidth="1"/>
    <col min="5122" max="5122" width="9.625" style="33" customWidth="1"/>
    <col min="5123" max="5123" width="3.25" style="33" customWidth="1"/>
    <col min="5124" max="5129" width="9.625" style="33" customWidth="1"/>
    <col min="5130" max="5130" width="11.625" style="33" customWidth="1"/>
    <col min="5131" max="5133" width="9.625" style="33" customWidth="1"/>
    <col min="5134" max="5370" width="9" style="33"/>
    <col min="5371" max="5377" width="0" style="33" hidden="1" customWidth="1"/>
    <col min="5378" max="5378" width="9.625" style="33" customWidth="1"/>
    <col min="5379" max="5379" width="3.25" style="33" customWidth="1"/>
    <col min="5380" max="5385" width="9.625" style="33" customWidth="1"/>
    <col min="5386" max="5386" width="11.625" style="33" customWidth="1"/>
    <col min="5387" max="5389" width="9.625" style="33" customWidth="1"/>
    <col min="5390" max="5626" width="9" style="33"/>
    <col min="5627" max="5633" width="0" style="33" hidden="1" customWidth="1"/>
    <col min="5634" max="5634" width="9.625" style="33" customWidth="1"/>
    <col min="5635" max="5635" width="3.25" style="33" customWidth="1"/>
    <col min="5636" max="5641" width="9.625" style="33" customWidth="1"/>
    <col min="5642" max="5642" width="11.625" style="33" customWidth="1"/>
    <col min="5643" max="5645" width="9.625" style="33" customWidth="1"/>
    <col min="5646" max="5882" width="9" style="33"/>
    <col min="5883" max="5889" width="0" style="33" hidden="1" customWidth="1"/>
    <col min="5890" max="5890" width="9.625" style="33" customWidth="1"/>
    <col min="5891" max="5891" width="3.25" style="33" customWidth="1"/>
    <col min="5892" max="5897" width="9.625" style="33" customWidth="1"/>
    <col min="5898" max="5898" width="11.625" style="33" customWidth="1"/>
    <col min="5899" max="5901" width="9.625" style="33" customWidth="1"/>
    <col min="5902" max="6138" width="9" style="33"/>
    <col min="6139" max="6145" width="0" style="33" hidden="1" customWidth="1"/>
    <col min="6146" max="6146" width="9.625" style="33" customWidth="1"/>
    <col min="6147" max="6147" width="3.25" style="33" customWidth="1"/>
    <col min="6148" max="6153" width="9.625" style="33" customWidth="1"/>
    <col min="6154" max="6154" width="11.625" style="33" customWidth="1"/>
    <col min="6155" max="6157" width="9.625" style="33" customWidth="1"/>
    <col min="6158" max="6394" width="9" style="33"/>
    <col min="6395" max="6401" width="0" style="33" hidden="1" customWidth="1"/>
    <col min="6402" max="6402" width="9.625" style="33" customWidth="1"/>
    <col min="6403" max="6403" width="3.25" style="33" customWidth="1"/>
    <col min="6404" max="6409" width="9.625" style="33" customWidth="1"/>
    <col min="6410" max="6410" width="11.625" style="33" customWidth="1"/>
    <col min="6411" max="6413" width="9.625" style="33" customWidth="1"/>
    <col min="6414" max="6650" width="9" style="33"/>
    <col min="6651" max="6657" width="0" style="33" hidden="1" customWidth="1"/>
    <col min="6658" max="6658" width="9.625" style="33" customWidth="1"/>
    <col min="6659" max="6659" width="3.25" style="33" customWidth="1"/>
    <col min="6660" max="6665" width="9.625" style="33" customWidth="1"/>
    <col min="6666" max="6666" width="11.625" style="33" customWidth="1"/>
    <col min="6667" max="6669" width="9.625" style="33" customWidth="1"/>
    <col min="6670" max="6906" width="9" style="33"/>
    <col min="6907" max="6913" width="0" style="33" hidden="1" customWidth="1"/>
    <col min="6914" max="6914" width="9.625" style="33" customWidth="1"/>
    <col min="6915" max="6915" width="3.25" style="33" customWidth="1"/>
    <col min="6916" max="6921" width="9.625" style="33" customWidth="1"/>
    <col min="6922" max="6922" width="11.625" style="33" customWidth="1"/>
    <col min="6923" max="6925" width="9.625" style="33" customWidth="1"/>
    <col min="6926" max="7162" width="9" style="33"/>
    <col min="7163" max="7169" width="0" style="33" hidden="1" customWidth="1"/>
    <col min="7170" max="7170" width="9.625" style="33" customWidth="1"/>
    <col min="7171" max="7171" width="3.25" style="33" customWidth="1"/>
    <col min="7172" max="7177" width="9.625" style="33" customWidth="1"/>
    <col min="7178" max="7178" width="11.625" style="33" customWidth="1"/>
    <col min="7179" max="7181" width="9.625" style="33" customWidth="1"/>
    <col min="7182" max="7418" width="9" style="33"/>
    <col min="7419" max="7425" width="0" style="33" hidden="1" customWidth="1"/>
    <col min="7426" max="7426" width="9.625" style="33" customWidth="1"/>
    <col min="7427" max="7427" width="3.25" style="33" customWidth="1"/>
    <col min="7428" max="7433" width="9.625" style="33" customWidth="1"/>
    <col min="7434" max="7434" width="11.625" style="33" customWidth="1"/>
    <col min="7435" max="7437" width="9.625" style="33" customWidth="1"/>
    <col min="7438" max="7674" width="9" style="33"/>
    <col min="7675" max="7681" width="0" style="33" hidden="1" customWidth="1"/>
    <col min="7682" max="7682" width="9.625" style="33" customWidth="1"/>
    <col min="7683" max="7683" width="3.25" style="33" customWidth="1"/>
    <col min="7684" max="7689" width="9.625" style="33" customWidth="1"/>
    <col min="7690" max="7690" width="11.625" style="33" customWidth="1"/>
    <col min="7691" max="7693" width="9.625" style="33" customWidth="1"/>
    <col min="7694" max="7930" width="9" style="33"/>
    <col min="7931" max="7937" width="0" style="33" hidden="1" customWidth="1"/>
    <col min="7938" max="7938" width="9.625" style="33" customWidth="1"/>
    <col min="7939" max="7939" width="3.25" style="33" customWidth="1"/>
    <col min="7940" max="7945" width="9.625" style="33" customWidth="1"/>
    <col min="7946" max="7946" width="11.625" style="33" customWidth="1"/>
    <col min="7947" max="7949" width="9.625" style="33" customWidth="1"/>
    <col min="7950" max="8186" width="9" style="33"/>
    <col min="8187" max="8193" width="0" style="33" hidden="1" customWidth="1"/>
    <col min="8194" max="8194" width="9.625" style="33" customWidth="1"/>
    <col min="8195" max="8195" width="3.25" style="33" customWidth="1"/>
    <col min="8196" max="8201" width="9.625" style="33" customWidth="1"/>
    <col min="8202" max="8202" width="11.625" style="33" customWidth="1"/>
    <col min="8203" max="8205" width="9.625" style="33" customWidth="1"/>
    <col min="8206" max="8442" width="9" style="33"/>
    <col min="8443" max="8449" width="0" style="33" hidden="1" customWidth="1"/>
    <col min="8450" max="8450" width="9.625" style="33" customWidth="1"/>
    <col min="8451" max="8451" width="3.25" style="33" customWidth="1"/>
    <col min="8452" max="8457" width="9.625" style="33" customWidth="1"/>
    <col min="8458" max="8458" width="11.625" style="33" customWidth="1"/>
    <col min="8459" max="8461" width="9.625" style="33" customWidth="1"/>
    <col min="8462" max="8698" width="9" style="33"/>
    <col min="8699" max="8705" width="0" style="33" hidden="1" customWidth="1"/>
    <col min="8706" max="8706" width="9.625" style="33" customWidth="1"/>
    <col min="8707" max="8707" width="3.25" style="33" customWidth="1"/>
    <col min="8708" max="8713" width="9.625" style="33" customWidth="1"/>
    <col min="8714" max="8714" width="11.625" style="33" customWidth="1"/>
    <col min="8715" max="8717" width="9.625" style="33" customWidth="1"/>
    <col min="8718" max="8954" width="9" style="33"/>
    <col min="8955" max="8961" width="0" style="33" hidden="1" customWidth="1"/>
    <col min="8962" max="8962" width="9.625" style="33" customWidth="1"/>
    <col min="8963" max="8963" width="3.25" style="33" customWidth="1"/>
    <col min="8964" max="8969" width="9.625" style="33" customWidth="1"/>
    <col min="8970" max="8970" width="11.625" style="33" customWidth="1"/>
    <col min="8971" max="8973" width="9.625" style="33" customWidth="1"/>
    <col min="8974" max="9210" width="9" style="33"/>
    <col min="9211" max="9217" width="0" style="33" hidden="1" customWidth="1"/>
    <col min="9218" max="9218" width="9.625" style="33" customWidth="1"/>
    <col min="9219" max="9219" width="3.25" style="33" customWidth="1"/>
    <col min="9220" max="9225" width="9.625" style="33" customWidth="1"/>
    <col min="9226" max="9226" width="11.625" style="33" customWidth="1"/>
    <col min="9227" max="9229" width="9.625" style="33" customWidth="1"/>
    <col min="9230" max="9466" width="9" style="33"/>
    <col min="9467" max="9473" width="0" style="33" hidden="1" customWidth="1"/>
    <col min="9474" max="9474" width="9.625" style="33" customWidth="1"/>
    <col min="9475" max="9475" width="3.25" style="33" customWidth="1"/>
    <col min="9476" max="9481" width="9.625" style="33" customWidth="1"/>
    <col min="9482" max="9482" width="11.625" style="33" customWidth="1"/>
    <col min="9483" max="9485" width="9.625" style="33" customWidth="1"/>
    <col min="9486" max="9722" width="9" style="33"/>
    <col min="9723" max="9729" width="0" style="33" hidden="1" customWidth="1"/>
    <col min="9730" max="9730" width="9.625" style="33" customWidth="1"/>
    <col min="9731" max="9731" width="3.25" style="33" customWidth="1"/>
    <col min="9732" max="9737" width="9.625" style="33" customWidth="1"/>
    <col min="9738" max="9738" width="11.625" style="33" customWidth="1"/>
    <col min="9739" max="9741" width="9.625" style="33" customWidth="1"/>
    <col min="9742" max="9978" width="9" style="33"/>
    <col min="9979" max="9985" width="0" style="33" hidden="1" customWidth="1"/>
    <col min="9986" max="9986" width="9.625" style="33" customWidth="1"/>
    <col min="9987" max="9987" width="3.25" style="33" customWidth="1"/>
    <col min="9988" max="9993" width="9.625" style="33" customWidth="1"/>
    <col min="9994" max="9994" width="11.625" style="33" customWidth="1"/>
    <col min="9995" max="9997" width="9.625" style="33" customWidth="1"/>
    <col min="9998" max="10234" width="9" style="33"/>
    <col min="10235" max="10241" width="0" style="33" hidden="1" customWidth="1"/>
    <col min="10242" max="10242" width="9.625" style="33" customWidth="1"/>
    <col min="10243" max="10243" width="3.25" style="33" customWidth="1"/>
    <col min="10244" max="10249" width="9.625" style="33" customWidth="1"/>
    <col min="10250" max="10250" width="11.625" style="33" customWidth="1"/>
    <col min="10251" max="10253" width="9.625" style="33" customWidth="1"/>
    <col min="10254" max="10490" width="9" style="33"/>
    <col min="10491" max="10497" width="0" style="33" hidden="1" customWidth="1"/>
    <col min="10498" max="10498" width="9.625" style="33" customWidth="1"/>
    <col min="10499" max="10499" width="3.25" style="33" customWidth="1"/>
    <col min="10500" max="10505" width="9.625" style="33" customWidth="1"/>
    <col min="10506" max="10506" width="11.625" style="33" customWidth="1"/>
    <col min="10507" max="10509" width="9.625" style="33" customWidth="1"/>
    <col min="10510" max="10746" width="9" style="33"/>
    <col min="10747" max="10753" width="0" style="33" hidden="1" customWidth="1"/>
    <col min="10754" max="10754" width="9.625" style="33" customWidth="1"/>
    <col min="10755" max="10755" width="3.25" style="33" customWidth="1"/>
    <col min="10756" max="10761" width="9.625" style="33" customWidth="1"/>
    <col min="10762" max="10762" width="11.625" style="33" customWidth="1"/>
    <col min="10763" max="10765" width="9.625" style="33" customWidth="1"/>
    <col min="10766" max="11002" width="9" style="33"/>
    <col min="11003" max="11009" width="0" style="33" hidden="1" customWidth="1"/>
    <col min="11010" max="11010" width="9.625" style="33" customWidth="1"/>
    <col min="11011" max="11011" width="3.25" style="33" customWidth="1"/>
    <col min="11012" max="11017" width="9.625" style="33" customWidth="1"/>
    <col min="11018" max="11018" width="11.625" style="33" customWidth="1"/>
    <col min="11019" max="11021" width="9.625" style="33" customWidth="1"/>
    <col min="11022" max="11258" width="9" style="33"/>
    <col min="11259" max="11265" width="0" style="33" hidden="1" customWidth="1"/>
    <col min="11266" max="11266" width="9.625" style="33" customWidth="1"/>
    <col min="11267" max="11267" width="3.25" style="33" customWidth="1"/>
    <col min="11268" max="11273" width="9.625" style="33" customWidth="1"/>
    <col min="11274" max="11274" width="11.625" style="33" customWidth="1"/>
    <col min="11275" max="11277" width="9.625" style="33" customWidth="1"/>
    <col min="11278" max="11514" width="9" style="33"/>
    <col min="11515" max="11521" width="0" style="33" hidden="1" customWidth="1"/>
    <col min="11522" max="11522" width="9.625" style="33" customWidth="1"/>
    <col min="11523" max="11523" width="3.25" style="33" customWidth="1"/>
    <col min="11524" max="11529" width="9.625" style="33" customWidth="1"/>
    <col min="11530" max="11530" width="11.625" style="33" customWidth="1"/>
    <col min="11531" max="11533" width="9.625" style="33" customWidth="1"/>
    <col min="11534" max="11770" width="9" style="33"/>
    <col min="11771" max="11777" width="0" style="33" hidden="1" customWidth="1"/>
    <col min="11778" max="11778" width="9.625" style="33" customWidth="1"/>
    <col min="11779" max="11779" width="3.25" style="33" customWidth="1"/>
    <col min="11780" max="11785" width="9.625" style="33" customWidth="1"/>
    <col min="11786" max="11786" width="11.625" style="33" customWidth="1"/>
    <col min="11787" max="11789" width="9.625" style="33" customWidth="1"/>
    <col min="11790" max="12026" width="9" style="33"/>
    <col min="12027" max="12033" width="0" style="33" hidden="1" customWidth="1"/>
    <col min="12034" max="12034" width="9.625" style="33" customWidth="1"/>
    <col min="12035" max="12035" width="3.25" style="33" customWidth="1"/>
    <col min="12036" max="12041" width="9.625" style="33" customWidth="1"/>
    <col min="12042" max="12042" width="11.625" style="33" customWidth="1"/>
    <col min="12043" max="12045" width="9.625" style="33" customWidth="1"/>
    <col min="12046" max="12282" width="9" style="33"/>
    <col min="12283" max="12289" width="0" style="33" hidden="1" customWidth="1"/>
    <col min="12290" max="12290" width="9.625" style="33" customWidth="1"/>
    <col min="12291" max="12291" width="3.25" style="33" customWidth="1"/>
    <col min="12292" max="12297" width="9.625" style="33" customWidth="1"/>
    <col min="12298" max="12298" width="11.625" style="33" customWidth="1"/>
    <col min="12299" max="12301" width="9.625" style="33" customWidth="1"/>
    <col min="12302" max="12538" width="9" style="33"/>
    <col min="12539" max="12545" width="0" style="33" hidden="1" customWidth="1"/>
    <col min="12546" max="12546" width="9.625" style="33" customWidth="1"/>
    <col min="12547" max="12547" width="3.25" style="33" customWidth="1"/>
    <col min="12548" max="12553" width="9.625" style="33" customWidth="1"/>
    <col min="12554" max="12554" width="11.625" style="33" customWidth="1"/>
    <col min="12555" max="12557" width="9.625" style="33" customWidth="1"/>
    <col min="12558" max="12794" width="9" style="33"/>
    <col min="12795" max="12801" width="0" style="33" hidden="1" customWidth="1"/>
    <col min="12802" max="12802" width="9.625" style="33" customWidth="1"/>
    <col min="12803" max="12803" width="3.25" style="33" customWidth="1"/>
    <col min="12804" max="12809" width="9.625" style="33" customWidth="1"/>
    <col min="12810" max="12810" width="11.625" style="33" customWidth="1"/>
    <col min="12811" max="12813" width="9.625" style="33" customWidth="1"/>
    <col min="12814" max="13050" width="9" style="33"/>
    <col min="13051" max="13057" width="0" style="33" hidden="1" customWidth="1"/>
    <col min="13058" max="13058" width="9.625" style="33" customWidth="1"/>
    <col min="13059" max="13059" width="3.25" style="33" customWidth="1"/>
    <col min="13060" max="13065" width="9.625" style="33" customWidth="1"/>
    <col min="13066" max="13066" width="11.625" style="33" customWidth="1"/>
    <col min="13067" max="13069" width="9.625" style="33" customWidth="1"/>
    <col min="13070" max="13306" width="9" style="33"/>
    <col min="13307" max="13313" width="0" style="33" hidden="1" customWidth="1"/>
    <col min="13314" max="13314" width="9.625" style="33" customWidth="1"/>
    <col min="13315" max="13315" width="3.25" style="33" customWidth="1"/>
    <col min="13316" max="13321" width="9.625" style="33" customWidth="1"/>
    <col min="13322" max="13322" width="11.625" style="33" customWidth="1"/>
    <col min="13323" max="13325" width="9.625" style="33" customWidth="1"/>
    <col min="13326" max="13562" width="9" style="33"/>
    <col min="13563" max="13569" width="0" style="33" hidden="1" customWidth="1"/>
    <col min="13570" max="13570" width="9.625" style="33" customWidth="1"/>
    <col min="13571" max="13571" width="3.25" style="33" customWidth="1"/>
    <col min="13572" max="13577" width="9.625" style="33" customWidth="1"/>
    <col min="13578" max="13578" width="11.625" style="33" customWidth="1"/>
    <col min="13579" max="13581" width="9.625" style="33" customWidth="1"/>
    <col min="13582" max="13818" width="9" style="33"/>
    <col min="13819" max="13825" width="0" style="33" hidden="1" customWidth="1"/>
    <col min="13826" max="13826" width="9.625" style="33" customWidth="1"/>
    <col min="13827" max="13827" width="3.25" style="33" customWidth="1"/>
    <col min="13828" max="13833" width="9.625" style="33" customWidth="1"/>
    <col min="13834" max="13834" width="11.625" style="33" customWidth="1"/>
    <col min="13835" max="13837" width="9.625" style="33" customWidth="1"/>
    <col min="13838" max="14074" width="9" style="33"/>
    <col min="14075" max="14081" width="0" style="33" hidden="1" customWidth="1"/>
    <col min="14082" max="14082" width="9.625" style="33" customWidth="1"/>
    <col min="14083" max="14083" width="3.25" style="33" customWidth="1"/>
    <col min="14084" max="14089" width="9.625" style="33" customWidth="1"/>
    <col min="14090" max="14090" width="11.625" style="33" customWidth="1"/>
    <col min="14091" max="14093" width="9.625" style="33" customWidth="1"/>
    <col min="14094" max="14330" width="9" style="33"/>
    <col min="14331" max="14337" width="0" style="33" hidden="1" customWidth="1"/>
    <col min="14338" max="14338" width="9.625" style="33" customWidth="1"/>
    <col min="14339" max="14339" width="3.25" style="33" customWidth="1"/>
    <col min="14340" max="14345" width="9.625" style="33" customWidth="1"/>
    <col min="14346" max="14346" width="11.625" style="33" customWidth="1"/>
    <col min="14347" max="14349" width="9.625" style="33" customWidth="1"/>
    <col min="14350" max="14586" width="9" style="33"/>
    <col min="14587" max="14593" width="0" style="33" hidden="1" customWidth="1"/>
    <col min="14594" max="14594" width="9.625" style="33" customWidth="1"/>
    <col min="14595" max="14595" width="3.25" style="33" customWidth="1"/>
    <col min="14596" max="14601" width="9.625" style="33" customWidth="1"/>
    <col min="14602" max="14602" width="11.625" style="33" customWidth="1"/>
    <col min="14603" max="14605" width="9.625" style="33" customWidth="1"/>
    <col min="14606" max="14842" width="9" style="33"/>
    <col min="14843" max="14849" width="0" style="33" hidden="1" customWidth="1"/>
    <col min="14850" max="14850" width="9.625" style="33" customWidth="1"/>
    <col min="14851" max="14851" width="3.25" style="33" customWidth="1"/>
    <col min="14852" max="14857" width="9.625" style="33" customWidth="1"/>
    <col min="14858" max="14858" width="11.625" style="33" customWidth="1"/>
    <col min="14859" max="14861" width="9.625" style="33" customWidth="1"/>
    <col min="14862" max="15098" width="9" style="33"/>
    <col min="15099" max="15105" width="0" style="33" hidden="1" customWidth="1"/>
    <col min="15106" max="15106" width="9.625" style="33" customWidth="1"/>
    <col min="15107" max="15107" width="3.25" style="33" customWidth="1"/>
    <col min="15108" max="15113" width="9.625" style="33" customWidth="1"/>
    <col min="15114" max="15114" width="11.625" style="33" customWidth="1"/>
    <col min="15115" max="15117" width="9.625" style="33" customWidth="1"/>
    <col min="15118" max="15354" width="9" style="33"/>
    <col min="15355" max="15361" width="0" style="33" hidden="1" customWidth="1"/>
    <col min="15362" max="15362" width="9.625" style="33" customWidth="1"/>
    <col min="15363" max="15363" width="3.25" style="33" customWidth="1"/>
    <col min="15364" max="15369" width="9.625" style="33" customWidth="1"/>
    <col min="15370" max="15370" width="11.625" style="33" customWidth="1"/>
    <col min="15371" max="15373" width="9.625" style="33" customWidth="1"/>
    <col min="15374" max="15610" width="9" style="33"/>
    <col min="15611" max="15617" width="0" style="33" hidden="1" customWidth="1"/>
    <col min="15618" max="15618" width="9.625" style="33" customWidth="1"/>
    <col min="15619" max="15619" width="3.25" style="33" customWidth="1"/>
    <col min="15620" max="15625" width="9.625" style="33" customWidth="1"/>
    <col min="15626" max="15626" width="11.625" style="33" customWidth="1"/>
    <col min="15627" max="15629" width="9.625" style="33" customWidth="1"/>
    <col min="15630" max="15866" width="9" style="33"/>
    <col min="15867" max="15873" width="0" style="33" hidden="1" customWidth="1"/>
    <col min="15874" max="15874" width="9.625" style="33" customWidth="1"/>
    <col min="15875" max="15875" width="3.25" style="33" customWidth="1"/>
    <col min="15876" max="15881" width="9.625" style="33" customWidth="1"/>
    <col min="15882" max="15882" width="11.625" style="33" customWidth="1"/>
    <col min="15883" max="15885" width="9.625" style="33" customWidth="1"/>
    <col min="15886" max="16122" width="9" style="33"/>
    <col min="16123" max="16129" width="0" style="33" hidden="1" customWidth="1"/>
    <col min="16130" max="16130" width="9.625" style="33" customWidth="1"/>
    <col min="16131" max="16131" width="3.25" style="33" customWidth="1"/>
    <col min="16132" max="16137" width="9.625" style="33" customWidth="1"/>
    <col min="16138" max="16138" width="11.625" style="33" customWidth="1"/>
    <col min="16139" max="16141" width="9.625" style="33" customWidth="1"/>
    <col min="16142" max="16384" width="9" style="33"/>
  </cols>
  <sheetData>
    <row r="1" spans="1:19" x14ac:dyDescent="0.2">
      <c r="J1" s="34" t="str">
        <f>'PO-Sintético'!A1</f>
        <v>EMPREENDEDOR: PREFEITURA MUNICIPAL DE CENTRO DO GUILHERME-MA</v>
      </c>
      <c r="K1" s="35"/>
      <c r="L1" s="35"/>
      <c r="M1" s="35"/>
      <c r="N1" s="35"/>
      <c r="O1" s="35"/>
      <c r="P1" s="35"/>
      <c r="Q1" s="35"/>
      <c r="R1" s="35"/>
      <c r="S1" s="36"/>
    </row>
    <row r="2" spans="1:19" x14ac:dyDescent="0.2">
      <c r="J2" s="37" t="str">
        <f>'PO-Sintético'!A2</f>
        <v>OBJETO : ESTRADAS VICINAIS-RECUPERAÇÃO</v>
      </c>
      <c r="K2" s="38"/>
      <c r="L2" s="38"/>
      <c r="M2" s="38"/>
      <c r="N2" s="38"/>
      <c r="O2" s="38"/>
      <c r="P2" s="38"/>
      <c r="Q2" s="38"/>
      <c r="R2" s="38"/>
      <c r="S2" s="39"/>
    </row>
    <row r="3" spans="1:19" x14ac:dyDescent="0.2">
      <c r="J3" s="40" t="str">
        <f>'PO-Sintético'!A3</f>
        <v>LOCAL:   ESTRADA VICINAL 45 ASSENTAMENTO - CENTRO DO GUILHERME -MA-2,88 KM</v>
      </c>
      <c r="K3" s="41"/>
      <c r="L3" s="41"/>
      <c r="M3" s="41"/>
      <c r="N3" s="41"/>
      <c r="O3" s="41"/>
      <c r="P3" s="41"/>
      <c r="Q3" s="41"/>
      <c r="R3" s="41"/>
      <c r="S3" s="42"/>
    </row>
    <row r="4" spans="1:19" x14ac:dyDescent="0.2">
      <c r="A4" s="32" t="s">
        <v>177</v>
      </c>
      <c r="B4" s="43" t="s">
        <v>178</v>
      </c>
      <c r="C4" s="32" t="str">
        <f t="shared" ref="C4:C41" si="0">CONCATENATE(A4,"-",B4)</f>
        <v>Construção de Praças Urbanas, Rodovias, Ferrovias e recapeamento e pavimentação de vias urbanas-R</v>
      </c>
      <c r="E4" s="44">
        <v>5.0000000000000001E-3</v>
      </c>
      <c r="F4" s="44">
        <v>5.6000000000000008E-3</v>
      </c>
      <c r="G4" s="44">
        <v>9.7000000000000003E-3</v>
      </c>
      <c r="I4" s="45"/>
      <c r="J4" s="310" t="s">
        <v>179</v>
      </c>
      <c r="K4" s="310"/>
      <c r="L4" s="310"/>
      <c r="M4" s="310"/>
      <c r="N4" s="310"/>
      <c r="O4" s="310"/>
      <c r="P4" s="310"/>
      <c r="Q4" s="310"/>
      <c r="R4" s="311">
        <v>1</v>
      </c>
      <c r="S4" s="311"/>
    </row>
    <row r="5" spans="1:19" x14ac:dyDescent="0.2">
      <c r="A5" s="32" t="s">
        <v>177</v>
      </c>
      <c r="B5" s="43" t="s">
        <v>180</v>
      </c>
      <c r="C5" s="32" t="str">
        <f t="shared" si="0"/>
        <v>Construção de Praças Urbanas, Rodovias, Ferrovias e recapeamento e pavimentação de vias urbanas-DF</v>
      </c>
      <c r="E5" s="44">
        <v>1.0200000000000001E-2</v>
      </c>
      <c r="F5" s="44">
        <v>1.11E-2</v>
      </c>
      <c r="G5" s="44">
        <v>1.21E-2</v>
      </c>
      <c r="I5" s="46" t="s">
        <v>181</v>
      </c>
      <c r="J5" s="312" t="s">
        <v>182</v>
      </c>
      <c r="K5" s="312"/>
      <c r="L5" s="312"/>
      <c r="M5" s="312"/>
      <c r="N5" s="312"/>
      <c r="O5" s="312"/>
      <c r="P5" s="312"/>
      <c r="Q5" s="312"/>
      <c r="R5" s="311">
        <v>0.05</v>
      </c>
      <c r="S5" s="311"/>
    </row>
    <row r="6" spans="1:19" x14ac:dyDescent="0.2">
      <c r="A6" s="32" t="s">
        <v>177</v>
      </c>
      <c r="B6" s="43" t="s">
        <v>183</v>
      </c>
      <c r="C6" s="32" t="str">
        <f t="shared" si="0"/>
        <v>Construção de Praças Urbanas, Rodovias, Ferrovias e recapeamento e pavimentação de vias urbanas-L</v>
      </c>
      <c r="E6" s="44">
        <v>6.6400000000000001E-2</v>
      </c>
      <c r="F6" s="44">
        <v>7.2999999999999995E-2</v>
      </c>
      <c r="G6" s="44">
        <v>8.6899999999999991E-2</v>
      </c>
      <c r="I6" s="33" t="s">
        <v>184</v>
      </c>
      <c r="J6" s="47"/>
      <c r="K6" s="47"/>
      <c r="L6" s="47"/>
      <c r="M6" s="47"/>
      <c r="N6" s="47"/>
      <c r="O6" s="47"/>
      <c r="P6" s="47"/>
      <c r="Q6" s="47"/>
      <c r="R6" s="47"/>
      <c r="S6" s="47"/>
    </row>
    <row r="7" spans="1:19" ht="25.5" x14ac:dyDescent="0.2">
      <c r="A7" s="32" t="s">
        <v>177</v>
      </c>
      <c r="B7" s="48" t="s">
        <v>185</v>
      </c>
      <c r="C7" s="32" t="str">
        <f t="shared" si="0"/>
        <v>Construção de Praças Urbanas, Rodovias, Ferrovias e recapeamento e pavimentação de vias urbanas-BDI PAD</v>
      </c>
      <c r="E7" s="44">
        <v>0.19600000000000001</v>
      </c>
      <c r="F7" s="44">
        <v>0.2097</v>
      </c>
      <c r="G7" s="44">
        <v>0.24230000000000002</v>
      </c>
      <c r="I7" s="33" t="s">
        <v>184</v>
      </c>
    </row>
    <row r="8" spans="1:19" x14ac:dyDescent="0.2">
      <c r="A8" s="32" t="s">
        <v>186</v>
      </c>
      <c r="B8" s="43" t="s">
        <v>187</v>
      </c>
      <c r="C8" s="32" t="str">
        <f t="shared" si="0"/>
        <v>Construção de Redes de Abastecimento de Água, Coleta de Esgoto-AC</v>
      </c>
      <c r="E8" s="44">
        <v>3.4300000000000004E-2</v>
      </c>
      <c r="F8" s="44">
        <v>4.9299999999999997E-2</v>
      </c>
      <c r="G8" s="44">
        <v>6.7099999999999993E-2</v>
      </c>
      <c r="I8" s="33" t="s">
        <v>184</v>
      </c>
      <c r="J8" s="313" t="s">
        <v>188</v>
      </c>
      <c r="K8" s="313"/>
      <c r="L8" s="313"/>
      <c r="M8" s="313"/>
      <c r="N8" s="313"/>
      <c r="O8" s="313"/>
      <c r="P8" s="313"/>
      <c r="Q8" s="313"/>
      <c r="R8" s="313"/>
      <c r="S8" s="313"/>
    </row>
    <row r="9" spans="1:19" x14ac:dyDescent="0.2">
      <c r="A9" s="32" t="str">
        <f>A8</f>
        <v>Construção de Redes de Abastecimento de Água, Coleta de Esgoto</v>
      </c>
      <c r="B9" s="43" t="s">
        <v>189</v>
      </c>
      <c r="C9" s="32" t="str">
        <f t="shared" si="0"/>
        <v>Construção de Redes de Abastecimento de Água, Coleta de Esgoto-SG</v>
      </c>
      <c r="E9" s="44">
        <v>2.8000000000000004E-3</v>
      </c>
      <c r="F9" s="44">
        <v>4.8999999999999998E-3</v>
      </c>
      <c r="G9" s="44">
        <v>7.4999999999999997E-3</v>
      </c>
      <c r="I9" s="33" t="s">
        <v>184</v>
      </c>
    </row>
    <row r="10" spans="1:19" x14ac:dyDescent="0.2">
      <c r="A10" s="32" t="str">
        <f>A9</f>
        <v>Construção de Redes de Abastecimento de Água, Coleta de Esgoto</v>
      </c>
      <c r="B10" s="43" t="s">
        <v>178</v>
      </c>
      <c r="C10" s="32" t="str">
        <f t="shared" si="0"/>
        <v>Construção de Redes de Abastecimento de Água, Coleta de Esgoto-R</v>
      </c>
      <c r="E10" s="44">
        <v>0.01</v>
      </c>
      <c r="F10" s="44">
        <v>1.3899999999999999E-2</v>
      </c>
      <c r="G10" s="44">
        <v>1.7399999999999999E-2</v>
      </c>
      <c r="I10" s="33" t="s">
        <v>184</v>
      </c>
      <c r="J10" s="309" t="s">
        <v>190</v>
      </c>
      <c r="K10" s="309"/>
      <c r="L10" s="309"/>
      <c r="M10" s="309"/>
      <c r="N10" s="309"/>
      <c r="O10" s="309"/>
      <c r="P10" s="309"/>
      <c r="Q10" s="309"/>
      <c r="R10" s="309"/>
      <c r="S10" s="309"/>
    </row>
    <row r="11" spans="1:19" x14ac:dyDescent="0.2">
      <c r="A11" s="32" t="str">
        <f>A10</f>
        <v>Construção de Redes de Abastecimento de Água, Coleta de Esgoto</v>
      </c>
      <c r="B11" s="43" t="s">
        <v>180</v>
      </c>
      <c r="C11" s="32" t="str">
        <f t="shared" si="0"/>
        <v>Construção de Redes de Abastecimento de Água, Coleta de Esgoto-DF</v>
      </c>
      <c r="E11" s="44">
        <v>9.3999999999999986E-3</v>
      </c>
      <c r="F11" s="44">
        <v>9.8999999999999991E-3</v>
      </c>
      <c r="G11" s="44">
        <v>1.1699999999999999E-2</v>
      </c>
      <c r="I11" s="33" t="s">
        <v>184</v>
      </c>
      <c r="J11" s="315" t="s">
        <v>191</v>
      </c>
      <c r="K11" s="315"/>
      <c r="L11" s="315"/>
      <c r="M11" s="315"/>
      <c r="N11" s="315"/>
      <c r="O11" s="315"/>
      <c r="P11" s="315"/>
      <c r="Q11" s="315"/>
      <c r="R11" s="315"/>
      <c r="S11" s="315"/>
    </row>
    <row r="12" spans="1:19" x14ac:dyDescent="0.2">
      <c r="A12" s="32" t="str">
        <f>A11</f>
        <v>Construção de Redes de Abastecimento de Água, Coleta de Esgoto</v>
      </c>
      <c r="B12" s="43" t="s">
        <v>183</v>
      </c>
      <c r="C12" s="32" t="str">
        <f t="shared" si="0"/>
        <v>Construção de Redes de Abastecimento de Água, Coleta de Esgoto-L</v>
      </c>
      <c r="E12" s="44">
        <v>6.7400000000000002E-2</v>
      </c>
      <c r="F12" s="44">
        <v>8.0399999999999985E-2</v>
      </c>
      <c r="G12" s="44">
        <v>9.4E-2</v>
      </c>
      <c r="I12" s="33" t="s">
        <v>184</v>
      </c>
    </row>
    <row r="13" spans="1:19" ht="25.5" x14ac:dyDescent="0.2">
      <c r="A13" s="32" t="str">
        <f>A12</f>
        <v>Construção de Redes de Abastecimento de Água, Coleta de Esgoto</v>
      </c>
      <c r="B13" s="48" t="s">
        <v>185</v>
      </c>
      <c r="C13" s="32" t="str">
        <f t="shared" si="0"/>
        <v>Construção de Redes de Abastecimento de Água, Coleta de Esgoto-BDI PAD</v>
      </c>
      <c r="E13" s="44">
        <v>0.20760000000000001</v>
      </c>
      <c r="F13" s="44">
        <v>0.24179999999999999</v>
      </c>
      <c r="G13" s="44">
        <v>0.26440000000000002</v>
      </c>
      <c r="I13" s="33" t="s">
        <v>184</v>
      </c>
      <c r="J13" s="316" t="s">
        <v>192</v>
      </c>
      <c r="K13" s="316"/>
      <c r="L13" s="316"/>
      <c r="M13" s="316"/>
      <c r="N13" s="316"/>
      <c r="O13" s="316"/>
      <c r="P13" s="316"/>
      <c r="Q13" s="316"/>
      <c r="R13" s="316" t="s">
        <v>193</v>
      </c>
      <c r="S13" s="317" t="s">
        <v>194</v>
      </c>
    </row>
    <row r="14" spans="1:19" x14ac:dyDescent="0.2">
      <c r="A14" s="32" t="s">
        <v>195</v>
      </c>
      <c r="B14" s="43" t="s">
        <v>187</v>
      </c>
      <c r="C14" s="32" t="str">
        <f t="shared" si="0"/>
        <v>Construção e Manutenção de Estações e Redes de Distribuição de Energia Elétrica-AC</v>
      </c>
      <c r="E14" s="44">
        <v>5.2900000000000003E-2</v>
      </c>
      <c r="F14" s="44">
        <v>5.9200000000000003E-2</v>
      </c>
      <c r="G14" s="44">
        <v>7.9299999999999995E-2</v>
      </c>
      <c r="I14" s="33" t="s">
        <v>184</v>
      </c>
      <c r="J14" s="316"/>
      <c r="K14" s="316"/>
      <c r="L14" s="316"/>
      <c r="M14" s="316"/>
      <c r="N14" s="316"/>
      <c r="O14" s="316"/>
      <c r="P14" s="316"/>
      <c r="Q14" s="316"/>
      <c r="R14" s="316"/>
      <c r="S14" s="317"/>
    </row>
    <row r="15" spans="1:19" ht="14.25" x14ac:dyDescent="0.2">
      <c r="A15" s="32" t="str">
        <f>A14</f>
        <v>Construção e Manutenção de Estações e Redes de Distribuição de Energia Elétrica</v>
      </c>
      <c r="B15" s="43" t="s">
        <v>189</v>
      </c>
      <c r="C15" s="32" t="str">
        <f t="shared" si="0"/>
        <v>Construção e Manutenção de Estações e Redes de Distribuição de Energia Elétrica-SG</v>
      </c>
      <c r="E15" s="44">
        <v>2.5000000000000001E-3</v>
      </c>
      <c r="F15" s="44">
        <v>5.1000000000000004E-3</v>
      </c>
      <c r="G15" s="44">
        <v>5.6000000000000008E-3</v>
      </c>
      <c r="I15" s="33" t="s">
        <v>184</v>
      </c>
      <c r="J15" s="314" t="str">
        <f>IF($J$11=$A$140,"Encargos Sociais incidentes sobre a mão de obra","Administração Central")</f>
        <v>Administração Central</v>
      </c>
      <c r="K15" s="314"/>
      <c r="L15" s="314"/>
      <c r="M15" s="314"/>
      <c r="N15" s="314"/>
      <c r="O15" s="314"/>
      <c r="P15" s="314"/>
      <c r="Q15" s="314"/>
      <c r="R15" s="49" t="str">
        <f>IF($J11=$A$140,"K1","AC")</f>
        <v>AC</v>
      </c>
      <c r="S15" s="50">
        <v>4.0099999999999997E-2</v>
      </c>
    </row>
    <row r="16" spans="1:19" ht="14.25" x14ac:dyDescent="0.2">
      <c r="A16" s="32" t="str">
        <f>A15</f>
        <v>Construção e Manutenção de Estações e Redes de Distribuição de Energia Elétrica</v>
      </c>
      <c r="B16" s="43" t="s">
        <v>178</v>
      </c>
      <c r="C16" s="32" t="str">
        <f t="shared" si="0"/>
        <v>Construção e Manutenção de Estações e Redes de Distribuição de Energia Elétrica-R</v>
      </c>
      <c r="E16" s="44">
        <v>0.01</v>
      </c>
      <c r="F16" s="44">
        <v>1.4800000000000001E-2</v>
      </c>
      <c r="G16" s="44">
        <v>1.9699999999999999E-2</v>
      </c>
      <c r="I16" s="33" t="s">
        <v>184</v>
      </c>
      <c r="J16" s="314" t="str">
        <f>IF($J$11=$A$140,"Administração Central da empresa ou consultoria - overhead","Seguro e Garantia")</f>
        <v>Seguro e Garantia</v>
      </c>
      <c r="K16" s="314"/>
      <c r="L16" s="314"/>
      <c r="M16" s="314"/>
      <c r="N16" s="314"/>
      <c r="O16" s="314"/>
      <c r="P16" s="314"/>
      <c r="Q16" s="314"/>
      <c r="R16" s="49" t="str">
        <f>IF($J11=$A$140,"K2","SG")</f>
        <v>SG</v>
      </c>
      <c r="S16" s="50">
        <v>4.0000000000000001E-3</v>
      </c>
    </row>
    <row r="17" spans="1:19" ht="14.25" x14ac:dyDescent="0.2">
      <c r="A17" s="32" t="str">
        <f>A16</f>
        <v>Construção e Manutenção de Estações e Redes de Distribuição de Energia Elétrica</v>
      </c>
      <c r="B17" s="43" t="s">
        <v>180</v>
      </c>
      <c r="C17" s="32" t="str">
        <f t="shared" si="0"/>
        <v>Construção e Manutenção de Estações e Redes de Distribuição de Energia Elétrica-DF</v>
      </c>
      <c r="E17" s="44">
        <v>1.01E-2</v>
      </c>
      <c r="F17" s="44">
        <v>1.0700000000000001E-2</v>
      </c>
      <c r="G17" s="44">
        <v>1.11E-2</v>
      </c>
      <c r="I17" s="33" t="s">
        <v>184</v>
      </c>
      <c r="J17" s="314" t="str">
        <f>IF($J$11=$A$140,"","Risco")</f>
        <v>Risco</v>
      </c>
      <c r="K17" s="314"/>
      <c r="L17" s="314"/>
      <c r="M17" s="314"/>
      <c r="N17" s="314"/>
      <c r="O17" s="314"/>
      <c r="P17" s="314"/>
      <c r="Q17" s="314"/>
      <c r="R17" s="49" t="str">
        <f>IF($J11=$A$140,"","R")</f>
        <v>R</v>
      </c>
      <c r="S17" s="50">
        <v>5.6000000000000008E-3</v>
      </c>
    </row>
    <row r="18" spans="1:19" ht="14.25" x14ac:dyDescent="0.2">
      <c r="A18" s="32" t="str">
        <f>A17</f>
        <v>Construção e Manutenção de Estações e Redes de Distribuição de Energia Elétrica</v>
      </c>
      <c r="B18" s="43" t="s">
        <v>183</v>
      </c>
      <c r="C18" s="32" t="str">
        <f t="shared" si="0"/>
        <v>Construção e Manutenção de Estações e Redes de Distribuição de Energia Elétrica-L</v>
      </c>
      <c r="E18" s="44">
        <v>0.08</v>
      </c>
      <c r="F18" s="44">
        <v>8.3100000000000007E-2</v>
      </c>
      <c r="G18" s="44">
        <v>9.5100000000000004E-2</v>
      </c>
      <c r="I18" s="33" t="s">
        <v>184</v>
      </c>
      <c r="J18" s="314" t="str">
        <f>IF($J$11=$A$140,"","Despesas Financeiras")</f>
        <v>Despesas Financeiras</v>
      </c>
      <c r="K18" s="314"/>
      <c r="L18" s="314"/>
      <c r="M18" s="314"/>
      <c r="N18" s="314"/>
      <c r="O18" s="314"/>
      <c r="P18" s="314"/>
      <c r="Q18" s="314"/>
      <c r="R18" s="49" t="str">
        <f>IF($J11=$A$140,"","DF")</f>
        <v>DF</v>
      </c>
      <c r="S18" s="50">
        <v>1.0200000000000001E-2</v>
      </c>
    </row>
    <row r="19" spans="1:19" ht="25.5" x14ac:dyDescent="0.2">
      <c r="A19" s="32" t="str">
        <f>A18</f>
        <v>Construção e Manutenção de Estações e Redes de Distribuição de Energia Elétrica</v>
      </c>
      <c r="B19" s="48" t="s">
        <v>185</v>
      </c>
      <c r="C19" s="32" t="str">
        <f t="shared" si="0"/>
        <v>Construção e Manutenção de Estações e Redes de Distribuição de Energia Elétrica-BDI PAD</v>
      </c>
      <c r="E19" s="44">
        <v>0.24</v>
      </c>
      <c r="F19" s="44">
        <v>0.25840000000000002</v>
      </c>
      <c r="G19" s="44">
        <v>0.27860000000000001</v>
      </c>
      <c r="I19" s="33" t="s">
        <v>184</v>
      </c>
      <c r="J19" s="314" t="str">
        <f>IF($J$11=$A$140,"Margem bruta da empresa de consultoria","Lucro")</f>
        <v>Lucro</v>
      </c>
      <c r="K19" s="314"/>
      <c r="L19" s="314"/>
      <c r="M19" s="314"/>
      <c r="N19" s="314"/>
      <c r="O19" s="314"/>
      <c r="P19" s="314"/>
      <c r="Q19" s="314"/>
      <c r="R19" s="49" t="str">
        <f>IF($J11=$A$140,"K3","L")</f>
        <v>L</v>
      </c>
      <c r="S19" s="50">
        <v>7.0199999999999999E-2</v>
      </c>
    </row>
    <row r="20" spans="1:19" ht="14.25" x14ac:dyDescent="0.2">
      <c r="A20" s="32" t="s">
        <v>197</v>
      </c>
      <c r="B20" s="43" t="s">
        <v>187</v>
      </c>
      <c r="C20" s="32" t="str">
        <f t="shared" si="0"/>
        <v>Obras Portuárias, Marítimas e Fluviais-AC</v>
      </c>
      <c r="E20" s="44">
        <v>0.04</v>
      </c>
      <c r="F20" s="44">
        <v>5.5199999999999999E-2</v>
      </c>
      <c r="G20" s="44">
        <v>7.85E-2</v>
      </c>
      <c r="I20" s="33" t="s">
        <v>184</v>
      </c>
      <c r="J20" s="314" t="s">
        <v>198</v>
      </c>
      <c r="K20" s="314"/>
      <c r="L20" s="314"/>
      <c r="M20" s="314"/>
      <c r="N20" s="314"/>
      <c r="O20" s="314"/>
      <c r="P20" s="314"/>
      <c r="Q20" s="314"/>
      <c r="R20" s="49" t="s">
        <v>199</v>
      </c>
      <c r="S20" s="50">
        <v>3.6499999999999998E-2</v>
      </c>
    </row>
    <row r="21" spans="1:19" ht="14.25" x14ac:dyDescent="0.2">
      <c r="A21" s="32" t="str">
        <f>A20</f>
        <v>Obras Portuárias, Marítimas e Fluviais</v>
      </c>
      <c r="B21" s="43" t="s">
        <v>189</v>
      </c>
      <c r="C21" s="32" t="str">
        <f t="shared" si="0"/>
        <v>Obras Portuárias, Marítimas e Fluviais-SG</v>
      </c>
      <c r="E21" s="44">
        <v>8.1000000000000013E-3</v>
      </c>
      <c r="F21" s="44">
        <v>1.2199999999999999E-2</v>
      </c>
      <c r="G21" s="44">
        <v>1.9900000000000001E-2</v>
      </c>
      <c r="I21" s="33" t="s">
        <v>184</v>
      </c>
      <c r="J21" s="314" t="s">
        <v>200</v>
      </c>
      <c r="K21" s="314"/>
      <c r="L21" s="314"/>
      <c r="M21" s="314"/>
      <c r="N21" s="314"/>
      <c r="O21" s="314"/>
      <c r="P21" s="314"/>
      <c r="Q21" s="314"/>
      <c r="R21" s="49" t="s">
        <v>201</v>
      </c>
      <c r="S21" s="51">
        <v>0.05</v>
      </c>
    </row>
    <row r="22" spans="1:19" ht="14.25" x14ac:dyDescent="0.2">
      <c r="A22" s="32" t="str">
        <f>A21</f>
        <v>Obras Portuárias, Marítimas e Fluviais</v>
      </c>
      <c r="B22" s="43" t="s">
        <v>178</v>
      </c>
      <c r="C22" s="32" t="str">
        <f t="shared" si="0"/>
        <v>Obras Portuárias, Marítimas e Fluviais-R</v>
      </c>
      <c r="E22" s="44">
        <v>1.46E-2</v>
      </c>
      <c r="F22" s="44">
        <v>2.3199999999999998E-2</v>
      </c>
      <c r="G22" s="44">
        <v>3.1600000000000003E-2</v>
      </c>
      <c r="I22" s="33" t="s">
        <v>184</v>
      </c>
      <c r="J22" s="314" t="s">
        <v>202</v>
      </c>
      <c r="K22" s="314"/>
      <c r="L22" s="314"/>
      <c r="M22" s="314"/>
      <c r="N22" s="314"/>
      <c r="O22" s="314"/>
      <c r="P22" s="314"/>
      <c r="Q22" s="314"/>
      <c r="R22" s="49" t="s">
        <v>203</v>
      </c>
      <c r="S22" s="51">
        <v>0</v>
      </c>
    </row>
    <row r="23" spans="1:19" ht="14.25" x14ac:dyDescent="0.2">
      <c r="A23" s="32" t="str">
        <f>A22</f>
        <v>Obras Portuárias, Marítimas e Fluviais</v>
      </c>
      <c r="B23" s="43" t="s">
        <v>180</v>
      </c>
      <c r="C23" s="32" t="str">
        <f t="shared" si="0"/>
        <v>Obras Portuárias, Marítimas e Fluviais-DF</v>
      </c>
      <c r="E23" s="44">
        <v>9.3999999999999986E-3</v>
      </c>
      <c r="F23" s="44">
        <v>1.0200000000000001E-2</v>
      </c>
      <c r="G23" s="44">
        <v>1.3300000000000001E-2</v>
      </c>
      <c r="I23" s="33" t="s">
        <v>184</v>
      </c>
      <c r="J23" s="314" t="s">
        <v>204</v>
      </c>
      <c r="K23" s="314"/>
      <c r="L23" s="314"/>
      <c r="M23" s="314"/>
      <c r="N23" s="314"/>
      <c r="O23" s="314"/>
      <c r="P23" s="314"/>
      <c r="Q23" s="314"/>
      <c r="R23" s="52" t="s">
        <v>185</v>
      </c>
      <c r="S23" s="51">
        <v>0.24229999999999999</v>
      </c>
    </row>
    <row r="24" spans="1:19" x14ac:dyDescent="0.2">
      <c r="A24" s="32" t="str">
        <f>A23</f>
        <v>Obras Portuárias, Marítimas e Fluviais</v>
      </c>
      <c r="B24" s="43" t="s">
        <v>183</v>
      </c>
      <c r="C24" s="32" t="str">
        <f t="shared" si="0"/>
        <v>Obras Portuárias, Marítimas e Fluviais-L</v>
      </c>
      <c r="E24" s="44">
        <v>7.1399999999999991E-2</v>
      </c>
      <c r="F24" s="44">
        <v>8.4000000000000005E-2</v>
      </c>
      <c r="G24" s="44">
        <v>0.1043</v>
      </c>
      <c r="I24" s="33" t="s">
        <v>184</v>
      </c>
      <c r="J24" s="318" t="s">
        <v>205</v>
      </c>
      <c r="K24" s="318"/>
      <c r="L24" s="318"/>
      <c r="M24" s="318"/>
      <c r="N24" s="318"/>
      <c r="O24" s="318"/>
      <c r="P24" s="318"/>
      <c r="Q24" s="318"/>
      <c r="R24" s="53"/>
      <c r="S24" s="54">
        <f>S23</f>
        <v>0.24229999999999999</v>
      </c>
    </row>
    <row r="25" spans="1:19" ht="25.5" x14ac:dyDescent="0.2">
      <c r="A25" s="32" t="str">
        <f>A24</f>
        <v>Obras Portuárias, Marítimas e Fluviais</v>
      </c>
      <c r="B25" s="48" t="s">
        <v>185</v>
      </c>
      <c r="C25" s="32" t="str">
        <f t="shared" si="0"/>
        <v>Obras Portuárias, Marítimas e Fluviais-BDI PAD</v>
      </c>
      <c r="E25" s="44">
        <v>0.22800000000000001</v>
      </c>
      <c r="F25" s="44">
        <v>0.27479999999999999</v>
      </c>
      <c r="G25" s="44">
        <v>0.3095</v>
      </c>
      <c r="I25" s="33" t="s">
        <v>184</v>
      </c>
    </row>
    <row r="26" spans="1:19" x14ac:dyDescent="0.2">
      <c r="A26" s="32" t="s">
        <v>206</v>
      </c>
      <c r="B26" s="43" t="s">
        <v>187</v>
      </c>
      <c r="C26" s="32" t="str">
        <f t="shared" si="0"/>
        <v>Fornecimento de Materiais e Equipamentos (aquisição indireta - em conjunto com licitação de obras)-AC</v>
      </c>
      <c r="E26" s="44">
        <v>1.4999999999999999E-2</v>
      </c>
      <c r="F26" s="44">
        <v>3.4500000000000003E-2</v>
      </c>
      <c r="G26" s="44">
        <v>4.4900000000000002E-2</v>
      </c>
      <c r="I26" s="33" t="s">
        <v>184</v>
      </c>
      <c r="J26" s="55"/>
      <c r="K26" s="319"/>
      <c r="L26" s="319"/>
      <c r="M26" s="319"/>
      <c r="N26" s="319"/>
      <c r="O26" s="319"/>
      <c r="P26" s="319"/>
      <c r="Q26" s="319"/>
      <c r="R26" s="319"/>
      <c r="S26" s="319"/>
    </row>
    <row r="27" spans="1:19" x14ac:dyDescent="0.2">
      <c r="A27" s="32" t="str">
        <f>A26</f>
        <v>Fornecimento de Materiais e Equipamentos (aquisição indireta - em conjunto com licitação de obras)</v>
      </c>
      <c r="B27" s="43" t="s">
        <v>189</v>
      </c>
      <c r="C27" s="32" t="str">
        <f t="shared" si="0"/>
        <v>Fornecimento de Materiais e Equipamentos (aquisição indireta - em conjunto com licitação de obras)-SG</v>
      </c>
      <c r="E27" s="44">
        <v>3.0000000000000001E-3</v>
      </c>
      <c r="F27" s="44">
        <v>4.7999999999999996E-3</v>
      </c>
      <c r="G27" s="44">
        <v>8.199999999999999E-3</v>
      </c>
      <c r="I27" s="33" t="s">
        <v>184</v>
      </c>
    </row>
    <row r="28" spans="1:19" x14ac:dyDescent="0.2">
      <c r="A28" s="32" t="str">
        <f>A27</f>
        <v>Fornecimento de Materiais e Equipamentos (aquisição indireta - em conjunto com licitação de obras)</v>
      </c>
      <c r="B28" s="43" t="s">
        <v>178</v>
      </c>
      <c r="C28" s="32" t="str">
        <f t="shared" si="0"/>
        <v>Fornecimento de Materiais e Equipamentos (aquisição indireta - em conjunto com licitação de obras)-R</v>
      </c>
      <c r="E28" s="44">
        <v>5.6000000000000008E-3</v>
      </c>
      <c r="F28" s="44">
        <v>8.5000000000000006E-3</v>
      </c>
      <c r="G28" s="44">
        <v>8.8999999999999999E-3</v>
      </c>
      <c r="I28" s="33" t="s">
        <v>184</v>
      </c>
      <c r="J28" s="320" t="s">
        <v>207</v>
      </c>
      <c r="K28" s="320"/>
      <c r="L28" s="320"/>
      <c r="M28" s="320"/>
      <c r="N28" s="320"/>
      <c r="O28" s="320"/>
      <c r="P28" s="320"/>
      <c r="Q28" s="320"/>
      <c r="R28" s="320"/>
      <c r="S28" s="320"/>
    </row>
    <row r="29" spans="1:19" ht="15.75" x14ac:dyDescent="0.25">
      <c r="A29" s="32" t="str">
        <f>A28</f>
        <v>Fornecimento de Materiais e Equipamentos (aquisição indireta - em conjunto com licitação de obras)</v>
      </c>
      <c r="B29" s="43" t="s">
        <v>180</v>
      </c>
      <c r="C29" s="32" t="str">
        <f t="shared" si="0"/>
        <v>Fornecimento de Materiais e Equipamentos (aquisição indireta - em conjunto com licitação de obras)-DF</v>
      </c>
      <c r="E29" s="44">
        <v>8.5000000000000006E-3</v>
      </c>
      <c r="F29" s="44">
        <v>8.5000000000000006E-3</v>
      </c>
      <c r="G29" s="44">
        <v>1.11E-2</v>
      </c>
      <c r="I29" s="33" t="s">
        <v>184</v>
      </c>
      <c r="J29" s="56"/>
      <c r="K29" s="56"/>
      <c r="L29" s="56"/>
      <c r="M29" s="321" t="s">
        <v>208</v>
      </c>
      <c r="N29" s="322" t="str">
        <f>IF($J11=$A$140,"(1+K1+K2)*(1+K3)","(1+AC + S + R + G)*(1 + DF)*(1+L)")</f>
        <v>(1+AC + S + R + G)*(1 + DF)*(1+L)</v>
      </c>
      <c r="O29" s="322"/>
      <c r="P29" s="322"/>
      <c r="Q29" s="323" t="s">
        <v>209</v>
      </c>
      <c r="R29" s="57"/>
      <c r="S29" s="56"/>
    </row>
    <row r="30" spans="1:19" ht="15.75" x14ac:dyDescent="0.2">
      <c r="A30" s="32" t="str">
        <f>A29</f>
        <v>Fornecimento de Materiais e Equipamentos (aquisição indireta - em conjunto com licitação de obras)</v>
      </c>
      <c r="B30" s="43" t="s">
        <v>183</v>
      </c>
      <c r="C30" s="32" t="str">
        <f t="shared" si="0"/>
        <v>Fornecimento de Materiais e Equipamentos (aquisição indireta - em conjunto com licitação de obras)-L</v>
      </c>
      <c r="E30" s="44">
        <v>3.5000000000000003E-2</v>
      </c>
      <c r="F30" s="44">
        <v>5.1100000000000007E-2</v>
      </c>
      <c r="G30" s="44">
        <v>6.2199999999999998E-2</v>
      </c>
      <c r="I30" s="33" t="s">
        <v>184</v>
      </c>
      <c r="J30" s="56"/>
      <c r="K30" s="56"/>
      <c r="L30" s="56"/>
      <c r="M30" s="321"/>
      <c r="N30" s="324" t="s">
        <v>210</v>
      </c>
      <c r="O30" s="324"/>
      <c r="P30" s="324"/>
      <c r="Q30" s="323"/>
      <c r="R30" s="57"/>
      <c r="S30" s="56"/>
    </row>
    <row r="31" spans="1:19" ht="25.5" x14ac:dyDescent="0.2">
      <c r="A31" s="32" t="str">
        <f>A30</f>
        <v>Fornecimento de Materiais e Equipamentos (aquisição indireta - em conjunto com licitação de obras)</v>
      </c>
      <c r="B31" s="48" t="s">
        <v>185</v>
      </c>
      <c r="C31" s="32" t="str">
        <f t="shared" si="0"/>
        <v>Fornecimento de Materiais e Equipamentos (aquisição indireta - em conjunto com licitação de obras)-BDI PAD</v>
      </c>
      <c r="E31" s="44">
        <v>0.111</v>
      </c>
      <c r="F31" s="44">
        <v>0.14019999999999999</v>
      </c>
      <c r="G31" s="44">
        <v>0.16800000000000001</v>
      </c>
      <c r="I31" s="33" t="s">
        <v>184</v>
      </c>
      <c r="J31" s="58"/>
      <c r="K31" s="58"/>
      <c r="L31" s="58"/>
      <c r="M31" s="59"/>
      <c r="N31" s="59"/>
      <c r="O31" s="59"/>
      <c r="P31" s="59"/>
      <c r="Q31" s="59"/>
      <c r="R31" s="59"/>
      <c r="S31" s="58"/>
    </row>
    <row r="32" spans="1:19" x14ac:dyDescent="0.2">
      <c r="A32" s="32" t="s">
        <v>211</v>
      </c>
      <c r="B32" s="48" t="s">
        <v>187</v>
      </c>
      <c r="C32" s="32" t="str">
        <f t="shared" si="0"/>
        <v>Fornecimento de Materiais e Equipamentos (aquisição direta)-AC</v>
      </c>
      <c r="E32" s="44" t="s">
        <v>196</v>
      </c>
      <c r="F32" s="44" t="s">
        <v>196</v>
      </c>
      <c r="G32" s="44" t="s">
        <v>196</v>
      </c>
      <c r="I32" s="33" t="s">
        <v>184</v>
      </c>
      <c r="J32" s="325" t="str">
        <f>CONCATENATE("Declaro para os devidos fins que, conforme legislação tributária municipal, a base de cálculo deste tipo de obra corresponde à ",$R$4*100,"%, com a respectiva alíquota de ",$R$5*100,"%.")</f>
        <v>Declaro para os devidos fins que, conforme legislação tributária municipal, a base de cálculo deste tipo de obra corresponde à 100%, com a respectiva alíquota de 5%.</v>
      </c>
      <c r="K32" s="325"/>
      <c r="L32" s="325"/>
      <c r="M32" s="325"/>
      <c r="N32" s="325"/>
      <c r="O32" s="325"/>
      <c r="P32" s="325"/>
      <c r="Q32" s="325"/>
      <c r="R32" s="325"/>
      <c r="S32" s="325"/>
    </row>
    <row r="33" spans="1:19" x14ac:dyDescent="0.2">
      <c r="A33" s="32" t="s">
        <v>211</v>
      </c>
      <c r="B33" s="48" t="s">
        <v>189</v>
      </c>
      <c r="C33" s="32" t="str">
        <f t="shared" si="0"/>
        <v>Fornecimento de Materiais e Equipamentos (aquisição direta)-SG</v>
      </c>
      <c r="E33" s="44" t="s">
        <v>196</v>
      </c>
      <c r="F33" s="44" t="s">
        <v>196</v>
      </c>
      <c r="G33" s="44" t="s">
        <v>196</v>
      </c>
      <c r="I33" s="33" t="s">
        <v>184</v>
      </c>
    </row>
    <row r="34" spans="1:19" x14ac:dyDescent="0.2">
      <c r="A34" s="32" t="s">
        <v>211</v>
      </c>
      <c r="B34" s="48" t="s">
        <v>178</v>
      </c>
      <c r="C34" s="32" t="str">
        <f t="shared" si="0"/>
        <v>Fornecimento de Materiais e Equipamentos (aquisição direta)-R</v>
      </c>
      <c r="E34" s="44" t="s">
        <v>196</v>
      </c>
      <c r="F34" s="44" t="s">
        <v>196</v>
      </c>
      <c r="G34" s="44" t="s">
        <v>196</v>
      </c>
      <c r="I34" s="33" t="s">
        <v>184</v>
      </c>
      <c r="J34" s="325" t="s">
        <v>212</v>
      </c>
      <c r="K34" s="325"/>
      <c r="L34" s="325"/>
      <c r="M34" s="325"/>
      <c r="N34" s="325"/>
      <c r="O34" s="325"/>
      <c r="P34" s="325"/>
      <c r="Q34" s="325"/>
      <c r="R34" s="325"/>
      <c r="S34" s="325"/>
    </row>
    <row r="35" spans="1:19" x14ac:dyDescent="0.2">
      <c r="A35" s="32" t="s">
        <v>211</v>
      </c>
      <c r="B35" s="48" t="s">
        <v>180</v>
      </c>
      <c r="C35" s="32" t="str">
        <f t="shared" si="0"/>
        <v>Fornecimento de Materiais e Equipamentos (aquisição direta)-DF</v>
      </c>
      <c r="E35" s="44" t="s">
        <v>196</v>
      </c>
      <c r="F35" s="44" t="s">
        <v>196</v>
      </c>
      <c r="G35" s="44" t="s">
        <v>196</v>
      </c>
      <c r="I35" s="33" t="s">
        <v>184</v>
      </c>
    </row>
    <row r="36" spans="1:19" x14ac:dyDescent="0.2">
      <c r="A36" s="32" t="s">
        <v>211</v>
      </c>
      <c r="B36" s="48" t="s">
        <v>183</v>
      </c>
      <c r="C36" s="32" t="str">
        <f t="shared" si="0"/>
        <v>Fornecimento de Materiais e Equipamentos (aquisição direta)-L</v>
      </c>
      <c r="E36" s="44" t="s">
        <v>196</v>
      </c>
      <c r="F36" s="44" t="s">
        <v>196</v>
      </c>
      <c r="G36" s="44" t="s">
        <v>196</v>
      </c>
      <c r="I36" s="33" t="s">
        <v>184</v>
      </c>
      <c r="J36" s="32" t="s">
        <v>213</v>
      </c>
    </row>
    <row r="37" spans="1:19" ht="25.5" x14ac:dyDescent="0.2">
      <c r="A37" s="32" t="s">
        <v>211</v>
      </c>
      <c r="B37" s="48" t="s">
        <v>185</v>
      </c>
      <c r="C37" s="32" t="str">
        <f t="shared" si="0"/>
        <v>Fornecimento de Materiais e Equipamentos (aquisição direta)-BDI PAD</v>
      </c>
      <c r="E37" s="44" t="s">
        <v>196</v>
      </c>
      <c r="F37" s="44" t="s">
        <v>196</v>
      </c>
      <c r="G37" s="44" t="s">
        <v>196</v>
      </c>
      <c r="I37" s="33" t="s">
        <v>184</v>
      </c>
      <c r="J37" s="326"/>
      <c r="K37" s="326"/>
      <c r="L37" s="326"/>
      <c r="M37" s="326"/>
      <c r="N37" s="326"/>
      <c r="O37" s="326"/>
      <c r="P37" s="326"/>
      <c r="Q37" s="326"/>
      <c r="R37" s="326"/>
      <c r="S37" s="326"/>
    </row>
    <row r="38" spans="1:19" x14ac:dyDescent="0.2">
      <c r="A38" s="32" t="s">
        <v>214</v>
      </c>
      <c r="B38" s="43" t="s">
        <v>215</v>
      </c>
      <c r="C38" s="32" t="str">
        <f t="shared" si="0"/>
        <v>Estudos e Projetos, Planos e Gerenciamento e outros correlatos-K1</v>
      </c>
      <c r="E38" s="44" t="s">
        <v>196</v>
      </c>
      <c r="F38" s="44" t="s">
        <v>196</v>
      </c>
      <c r="G38" s="44" t="s">
        <v>196</v>
      </c>
      <c r="I38" s="33" t="s">
        <v>184</v>
      </c>
    </row>
    <row r="39" spans="1:19" x14ac:dyDescent="0.2">
      <c r="A39" s="32" t="e">
        <f>#REF!</f>
        <v>#REF!</v>
      </c>
      <c r="B39" s="43"/>
      <c r="C39" s="32" t="e">
        <f t="shared" si="0"/>
        <v>#REF!</v>
      </c>
      <c r="E39" s="44" t="s">
        <v>196</v>
      </c>
      <c r="F39" s="44" t="s">
        <v>196</v>
      </c>
      <c r="G39" s="44" t="s">
        <v>196</v>
      </c>
      <c r="I39" s="33" t="s">
        <v>184</v>
      </c>
    </row>
    <row r="40" spans="1:19" x14ac:dyDescent="0.2">
      <c r="A40" s="32" t="e">
        <f>A39</f>
        <v>#REF!</v>
      </c>
      <c r="B40" s="43" t="s">
        <v>216</v>
      </c>
      <c r="C40" s="32" t="e">
        <f t="shared" si="0"/>
        <v>#REF!</v>
      </c>
      <c r="E40" s="44" t="s">
        <v>196</v>
      </c>
      <c r="F40" s="44">
        <v>0.12</v>
      </c>
      <c r="G40" s="44" t="s">
        <v>196</v>
      </c>
      <c r="I40" s="33" t="s">
        <v>184</v>
      </c>
      <c r="J40" s="327"/>
      <c r="K40" s="327"/>
      <c r="L40" s="327"/>
      <c r="M40" s="327"/>
    </row>
    <row r="41" spans="1:19" ht="25.5" x14ac:dyDescent="0.2">
      <c r="A41" s="32" t="e">
        <f>A40</f>
        <v>#REF!</v>
      </c>
      <c r="B41" s="48" t="s">
        <v>185</v>
      </c>
      <c r="C41" s="32" t="e">
        <f t="shared" si="0"/>
        <v>#REF!</v>
      </c>
      <c r="E41" s="44" t="s">
        <v>196</v>
      </c>
      <c r="F41" s="44" t="s">
        <v>196</v>
      </c>
      <c r="G41" s="44" t="s">
        <v>196</v>
      </c>
      <c r="I41" s="33" t="s">
        <v>184</v>
      </c>
      <c r="J41" s="328" t="s">
        <v>217</v>
      </c>
      <c r="K41" s="328"/>
      <c r="L41" s="328"/>
      <c r="M41" s="328"/>
    </row>
    <row r="42" spans="1:19" x14ac:dyDescent="0.2">
      <c r="B42" s="48"/>
      <c r="E42" s="44"/>
      <c r="F42" s="44"/>
      <c r="G42" s="44"/>
      <c r="I42" s="33" t="s">
        <v>184</v>
      </c>
      <c r="J42" s="60" t="s">
        <v>218</v>
      </c>
      <c r="K42" s="61"/>
      <c r="L42" s="62"/>
      <c r="M42" s="62"/>
    </row>
    <row r="43" spans="1:19" x14ac:dyDescent="0.2">
      <c r="A43" s="33"/>
      <c r="B43" s="33"/>
      <c r="C43" s="33"/>
      <c r="D43" s="33"/>
      <c r="E43" s="33"/>
      <c r="F43" s="33"/>
      <c r="G43" s="33"/>
      <c r="I43" s="33" t="s">
        <v>184</v>
      </c>
      <c r="J43" s="60" t="s">
        <v>219</v>
      </c>
      <c r="K43" s="61"/>
      <c r="L43" s="62"/>
      <c r="M43" s="62"/>
    </row>
    <row r="44" spans="1:19" x14ac:dyDescent="0.2">
      <c r="A44" s="33"/>
      <c r="B44" s="33"/>
      <c r="C44" s="33"/>
      <c r="D44" s="33"/>
      <c r="E44" s="33"/>
      <c r="F44" s="33"/>
      <c r="G44" s="33"/>
      <c r="I44" s="33" t="s">
        <v>184</v>
      </c>
      <c r="J44" s="60" t="s">
        <v>220</v>
      </c>
      <c r="K44" s="61"/>
      <c r="L44" s="62"/>
      <c r="M44" s="62"/>
    </row>
    <row r="45" spans="1:19" x14ac:dyDescent="0.2">
      <c r="A45" s="33"/>
      <c r="B45" s="33"/>
      <c r="C45" s="33"/>
      <c r="D45" s="33"/>
      <c r="E45" s="33"/>
      <c r="F45" s="33"/>
      <c r="G45" s="33"/>
      <c r="I45" s="33" t="s">
        <v>184</v>
      </c>
      <c r="J45" s="60" t="s">
        <v>221</v>
      </c>
      <c r="K45" s="63"/>
      <c r="L45" s="62"/>
      <c r="M45" s="62"/>
    </row>
  </sheetData>
  <mergeCells count="31">
    <mergeCell ref="J32:S32"/>
    <mergeCell ref="J34:S34"/>
    <mergeCell ref="J37:S37"/>
    <mergeCell ref="J40:M40"/>
    <mergeCell ref="J41:M41"/>
    <mergeCell ref="J23:Q23"/>
    <mergeCell ref="J24:Q24"/>
    <mergeCell ref="K26:S26"/>
    <mergeCell ref="J28:S28"/>
    <mergeCell ref="M29:M30"/>
    <mergeCell ref="N29:P29"/>
    <mergeCell ref="Q29:Q30"/>
    <mergeCell ref="N30:P30"/>
    <mergeCell ref="J20:Q20"/>
    <mergeCell ref="J21:Q21"/>
    <mergeCell ref="J22:Q22"/>
    <mergeCell ref="J17:Q17"/>
    <mergeCell ref="J18:Q18"/>
    <mergeCell ref="J19:Q19"/>
    <mergeCell ref="J15:Q15"/>
    <mergeCell ref="J16:Q16"/>
    <mergeCell ref="J11:S11"/>
    <mergeCell ref="J13:Q14"/>
    <mergeCell ref="R13:R14"/>
    <mergeCell ref="S13:S14"/>
    <mergeCell ref="J10:S10"/>
    <mergeCell ref="J4:Q4"/>
    <mergeCell ref="R4:S4"/>
    <mergeCell ref="J5:Q5"/>
    <mergeCell ref="R5:S5"/>
    <mergeCell ref="J8:S8"/>
  </mergeCells>
  <conditionalFormatting sqref="J24:S24">
    <cfRule type="expression" dxfId="1" priority="1" stopIfTrue="1">
      <formula>DESONERACAO="não"</formula>
    </cfRule>
  </conditionalFormatting>
  <conditionalFormatting sqref="S23">
    <cfRule type="expression" dxfId="0" priority="4" stopIfTrue="1">
      <formula>DESONERACAO="não"</formula>
    </cfRule>
  </conditionalFormatting>
  <dataValidations count="6">
    <dataValidation type="list" allowBlank="1" showErrorMessage="1" sqref="J11:S11 IZ11:JI11 SV11:TE11 ACR11:ADA11 AMN11:AMW11 AWJ11:AWS11 BGF11:BGO11 BQB11:BQK11 BZX11:CAG11 CJT11:CKC11 CTP11:CTY11 DDL11:DDU11 DNH11:DNQ11 DXD11:DXM11 EGZ11:EHI11 EQV11:ERE11 FAR11:FBA11 FKN11:FKW11 FUJ11:FUS11 GEF11:GEO11 GOB11:GOK11 GXX11:GYG11 HHT11:HIC11 HRP11:HRY11 IBL11:IBU11 ILH11:ILQ11 IVD11:IVM11 JEZ11:JFI11 JOV11:JPE11 JYR11:JZA11 KIN11:KIW11 KSJ11:KSS11 LCF11:LCO11 LMB11:LMK11 LVX11:LWG11 MFT11:MGC11 MPP11:MPY11 MZL11:MZU11 NJH11:NJQ11 NTD11:NTM11 OCZ11:ODI11 OMV11:ONE11 OWR11:OXA11 PGN11:PGW11 PQJ11:PQS11 QAF11:QAO11 QKB11:QKK11 QTX11:QUG11 RDT11:REC11 RNP11:RNY11 RXL11:RXU11 SHH11:SHQ11 SRD11:SRM11 TAZ11:TBI11 TKV11:TLE11 TUR11:TVA11 UEN11:UEW11 UOJ11:UOS11 UYF11:UYO11 VIB11:VIK11 VRX11:VSG11 WBT11:WCC11 WLP11:WLY11 WVL11:WVU11 J65374:S65374 IZ65374:JI65374 SV65374:TE65374 ACR65374:ADA65374 AMN65374:AMW65374 AWJ65374:AWS65374 BGF65374:BGO65374 BQB65374:BQK65374 BZX65374:CAG65374 CJT65374:CKC65374 CTP65374:CTY65374 DDL65374:DDU65374 DNH65374:DNQ65374 DXD65374:DXM65374 EGZ65374:EHI65374 EQV65374:ERE65374 FAR65374:FBA65374 FKN65374:FKW65374 FUJ65374:FUS65374 GEF65374:GEO65374 GOB65374:GOK65374 GXX65374:GYG65374 HHT65374:HIC65374 HRP65374:HRY65374 IBL65374:IBU65374 ILH65374:ILQ65374 IVD65374:IVM65374 JEZ65374:JFI65374 JOV65374:JPE65374 JYR65374:JZA65374 KIN65374:KIW65374 KSJ65374:KSS65374 LCF65374:LCO65374 LMB65374:LMK65374 LVX65374:LWG65374 MFT65374:MGC65374 MPP65374:MPY65374 MZL65374:MZU65374 NJH65374:NJQ65374 NTD65374:NTM65374 OCZ65374:ODI65374 OMV65374:ONE65374 OWR65374:OXA65374 PGN65374:PGW65374 PQJ65374:PQS65374 QAF65374:QAO65374 QKB65374:QKK65374 QTX65374:QUG65374 RDT65374:REC65374 RNP65374:RNY65374 RXL65374:RXU65374 SHH65374:SHQ65374 SRD65374:SRM65374 TAZ65374:TBI65374 TKV65374:TLE65374 TUR65374:TVA65374 UEN65374:UEW65374 UOJ65374:UOS65374 UYF65374:UYO65374 VIB65374:VIK65374 VRX65374:VSG65374 WBT65374:WCC65374 WLP65374:WLY65374 WVL65374:WVU65374 J130910:S130910 IZ130910:JI130910 SV130910:TE130910 ACR130910:ADA130910 AMN130910:AMW130910 AWJ130910:AWS130910 BGF130910:BGO130910 BQB130910:BQK130910 BZX130910:CAG130910 CJT130910:CKC130910 CTP130910:CTY130910 DDL130910:DDU130910 DNH130910:DNQ130910 DXD130910:DXM130910 EGZ130910:EHI130910 EQV130910:ERE130910 FAR130910:FBA130910 FKN130910:FKW130910 FUJ130910:FUS130910 GEF130910:GEO130910 GOB130910:GOK130910 GXX130910:GYG130910 HHT130910:HIC130910 HRP130910:HRY130910 IBL130910:IBU130910 ILH130910:ILQ130910 IVD130910:IVM130910 JEZ130910:JFI130910 JOV130910:JPE130910 JYR130910:JZA130910 KIN130910:KIW130910 KSJ130910:KSS130910 LCF130910:LCO130910 LMB130910:LMK130910 LVX130910:LWG130910 MFT130910:MGC130910 MPP130910:MPY130910 MZL130910:MZU130910 NJH130910:NJQ130910 NTD130910:NTM130910 OCZ130910:ODI130910 OMV130910:ONE130910 OWR130910:OXA130910 PGN130910:PGW130910 PQJ130910:PQS130910 QAF130910:QAO130910 QKB130910:QKK130910 QTX130910:QUG130910 RDT130910:REC130910 RNP130910:RNY130910 RXL130910:RXU130910 SHH130910:SHQ130910 SRD130910:SRM130910 TAZ130910:TBI130910 TKV130910:TLE130910 TUR130910:TVA130910 UEN130910:UEW130910 UOJ130910:UOS130910 UYF130910:UYO130910 VIB130910:VIK130910 VRX130910:VSG130910 WBT130910:WCC130910 WLP130910:WLY130910 WVL130910:WVU130910 J196446:S196446 IZ196446:JI196446 SV196446:TE196446 ACR196446:ADA196446 AMN196446:AMW196446 AWJ196446:AWS196446 BGF196446:BGO196446 BQB196446:BQK196446 BZX196446:CAG196446 CJT196446:CKC196446 CTP196446:CTY196446 DDL196446:DDU196446 DNH196446:DNQ196446 DXD196446:DXM196446 EGZ196446:EHI196446 EQV196446:ERE196446 FAR196446:FBA196446 FKN196446:FKW196446 FUJ196446:FUS196446 GEF196446:GEO196446 GOB196446:GOK196446 GXX196446:GYG196446 HHT196446:HIC196446 HRP196446:HRY196446 IBL196446:IBU196446 ILH196446:ILQ196446 IVD196446:IVM196446 JEZ196446:JFI196446 JOV196446:JPE196446 JYR196446:JZA196446 KIN196446:KIW196446 KSJ196446:KSS196446 LCF196446:LCO196446 LMB196446:LMK196446 LVX196446:LWG196446 MFT196446:MGC196446 MPP196446:MPY196446 MZL196446:MZU196446 NJH196446:NJQ196446 NTD196446:NTM196446 OCZ196446:ODI196446 OMV196446:ONE196446 OWR196446:OXA196446 PGN196446:PGW196446 PQJ196446:PQS196446 QAF196446:QAO196446 QKB196446:QKK196446 QTX196446:QUG196446 RDT196446:REC196446 RNP196446:RNY196446 RXL196446:RXU196446 SHH196446:SHQ196446 SRD196446:SRM196446 TAZ196446:TBI196446 TKV196446:TLE196446 TUR196446:TVA196446 UEN196446:UEW196446 UOJ196446:UOS196446 UYF196446:UYO196446 VIB196446:VIK196446 VRX196446:VSG196446 WBT196446:WCC196446 WLP196446:WLY196446 WVL196446:WVU196446 J261982:S261982 IZ261982:JI261982 SV261982:TE261982 ACR261982:ADA261982 AMN261982:AMW261982 AWJ261982:AWS261982 BGF261982:BGO261982 BQB261982:BQK261982 BZX261982:CAG261982 CJT261982:CKC261982 CTP261982:CTY261982 DDL261982:DDU261982 DNH261982:DNQ261982 DXD261982:DXM261982 EGZ261982:EHI261982 EQV261982:ERE261982 FAR261982:FBA261982 FKN261982:FKW261982 FUJ261982:FUS261982 GEF261982:GEO261982 GOB261982:GOK261982 GXX261982:GYG261982 HHT261982:HIC261982 HRP261982:HRY261982 IBL261982:IBU261982 ILH261982:ILQ261982 IVD261982:IVM261982 JEZ261982:JFI261982 JOV261982:JPE261982 JYR261982:JZA261982 KIN261982:KIW261982 KSJ261982:KSS261982 LCF261982:LCO261982 LMB261982:LMK261982 LVX261982:LWG261982 MFT261982:MGC261982 MPP261982:MPY261982 MZL261982:MZU261982 NJH261982:NJQ261982 NTD261982:NTM261982 OCZ261982:ODI261982 OMV261982:ONE261982 OWR261982:OXA261982 PGN261982:PGW261982 PQJ261982:PQS261982 QAF261982:QAO261982 QKB261982:QKK261982 QTX261982:QUG261982 RDT261982:REC261982 RNP261982:RNY261982 RXL261982:RXU261982 SHH261982:SHQ261982 SRD261982:SRM261982 TAZ261982:TBI261982 TKV261982:TLE261982 TUR261982:TVA261982 UEN261982:UEW261982 UOJ261982:UOS261982 UYF261982:UYO261982 VIB261982:VIK261982 VRX261982:VSG261982 WBT261982:WCC261982 WLP261982:WLY261982 WVL261982:WVU261982 J327518:S327518 IZ327518:JI327518 SV327518:TE327518 ACR327518:ADA327518 AMN327518:AMW327518 AWJ327518:AWS327518 BGF327518:BGO327518 BQB327518:BQK327518 BZX327518:CAG327518 CJT327518:CKC327518 CTP327518:CTY327518 DDL327518:DDU327518 DNH327518:DNQ327518 DXD327518:DXM327518 EGZ327518:EHI327518 EQV327518:ERE327518 FAR327518:FBA327518 FKN327518:FKW327518 FUJ327518:FUS327518 GEF327518:GEO327518 GOB327518:GOK327518 GXX327518:GYG327518 HHT327518:HIC327518 HRP327518:HRY327518 IBL327518:IBU327518 ILH327518:ILQ327518 IVD327518:IVM327518 JEZ327518:JFI327518 JOV327518:JPE327518 JYR327518:JZA327518 KIN327518:KIW327518 KSJ327518:KSS327518 LCF327518:LCO327518 LMB327518:LMK327518 LVX327518:LWG327518 MFT327518:MGC327518 MPP327518:MPY327518 MZL327518:MZU327518 NJH327518:NJQ327518 NTD327518:NTM327518 OCZ327518:ODI327518 OMV327518:ONE327518 OWR327518:OXA327518 PGN327518:PGW327518 PQJ327518:PQS327518 QAF327518:QAO327518 QKB327518:QKK327518 QTX327518:QUG327518 RDT327518:REC327518 RNP327518:RNY327518 RXL327518:RXU327518 SHH327518:SHQ327518 SRD327518:SRM327518 TAZ327518:TBI327518 TKV327518:TLE327518 TUR327518:TVA327518 UEN327518:UEW327518 UOJ327518:UOS327518 UYF327518:UYO327518 VIB327518:VIK327518 VRX327518:VSG327518 WBT327518:WCC327518 WLP327518:WLY327518 WVL327518:WVU327518 J393054:S393054 IZ393054:JI393054 SV393054:TE393054 ACR393054:ADA393054 AMN393054:AMW393054 AWJ393054:AWS393054 BGF393054:BGO393054 BQB393054:BQK393054 BZX393054:CAG393054 CJT393054:CKC393054 CTP393054:CTY393054 DDL393054:DDU393054 DNH393054:DNQ393054 DXD393054:DXM393054 EGZ393054:EHI393054 EQV393054:ERE393054 FAR393054:FBA393054 FKN393054:FKW393054 FUJ393054:FUS393054 GEF393054:GEO393054 GOB393054:GOK393054 GXX393054:GYG393054 HHT393054:HIC393054 HRP393054:HRY393054 IBL393054:IBU393054 ILH393054:ILQ393054 IVD393054:IVM393054 JEZ393054:JFI393054 JOV393054:JPE393054 JYR393054:JZA393054 KIN393054:KIW393054 KSJ393054:KSS393054 LCF393054:LCO393054 LMB393054:LMK393054 LVX393054:LWG393054 MFT393054:MGC393054 MPP393054:MPY393054 MZL393054:MZU393054 NJH393054:NJQ393054 NTD393054:NTM393054 OCZ393054:ODI393054 OMV393054:ONE393054 OWR393054:OXA393054 PGN393054:PGW393054 PQJ393054:PQS393054 QAF393054:QAO393054 QKB393054:QKK393054 QTX393054:QUG393054 RDT393054:REC393054 RNP393054:RNY393054 RXL393054:RXU393054 SHH393054:SHQ393054 SRD393054:SRM393054 TAZ393054:TBI393054 TKV393054:TLE393054 TUR393054:TVA393054 UEN393054:UEW393054 UOJ393054:UOS393054 UYF393054:UYO393054 VIB393054:VIK393054 VRX393054:VSG393054 WBT393054:WCC393054 WLP393054:WLY393054 WVL393054:WVU393054 J458590:S458590 IZ458590:JI458590 SV458590:TE458590 ACR458590:ADA458590 AMN458590:AMW458590 AWJ458590:AWS458590 BGF458590:BGO458590 BQB458590:BQK458590 BZX458590:CAG458590 CJT458590:CKC458590 CTP458590:CTY458590 DDL458590:DDU458590 DNH458590:DNQ458590 DXD458590:DXM458590 EGZ458590:EHI458590 EQV458590:ERE458590 FAR458590:FBA458590 FKN458590:FKW458590 FUJ458590:FUS458590 GEF458590:GEO458590 GOB458590:GOK458590 GXX458590:GYG458590 HHT458590:HIC458590 HRP458590:HRY458590 IBL458590:IBU458590 ILH458590:ILQ458590 IVD458590:IVM458590 JEZ458590:JFI458590 JOV458590:JPE458590 JYR458590:JZA458590 KIN458590:KIW458590 KSJ458590:KSS458590 LCF458590:LCO458590 LMB458590:LMK458590 LVX458590:LWG458590 MFT458590:MGC458590 MPP458590:MPY458590 MZL458590:MZU458590 NJH458590:NJQ458590 NTD458590:NTM458590 OCZ458590:ODI458590 OMV458590:ONE458590 OWR458590:OXA458590 PGN458590:PGW458590 PQJ458590:PQS458590 QAF458590:QAO458590 QKB458590:QKK458590 QTX458590:QUG458590 RDT458590:REC458590 RNP458590:RNY458590 RXL458590:RXU458590 SHH458590:SHQ458590 SRD458590:SRM458590 TAZ458590:TBI458590 TKV458590:TLE458590 TUR458590:TVA458590 UEN458590:UEW458590 UOJ458590:UOS458590 UYF458590:UYO458590 VIB458590:VIK458590 VRX458590:VSG458590 WBT458590:WCC458590 WLP458590:WLY458590 WVL458590:WVU458590 J524126:S524126 IZ524126:JI524126 SV524126:TE524126 ACR524126:ADA524126 AMN524126:AMW524126 AWJ524126:AWS524126 BGF524126:BGO524126 BQB524126:BQK524126 BZX524126:CAG524126 CJT524126:CKC524126 CTP524126:CTY524126 DDL524126:DDU524126 DNH524126:DNQ524126 DXD524126:DXM524126 EGZ524126:EHI524126 EQV524126:ERE524126 FAR524126:FBA524126 FKN524126:FKW524126 FUJ524126:FUS524126 GEF524126:GEO524126 GOB524126:GOK524126 GXX524126:GYG524126 HHT524126:HIC524126 HRP524126:HRY524126 IBL524126:IBU524126 ILH524126:ILQ524126 IVD524126:IVM524126 JEZ524126:JFI524126 JOV524126:JPE524126 JYR524126:JZA524126 KIN524126:KIW524126 KSJ524126:KSS524126 LCF524126:LCO524126 LMB524126:LMK524126 LVX524126:LWG524126 MFT524126:MGC524126 MPP524126:MPY524126 MZL524126:MZU524126 NJH524126:NJQ524126 NTD524126:NTM524126 OCZ524126:ODI524126 OMV524126:ONE524126 OWR524126:OXA524126 PGN524126:PGW524126 PQJ524126:PQS524126 QAF524126:QAO524126 QKB524126:QKK524126 QTX524126:QUG524126 RDT524126:REC524126 RNP524126:RNY524126 RXL524126:RXU524126 SHH524126:SHQ524126 SRD524126:SRM524126 TAZ524126:TBI524126 TKV524126:TLE524126 TUR524126:TVA524126 UEN524126:UEW524126 UOJ524126:UOS524126 UYF524126:UYO524126 VIB524126:VIK524126 VRX524126:VSG524126 WBT524126:WCC524126 WLP524126:WLY524126 WVL524126:WVU524126 J589662:S589662 IZ589662:JI589662 SV589662:TE589662 ACR589662:ADA589662 AMN589662:AMW589662 AWJ589662:AWS589662 BGF589662:BGO589662 BQB589662:BQK589662 BZX589662:CAG589662 CJT589662:CKC589662 CTP589662:CTY589662 DDL589662:DDU589662 DNH589662:DNQ589662 DXD589662:DXM589662 EGZ589662:EHI589662 EQV589662:ERE589662 FAR589662:FBA589662 FKN589662:FKW589662 FUJ589662:FUS589662 GEF589662:GEO589662 GOB589662:GOK589662 GXX589662:GYG589662 HHT589662:HIC589662 HRP589662:HRY589662 IBL589662:IBU589662 ILH589662:ILQ589662 IVD589662:IVM589662 JEZ589662:JFI589662 JOV589662:JPE589662 JYR589662:JZA589662 KIN589662:KIW589662 KSJ589662:KSS589662 LCF589662:LCO589662 LMB589662:LMK589662 LVX589662:LWG589662 MFT589662:MGC589662 MPP589662:MPY589662 MZL589662:MZU589662 NJH589662:NJQ589662 NTD589662:NTM589662 OCZ589662:ODI589662 OMV589662:ONE589662 OWR589662:OXA589662 PGN589662:PGW589662 PQJ589662:PQS589662 QAF589662:QAO589662 QKB589662:QKK589662 QTX589662:QUG589662 RDT589662:REC589662 RNP589662:RNY589662 RXL589662:RXU589662 SHH589662:SHQ589662 SRD589662:SRM589662 TAZ589662:TBI589662 TKV589662:TLE589662 TUR589662:TVA589662 UEN589662:UEW589662 UOJ589662:UOS589662 UYF589662:UYO589662 VIB589662:VIK589662 VRX589662:VSG589662 WBT589662:WCC589662 WLP589662:WLY589662 WVL589662:WVU589662 J655198:S655198 IZ655198:JI655198 SV655198:TE655198 ACR655198:ADA655198 AMN655198:AMW655198 AWJ655198:AWS655198 BGF655198:BGO655198 BQB655198:BQK655198 BZX655198:CAG655198 CJT655198:CKC655198 CTP655198:CTY655198 DDL655198:DDU655198 DNH655198:DNQ655198 DXD655198:DXM655198 EGZ655198:EHI655198 EQV655198:ERE655198 FAR655198:FBA655198 FKN655198:FKW655198 FUJ655198:FUS655198 GEF655198:GEO655198 GOB655198:GOK655198 GXX655198:GYG655198 HHT655198:HIC655198 HRP655198:HRY655198 IBL655198:IBU655198 ILH655198:ILQ655198 IVD655198:IVM655198 JEZ655198:JFI655198 JOV655198:JPE655198 JYR655198:JZA655198 KIN655198:KIW655198 KSJ655198:KSS655198 LCF655198:LCO655198 LMB655198:LMK655198 LVX655198:LWG655198 MFT655198:MGC655198 MPP655198:MPY655198 MZL655198:MZU655198 NJH655198:NJQ655198 NTD655198:NTM655198 OCZ655198:ODI655198 OMV655198:ONE655198 OWR655198:OXA655198 PGN655198:PGW655198 PQJ655198:PQS655198 QAF655198:QAO655198 QKB655198:QKK655198 QTX655198:QUG655198 RDT655198:REC655198 RNP655198:RNY655198 RXL655198:RXU655198 SHH655198:SHQ655198 SRD655198:SRM655198 TAZ655198:TBI655198 TKV655198:TLE655198 TUR655198:TVA655198 UEN655198:UEW655198 UOJ655198:UOS655198 UYF655198:UYO655198 VIB655198:VIK655198 VRX655198:VSG655198 WBT655198:WCC655198 WLP655198:WLY655198 WVL655198:WVU655198 J720734:S720734 IZ720734:JI720734 SV720734:TE720734 ACR720734:ADA720734 AMN720734:AMW720734 AWJ720734:AWS720734 BGF720734:BGO720734 BQB720734:BQK720734 BZX720734:CAG720734 CJT720734:CKC720734 CTP720734:CTY720734 DDL720734:DDU720734 DNH720734:DNQ720734 DXD720734:DXM720734 EGZ720734:EHI720734 EQV720734:ERE720734 FAR720734:FBA720734 FKN720734:FKW720734 FUJ720734:FUS720734 GEF720734:GEO720734 GOB720734:GOK720734 GXX720734:GYG720734 HHT720734:HIC720734 HRP720734:HRY720734 IBL720734:IBU720734 ILH720734:ILQ720734 IVD720734:IVM720734 JEZ720734:JFI720734 JOV720734:JPE720734 JYR720734:JZA720734 KIN720734:KIW720734 KSJ720734:KSS720734 LCF720734:LCO720734 LMB720734:LMK720734 LVX720734:LWG720734 MFT720734:MGC720734 MPP720734:MPY720734 MZL720734:MZU720734 NJH720734:NJQ720734 NTD720734:NTM720734 OCZ720734:ODI720734 OMV720734:ONE720734 OWR720734:OXA720734 PGN720734:PGW720734 PQJ720734:PQS720734 QAF720734:QAO720734 QKB720734:QKK720734 QTX720734:QUG720734 RDT720734:REC720734 RNP720734:RNY720734 RXL720734:RXU720734 SHH720734:SHQ720734 SRD720734:SRM720734 TAZ720734:TBI720734 TKV720734:TLE720734 TUR720734:TVA720734 UEN720734:UEW720734 UOJ720734:UOS720734 UYF720734:UYO720734 VIB720734:VIK720734 VRX720734:VSG720734 WBT720734:WCC720734 WLP720734:WLY720734 WVL720734:WVU720734 J786270:S786270 IZ786270:JI786270 SV786270:TE786270 ACR786270:ADA786270 AMN786270:AMW786270 AWJ786270:AWS786270 BGF786270:BGO786270 BQB786270:BQK786270 BZX786270:CAG786270 CJT786270:CKC786270 CTP786270:CTY786270 DDL786270:DDU786270 DNH786270:DNQ786270 DXD786270:DXM786270 EGZ786270:EHI786270 EQV786270:ERE786270 FAR786270:FBA786270 FKN786270:FKW786270 FUJ786270:FUS786270 GEF786270:GEO786270 GOB786270:GOK786270 GXX786270:GYG786270 HHT786270:HIC786270 HRP786270:HRY786270 IBL786270:IBU786270 ILH786270:ILQ786270 IVD786270:IVM786270 JEZ786270:JFI786270 JOV786270:JPE786270 JYR786270:JZA786270 KIN786270:KIW786270 KSJ786270:KSS786270 LCF786270:LCO786270 LMB786270:LMK786270 LVX786270:LWG786270 MFT786270:MGC786270 MPP786270:MPY786270 MZL786270:MZU786270 NJH786270:NJQ786270 NTD786270:NTM786270 OCZ786270:ODI786270 OMV786270:ONE786270 OWR786270:OXA786270 PGN786270:PGW786270 PQJ786270:PQS786270 QAF786270:QAO786270 QKB786270:QKK786270 QTX786270:QUG786270 RDT786270:REC786270 RNP786270:RNY786270 RXL786270:RXU786270 SHH786270:SHQ786270 SRD786270:SRM786270 TAZ786270:TBI786270 TKV786270:TLE786270 TUR786270:TVA786270 UEN786270:UEW786270 UOJ786270:UOS786270 UYF786270:UYO786270 VIB786270:VIK786270 VRX786270:VSG786270 WBT786270:WCC786270 WLP786270:WLY786270 WVL786270:WVU786270 J851806:S851806 IZ851806:JI851806 SV851806:TE851806 ACR851806:ADA851806 AMN851806:AMW851806 AWJ851806:AWS851806 BGF851806:BGO851806 BQB851806:BQK851806 BZX851806:CAG851806 CJT851806:CKC851806 CTP851806:CTY851806 DDL851806:DDU851806 DNH851806:DNQ851806 DXD851806:DXM851806 EGZ851806:EHI851806 EQV851806:ERE851806 FAR851806:FBA851806 FKN851806:FKW851806 FUJ851806:FUS851806 GEF851806:GEO851806 GOB851806:GOK851806 GXX851806:GYG851806 HHT851806:HIC851806 HRP851806:HRY851806 IBL851806:IBU851806 ILH851806:ILQ851806 IVD851806:IVM851806 JEZ851806:JFI851806 JOV851806:JPE851806 JYR851806:JZA851806 KIN851806:KIW851806 KSJ851806:KSS851806 LCF851806:LCO851806 LMB851806:LMK851806 LVX851806:LWG851806 MFT851806:MGC851806 MPP851806:MPY851806 MZL851806:MZU851806 NJH851806:NJQ851806 NTD851806:NTM851806 OCZ851806:ODI851806 OMV851806:ONE851806 OWR851806:OXA851806 PGN851806:PGW851806 PQJ851806:PQS851806 QAF851806:QAO851806 QKB851806:QKK851806 QTX851806:QUG851806 RDT851806:REC851806 RNP851806:RNY851806 RXL851806:RXU851806 SHH851806:SHQ851806 SRD851806:SRM851806 TAZ851806:TBI851806 TKV851806:TLE851806 TUR851806:TVA851806 UEN851806:UEW851806 UOJ851806:UOS851806 UYF851806:UYO851806 VIB851806:VIK851806 VRX851806:VSG851806 WBT851806:WCC851806 WLP851806:WLY851806 WVL851806:WVU851806 J917342:S917342 IZ917342:JI917342 SV917342:TE917342 ACR917342:ADA917342 AMN917342:AMW917342 AWJ917342:AWS917342 BGF917342:BGO917342 BQB917342:BQK917342 BZX917342:CAG917342 CJT917342:CKC917342 CTP917342:CTY917342 DDL917342:DDU917342 DNH917342:DNQ917342 DXD917342:DXM917342 EGZ917342:EHI917342 EQV917342:ERE917342 FAR917342:FBA917342 FKN917342:FKW917342 FUJ917342:FUS917342 GEF917342:GEO917342 GOB917342:GOK917342 GXX917342:GYG917342 HHT917342:HIC917342 HRP917342:HRY917342 IBL917342:IBU917342 ILH917342:ILQ917342 IVD917342:IVM917342 JEZ917342:JFI917342 JOV917342:JPE917342 JYR917342:JZA917342 KIN917342:KIW917342 KSJ917342:KSS917342 LCF917342:LCO917342 LMB917342:LMK917342 LVX917342:LWG917342 MFT917342:MGC917342 MPP917342:MPY917342 MZL917342:MZU917342 NJH917342:NJQ917342 NTD917342:NTM917342 OCZ917342:ODI917342 OMV917342:ONE917342 OWR917342:OXA917342 PGN917342:PGW917342 PQJ917342:PQS917342 QAF917342:QAO917342 QKB917342:QKK917342 QTX917342:QUG917342 RDT917342:REC917342 RNP917342:RNY917342 RXL917342:RXU917342 SHH917342:SHQ917342 SRD917342:SRM917342 TAZ917342:TBI917342 TKV917342:TLE917342 TUR917342:TVA917342 UEN917342:UEW917342 UOJ917342:UOS917342 UYF917342:UYO917342 VIB917342:VIK917342 VRX917342:VSG917342 WBT917342:WCC917342 WLP917342:WLY917342 WVL917342:WVU917342 J982878:S982878 IZ982878:JI982878 SV982878:TE982878 ACR982878:ADA982878 AMN982878:AMW982878 AWJ982878:AWS982878 BGF982878:BGO982878 BQB982878:BQK982878 BZX982878:CAG982878 CJT982878:CKC982878 CTP982878:CTY982878 DDL982878:DDU982878 DNH982878:DNQ982878 DXD982878:DXM982878 EGZ982878:EHI982878 EQV982878:ERE982878 FAR982878:FBA982878 FKN982878:FKW982878 FUJ982878:FUS982878 GEF982878:GEO982878 GOB982878:GOK982878 GXX982878:GYG982878 HHT982878:HIC982878 HRP982878:HRY982878 IBL982878:IBU982878 ILH982878:ILQ982878 IVD982878:IVM982878 JEZ982878:JFI982878 JOV982878:JPE982878 JYR982878:JZA982878 KIN982878:KIW982878 KSJ982878:KSS982878 LCF982878:LCO982878 LMB982878:LMK982878 LVX982878:LWG982878 MFT982878:MGC982878 MPP982878:MPY982878 MZL982878:MZU982878 NJH982878:NJQ982878 NTD982878:NTM982878 OCZ982878:ODI982878 OMV982878:ONE982878 OWR982878:OXA982878 PGN982878:PGW982878 PQJ982878:PQS982878 QAF982878:QAO982878 QKB982878:QKK982878 QTX982878:QUG982878 RDT982878:REC982878 RNP982878:RNY982878 RXL982878:RXU982878 SHH982878:SHQ982878 SRD982878:SRM982878 TAZ982878:TBI982878 TKV982878:TLE982878 TUR982878:TVA982878 UEN982878:UEW982878 UOJ982878:UOS982878 UYF982878:UYO982878 VIB982878:VIK982878 VRX982878:VSG982878 WBT982878:WCC982878 WLP982878:WLY982878 WVL982878:WVU982878 J65414:S65414 IZ65414:JI65414 SV65414:TE65414 ACR65414:ADA65414 AMN65414:AMW65414 AWJ65414:AWS65414 BGF65414:BGO65414 BQB65414:BQK65414 BZX65414:CAG65414 CJT65414:CKC65414 CTP65414:CTY65414 DDL65414:DDU65414 DNH65414:DNQ65414 DXD65414:DXM65414 EGZ65414:EHI65414 EQV65414:ERE65414 FAR65414:FBA65414 FKN65414:FKW65414 FUJ65414:FUS65414 GEF65414:GEO65414 GOB65414:GOK65414 GXX65414:GYG65414 HHT65414:HIC65414 HRP65414:HRY65414 IBL65414:IBU65414 ILH65414:ILQ65414 IVD65414:IVM65414 JEZ65414:JFI65414 JOV65414:JPE65414 JYR65414:JZA65414 KIN65414:KIW65414 KSJ65414:KSS65414 LCF65414:LCO65414 LMB65414:LMK65414 LVX65414:LWG65414 MFT65414:MGC65414 MPP65414:MPY65414 MZL65414:MZU65414 NJH65414:NJQ65414 NTD65414:NTM65414 OCZ65414:ODI65414 OMV65414:ONE65414 OWR65414:OXA65414 PGN65414:PGW65414 PQJ65414:PQS65414 QAF65414:QAO65414 QKB65414:QKK65414 QTX65414:QUG65414 RDT65414:REC65414 RNP65414:RNY65414 RXL65414:RXU65414 SHH65414:SHQ65414 SRD65414:SRM65414 TAZ65414:TBI65414 TKV65414:TLE65414 TUR65414:TVA65414 UEN65414:UEW65414 UOJ65414:UOS65414 UYF65414:UYO65414 VIB65414:VIK65414 VRX65414:VSG65414 WBT65414:WCC65414 WLP65414:WLY65414 WVL65414:WVU65414 J130950:S130950 IZ130950:JI130950 SV130950:TE130950 ACR130950:ADA130950 AMN130950:AMW130950 AWJ130950:AWS130950 BGF130950:BGO130950 BQB130950:BQK130950 BZX130950:CAG130950 CJT130950:CKC130950 CTP130950:CTY130950 DDL130950:DDU130950 DNH130950:DNQ130950 DXD130950:DXM130950 EGZ130950:EHI130950 EQV130950:ERE130950 FAR130950:FBA130950 FKN130950:FKW130950 FUJ130950:FUS130950 GEF130950:GEO130950 GOB130950:GOK130950 GXX130950:GYG130950 HHT130950:HIC130950 HRP130950:HRY130950 IBL130950:IBU130950 ILH130950:ILQ130950 IVD130950:IVM130950 JEZ130950:JFI130950 JOV130950:JPE130950 JYR130950:JZA130950 KIN130950:KIW130950 KSJ130950:KSS130950 LCF130950:LCO130950 LMB130950:LMK130950 LVX130950:LWG130950 MFT130950:MGC130950 MPP130950:MPY130950 MZL130950:MZU130950 NJH130950:NJQ130950 NTD130950:NTM130950 OCZ130950:ODI130950 OMV130950:ONE130950 OWR130950:OXA130950 PGN130950:PGW130950 PQJ130950:PQS130950 QAF130950:QAO130950 QKB130950:QKK130950 QTX130950:QUG130950 RDT130950:REC130950 RNP130950:RNY130950 RXL130950:RXU130950 SHH130950:SHQ130950 SRD130950:SRM130950 TAZ130950:TBI130950 TKV130950:TLE130950 TUR130950:TVA130950 UEN130950:UEW130950 UOJ130950:UOS130950 UYF130950:UYO130950 VIB130950:VIK130950 VRX130950:VSG130950 WBT130950:WCC130950 WLP130950:WLY130950 WVL130950:WVU130950 J196486:S196486 IZ196486:JI196486 SV196486:TE196486 ACR196486:ADA196486 AMN196486:AMW196486 AWJ196486:AWS196486 BGF196486:BGO196486 BQB196486:BQK196486 BZX196486:CAG196486 CJT196486:CKC196486 CTP196486:CTY196486 DDL196486:DDU196486 DNH196486:DNQ196486 DXD196486:DXM196486 EGZ196486:EHI196486 EQV196486:ERE196486 FAR196486:FBA196486 FKN196486:FKW196486 FUJ196486:FUS196486 GEF196486:GEO196486 GOB196486:GOK196486 GXX196486:GYG196486 HHT196486:HIC196486 HRP196486:HRY196486 IBL196486:IBU196486 ILH196486:ILQ196486 IVD196486:IVM196486 JEZ196486:JFI196486 JOV196486:JPE196486 JYR196486:JZA196486 KIN196486:KIW196486 KSJ196486:KSS196486 LCF196486:LCO196486 LMB196486:LMK196486 LVX196486:LWG196486 MFT196486:MGC196486 MPP196486:MPY196486 MZL196486:MZU196486 NJH196486:NJQ196486 NTD196486:NTM196486 OCZ196486:ODI196486 OMV196486:ONE196486 OWR196486:OXA196486 PGN196486:PGW196486 PQJ196486:PQS196486 QAF196486:QAO196486 QKB196486:QKK196486 QTX196486:QUG196486 RDT196486:REC196486 RNP196486:RNY196486 RXL196486:RXU196486 SHH196486:SHQ196486 SRD196486:SRM196486 TAZ196486:TBI196486 TKV196486:TLE196486 TUR196486:TVA196486 UEN196486:UEW196486 UOJ196486:UOS196486 UYF196486:UYO196486 VIB196486:VIK196486 VRX196486:VSG196486 WBT196486:WCC196486 WLP196486:WLY196486 WVL196486:WVU196486 J262022:S262022 IZ262022:JI262022 SV262022:TE262022 ACR262022:ADA262022 AMN262022:AMW262022 AWJ262022:AWS262022 BGF262022:BGO262022 BQB262022:BQK262022 BZX262022:CAG262022 CJT262022:CKC262022 CTP262022:CTY262022 DDL262022:DDU262022 DNH262022:DNQ262022 DXD262022:DXM262022 EGZ262022:EHI262022 EQV262022:ERE262022 FAR262022:FBA262022 FKN262022:FKW262022 FUJ262022:FUS262022 GEF262022:GEO262022 GOB262022:GOK262022 GXX262022:GYG262022 HHT262022:HIC262022 HRP262022:HRY262022 IBL262022:IBU262022 ILH262022:ILQ262022 IVD262022:IVM262022 JEZ262022:JFI262022 JOV262022:JPE262022 JYR262022:JZA262022 KIN262022:KIW262022 KSJ262022:KSS262022 LCF262022:LCO262022 LMB262022:LMK262022 LVX262022:LWG262022 MFT262022:MGC262022 MPP262022:MPY262022 MZL262022:MZU262022 NJH262022:NJQ262022 NTD262022:NTM262022 OCZ262022:ODI262022 OMV262022:ONE262022 OWR262022:OXA262022 PGN262022:PGW262022 PQJ262022:PQS262022 QAF262022:QAO262022 QKB262022:QKK262022 QTX262022:QUG262022 RDT262022:REC262022 RNP262022:RNY262022 RXL262022:RXU262022 SHH262022:SHQ262022 SRD262022:SRM262022 TAZ262022:TBI262022 TKV262022:TLE262022 TUR262022:TVA262022 UEN262022:UEW262022 UOJ262022:UOS262022 UYF262022:UYO262022 VIB262022:VIK262022 VRX262022:VSG262022 WBT262022:WCC262022 WLP262022:WLY262022 WVL262022:WVU262022 J327558:S327558 IZ327558:JI327558 SV327558:TE327558 ACR327558:ADA327558 AMN327558:AMW327558 AWJ327558:AWS327558 BGF327558:BGO327558 BQB327558:BQK327558 BZX327558:CAG327558 CJT327558:CKC327558 CTP327558:CTY327558 DDL327558:DDU327558 DNH327558:DNQ327558 DXD327558:DXM327558 EGZ327558:EHI327558 EQV327558:ERE327558 FAR327558:FBA327558 FKN327558:FKW327558 FUJ327558:FUS327558 GEF327558:GEO327558 GOB327558:GOK327558 GXX327558:GYG327558 HHT327558:HIC327558 HRP327558:HRY327558 IBL327558:IBU327558 ILH327558:ILQ327558 IVD327558:IVM327558 JEZ327558:JFI327558 JOV327558:JPE327558 JYR327558:JZA327558 KIN327558:KIW327558 KSJ327558:KSS327558 LCF327558:LCO327558 LMB327558:LMK327558 LVX327558:LWG327558 MFT327558:MGC327558 MPP327558:MPY327558 MZL327558:MZU327558 NJH327558:NJQ327558 NTD327558:NTM327558 OCZ327558:ODI327558 OMV327558:ONE327558 OWR327558:OXA327558 PGN327558:PGW327558 PQJ327558:PQS327558 QAF327558:QAO327558 QKB327558:QKK327558 QTX327558:QUG327558 RDT327558:REC327558 RNP327558:RNY327558 RXL327558:RXU327558 SHH327558:SHQ327558 SRD327558:SRM327558 TAZ327558:TBI327558 TKV327558:TLE327558 TUR327558:TVA327558 UEN327558:UEW327558 UOJ327558:UOS327558 UYF327558:UYO327558 VIB327558:VIK327558 VRX327558:VSG327558 WBT327558:WCC327558 WLP327558:WLY327558 WVL327558:WVU327558 J393094:S393094 IZ393094:JI393094 SV393094:TE393094 ACR393094:ADA393094 AMN393094:AMW393094 AWJ393094:AWS393094 BGF393094:BGO393094 BQB393094:BQK393094 BZX393094:CAG393094 CJT393094:CKC393094 CTP393094:CTY393094 DDL393094:DDU393094 DNH393094:DNQ393094 DXD393094:DXM393094 EGZ393094:EHI393094 EQV393094:ERE393094 FAR393094:FBA393094 FKN393094:FKW393094 FUJ393094:FUS393094 GEF393094:GEO393094 GOB393094:GOK393094 GXX393094:GYG393094 HHT393094:HIC393094 HRP393094:HRY393094 IBL393094:IBU393094 ILH393094:ILQ393094 IVD393094:IVM393094 JEZ393094:JFI393094 JOV393094:JPE393094 JYR393094:JZA393094 KIN393094:KIW393094 KSJ393094:KSS393094 LCF393094:LCO393094 LMB393094:LMK393094 LVX393094:LWG393094 MFT393094:MGC393094 MPP393094:MPY393094 MZL393094:MZU393094 NJH393094:NJQ393094 NTD393094:NTM393094 OCZ393094:ODI393094 OMV393094:ONE393094 OWR393094:OXA393094 PGN393094:PGW393094 PQJ393094:PQS393094 QAF393094:QAO393094 QKB393094:QKK393094 QTX393094:QUG393094 RDT393094:REC393094 RNP393094:RNY393094 RXL393094:RXU393094 SHH393094:SHQ393094 SRD393094:SRM393094 TAZ393094:TBI393094 TKV393094:TLE393094 TUR393094:TVA393094 UEN393094:UEW393094 UOJ393094:UOS393094 UYF393094:UYO393094 VIB393094:VIK393094 VRX393094:VSG393094 WBT393094:WCC393094 WLP393094:WLY393094 WVL393094:WVU393094 J458630:S458630 IZ458630:JI458630 SV458630:TE458630 ACR458630:ADA458630 AMN458630:AMW458630 AWJ458630:AWS458630 BGF458630:BGO458630 BQB458630:BQK458630 BZX458630:CAG458630 CJT458630:CKC458630 CTP458630:CTY458630 DDL458630:DDU458630 DNH458630:DNQ458630 DXD458630:DXM458630 EGZ458630:EHI458630 EQV458630:ERE458630 FAR458630:FBA458630 FKN458630:FKW458630 FUJ458630:FUS458630 GEF458630:GEO458630 GOB458630:GOK458630 GXX458630:GYG458630 HHT458630:HIC458630 HRP458630:HRY458630 IBL458630:IBU458630 ILH458630:ILQ458630 IVD458630:IVM458630 JEZ458630:JFI458630 JOV458630:JPE458630 JYR458630:JZA458630 KIN458630:KIW458630 KSJ458630:KSS458630 LCF458630:LCO458630 LMB458630:LMK458630 LVX458630:LWG458630 MFT458630:MGC458630 MPP458630:MPY458630 MZL458630:MZU458630 NJH458630:NJQ458630 NTD458630:NTM458630 OCZ458630:ODI458630 OMV458630:ONE458630 OWR458630:OXA458630 PGN458630:PGW458630 PQJ458630:PQS458630 QAF458630:QAO458630 QKB458630:QKK458630 QTX458630:QUG458630 RDT458630:REC458630 RNP458630:RNY458630 RXL458630:RXU458630 SHH458630:SHQ458630 SRD458630:SRM458630 TAZ458630:TBI458630 TKV458630:TLE458630 TUR458630:TVA458630 UEN458630:UEW458630 UOJ458630:UOS458630 UYF458630:UYO458630 VIB458630:VIK458630 VRX458630:VSG458630 WBT458630:WCC458630 WLP458630:WLY458630 WVL458630:WVU458630 J524166:S524166 IZ524166:JI524166 SV524166:TE524166 ACR524166:ADA524166 AMN524166:AMW524166 AWJ524166:AWS524166 BGF524166:BGO524166 BQB524166:BQK524166 BZX524166:CAG524166 CJT524166:CKC524166 CTP524166:CTY524166 DDL524166:DDU524166 DNH524166:DNQ524166 DXD524166:DXM524166 EGZ524166:EHI524166 EQV524166:ERE524166 FAR524166:FBA524166 FKN524166:FKW524166 FUJ524166:FUS524166 GEF524166:GEO524166 GOB524166:GOK524166 GXX524166:GYG524166 HHT524166:HIC524166 HRP524166:HRY524166 IBL524166:IBU524166 ILH524166:ILQ524166 IVD524166:IVM524166 JEZ524166:JFI524166 JOV524166:JPE524166 JYR524166:JZA524166 KIN524166:KIW524166 KSJ524166:KSS524166 LCF524166:LCO524166 LMB524166:LMK524166 LVX524166:LWG524166 MFT524166:MGC524166 MPP524166:MPY524166 MZL524166:MZU524166 NJH524166:NJQ524166 NTD524166:NTM524166 OCZ524166:ODI524166 OMV524166:ONE524166 OWR524166:OXA524166 PGN524166:PGW524166 PQJ524166:PQS524166 QAF524166:QAO524166 QKB524166:QKK524166 QTX524166:QUG524166 RDT524166:REC524166 RNP524166:RNY524166 RXL524166:RXU524166 SHH524166:SHQ524166 SRD524166:SRM524166 TAZ524166:TBI524166 TKV524166:TLE524166 TUR524166:TVA524166 UEN524166:UEW524166 UOJ524166:UOS524166 UYF524166:UYO524166 VIB524166:VIK524166 VRX524166:VSG524166 WBT524166:WCC524166 WLP524166:WLY524166 WVL524166:WVU524166 J589702:S589702 IZ589702:JI589702 SV589702:TE589702 ACR589702:ADA589702 AMN589702:AMW589702 AWJ589702:AWS589702 BGF589702:BGO589702 BQB589702:BQK589702 BZX589702:CAG589702 CJT589702:CKC589702 CTP589702:CTY589702 DDL589702:DDU589702 DNH589702:DNQ589702 DXD589702:DXM589702 EGZ589702:EHI589702 EQV589702:ERE589702 FAR589702:FBA589702 FKN589702:FKW589702 FUJ589702:FUS589702 GEF589702:GEO589702 GOB589702:GOK589702 GXX589702:GYG589702 HHT589702:HIC589702 HRP589702:HRY589702 IBL589702:IBU589702 ILH589702:ILQ589702 IVD589702:IVM589702 JEZ589702:JFI589702 JOV589702:JPE589702 JYR589702:JZA589702 KIN589702:KIW589702 KSJ589702:KSS589702 LCF589702:LCO589702 LMB589702:LMK589702 LVX589702:LWG589702 MFT589702:MGC589702 MPP589702:MPY589702 MZL589702:MZU589702 NJH589702:NJQ589702 NTD589702:NTM589702 OCZ589702:ODI589702 OMV589702:ONE589702 OWR589702:OXA589702 PGN589702:PGW589702 PQJ589702:PQS589702 QAF589702:QAO589702 QKB589702:QKK589702 QTX589702:QUG589702 RDT589702:REC589702 RNP589702:RNY589702 RXL589702:RXU589702 SHH589702:SHQ589702 SRD589702:SRM589702 TAZ589702:TBI589702 TKV589702:TLE589702 TUR589702:TVA589702 UEN589702:UEW589702 UOJ589702:UOS589702 UYF589702:UYO589702 VIB589702:VIK589702 VRX589702:VSG589702 WBT589702:WCC589702 WLP589702:WLY589702 WVL589702:WVU589702 J655238:S655238 IZ655238:JI655238 SV655238:TE655238 ACR655238:ADA655238 AMN655238:AMW655238 AWJ655238:AWS655238 BGF655238:BGO655238 BQB655238:BQK655238 BZX655238:CAG655238 CJT655238:CKC655238 CTP655238:CTY655238 DDL655238:DDU655238 DNH655238:DNQ655238 DXD655238:DXM655238 EGZ655238:EHI655238 EQV655238:ERE655238 FAR655238:FBA655238 FKN655238:FKW655238 FUJ655238:FUS655238 GEF655238:GEO655238 GOB655238:GOK655238 GXX655238:GYG655238 HHT655238:HIC655238 HRP655238:HRY655238 IBL655238:IBU655238 ILH655238:ILQ655238 IVD655238:IVM655238 JEZ655238:JFI655238 JOV655238:JPE655238 JYR655238:JZA655238 KIN655238:KIW655238 KSJ655238:KSS655238 LCF655238:LCO655238 LMB655238:LMK655238 LVX655238:LWG655238 MFT655238:MGC655238 MPP655238:MPY655238 MZL655238:MZU655238 NJH655238:NJQ655238 NTD655238:NTM655238 OCZ655238:ODI655238 OMV655238:ONE655238 OWR655238:OXA655238 PGN655238:PGW655238 PQJ655238:PQS655238 QAF655238:QAO655238 QKB655238:QKK655238 QTX655238:QUG655238 RDT655238:REC655238 RNP655238:RNY655238 RXL655238:RXU655238 SHH655238:SHQ655238 SRD655238:SRM655238 TAZ655238:TBI655238 TKV655238:TLE655238 TUR655238:TVA655238 UEN655238:UEW655238 UOJ655238:UOS655238 UYF655238:UYO655238 VIB655238:VIK655238 VRX655238:VSG655238 WBT655238:WCC655238 WLP655238:WLY655238 WVL655238:WVU655238 J720774:S720774 IZ720774:JI720774 SV720774:TE720774 ACR720774:ADA720774 AMN720774:AMW720774 AWJ720774:AWS720774 BGF720774:BGO720774 BQB720774:BQK720774 BZX720774:CAG720774 CJT720774:CKC720774 CTP720774:CTY720774 DDL720774:DDU720774 DNH720774:DNQ720774 DXD720774:DXM720774 EGZ720774:EHI720774 EQV720774:ERE720774 FAR720774:FBA720774 FKN720774:FKW720774 FUJ720774:FUS720774 GEF720774:GEO720774 GOB720774:GOK720774 GXX720774:GYG720774 HHT720774:HIC720774 HRP720774:HRY720774 IBL720774:IBU720774 ILH720774:ILQ720774 IVD720774:IVM720774 JEZ720774:JFI720774 JOV720774:JPE720774 JYR720774:JZA720774 KIN720774:KIW720774 KSJ720774:KSS720774 LCF720774:LCO720774 LMB720774:LMK720774 LVX720774:LWG720774 MFT720774:MGC720774 MPP720774:MPY720774 MZL720774:MZU720774 NJH720774:NJQ720774 NTD720774:NTM720774 OCZ720774:ODI720774 OMV720774:ONE720774 OWR720774:OXA720774 PGN720774:PGW720774 PQJ720774:PQS720774 QAF720774:QAO720774 QKB720774:QKK720774 QTX720774:QUG720774 RDT720774:REC720774 RNP720774:RNY720774 RXL720774:RXU720774 SHH720774:SHQ720774 SRD720774:SRM720774 TAZ720774:TBI720774 TKV720774:TLE720774 TUR720774:TVA720774 UEN720774:UEW720774 UOJ720774:UOS720774 UYF720774:UYO720774 VIB720774:VIK720774 VRX720774:VSG720774 WBT720774:WCC720774 WLP720774:WLY720774 WVL720774:WVU720774 J786310:S786310 IZ786310:JI786310 SV786310:TE786310 ACR786310:ADA786310 AMN786310:AMW786310 AWJ786310:AWS786310 BGF786310:BGO786310 BQB786310:BQK786310 BZX786310:CAG786310 CJT786310:CKC786310 CTP786310:CTY786310 DDL786310:DDU786310 DNH786310:DNQ786310 DXD786310:DXM786310 EGZ786310:EHI786310 EQV786310:ERE786310 FAR786310:FBA786310 FKN786310:FKW786310 FUJ786310:FUS786310 GEF786310:GEO786310 GOB786310:GOK786310 GXX786310:GYG786310 HHT786310:HIC786310 HRP786310:HRY786310 IBL786310:IBU786310 ILH786310:ILQ786310 IVD786310:IVM786310 JEZ786310:JFI786310 JOV786310:JPE786310 JYR786310:JZA786310 KIN786310:KIW786310 KSJ786310:KSS786310 LCF786310:LCO786310 LMB786310:LMK786310 LVX786310:LWG786310 MFT786310:MGC786310 MPP786310:MPY786310 MZL786310:MZU786310 NJH786310:NJQ786310 NTD786310:NTM786310 OCZ786310:ODI786310 OMV786310:ONE786310 OWR786310:OXA786310 PGN786310:PGW786310 PQJ786310:PQS786310 QAF786310:QAO786310 QKB786310:QKK786310 QTX786310:QUG786310 RDT786310:REC786310 RNP786310:RNY786310 RXL786310:RXU786310 SHH786310:SHQ786310 SRD786310:SRM786310 TAZ786310:TBI786310 TKV786310:TLE786310 TUR786310:TVA786310 UEN786310:UEW786310 UOJ786310:UOS786310 UYF786310:UYO786310 VIB786310:VIK786310 VRX786310:VSG786310 WBT786310:WCC786310 WLP786310:WLY786310 WVL786310:WVU786310 J851846:S851846 IZ851846:JI851846 SV851846:TE851846 ACR851846:ADA851846 AMN851846:AMW851846 AWJ851846:AWS851846 BGF851846:BGO851846 BQB851846:BQK851846 BZX851846:CAG851846 CJT851846:CKC851846 CTP851846:CTY851846 DDL851846:DDU851846 DNH851846:DNQ851846 DXD851846:DXM851846 EGZ851846:EHI851846 EQV851846:ERE851846 FAR851846:FBA851846 FKN851846:FKW851846 FUJ851846:FUS851846 GEF851846:GEO851846 GOB851846:GOK851846 GXX851846:GYG851846 HHT851846:HIC851846 HRP851846:HRY851846 IBL851846:IBU851846 ILH851846:ILQ851846 IVD851846:IVM851846 JEZ851846:JFI851846 JOV851846:JPE851846 JYR851846:JZA851846 KIN851846:KIW851846 KSJ851846:KSS851846 LCF851846:LCO851846 LMB851846:LMK851846 LVX851846:LWG851846 MFT851846:MGC851846 MPP851846:MPY851846 MZL851846:MZU851846 NJH851846:NJQ851846 NTD851846:NTM851846 OCZ851846:ODI851846 OMV851846:ONE851846 OWR851846:OXA851846 PGN851846:PGW851846 PQJ851846:PQS851846 QAF851846:QAO851846 QKB851846:QKK851846 QTX851846:QUG851846 RDT851846:REC851846 RNP851846:RNY851846 RXL851846:RXU851846 SHH851846:SHQ851846 SRD851846:SRM851846 TAZ851846:TBI851846 TKV851846:TLE851846 TUR851846:TVA851846 UEN851846:UEW851846 UOJ851846:UOS851846 UYF851846:UYO851846 VIB851846:VIK851846 VRX851846:VSG851846 WBT851846:WCC851846 WLP851846:WLY851846 WVL851846:WVU851846 J917382:S917382 IZ917382:JI917382 SV917382:TE917382 ACR917382:ADA917382 AMN917382:AMW917382 AWJ917382:AWS917382 BGF917382:BGO917382 BQB917382:BQK917382 BZX917382:CAG917382 CJT917382:CKC917382 CTP917382:CTY917382 DDL917382:DDU917382 DNH917382:DNQ917382 DXD917382:DXM917382 EGZ917382:EHI917382 EQV917382:ERE917382 FAR917382:FBA917382 FKN917382:FKW917382 FUJ917382:FUS917382 GEF917382:GEO917382 GOB917382:GOK917382 GXX917382:GYG917382 HHT917382:HIC917382 HRP917382:HRY917382 IBL917382:IBU917382 ILH917382:ILQ917382 IVD917382:IVM917382 JEZ917382:JFI917382 JOV917382:JPE917382 JYR917382:JZA917382 KIN917382:KIW917382 KSJ917382:KSS917382 LCF917382:LCO917382 LMB917382:LMK917382 LVX917382:LWG917382 MFT917382:MGC917382 MPP917382:MPY917382 MZL917382:MZU917382 NJH917382:NJQ917382 NTD917382:NTM917382 OCZ917382:ODI917382 OMV917382:ONE917382 OWR917382:OXA917382 PGN917382:PGW917382 PQJ917382:PQS917382 QAF917382:QAO917382 QKB917382:QKK917382 QTX917382:QUG917382 RDT917382:REC917382 RNP917382:RNY917382 RXL917382:RXU917382 SHH917382:SHQ917382 SRD917382:SRM917382 TAZ917382:TBI917382 TKV917382:TLE917382 TUR917382:TVA917382 UEN917382:UEW917382 UOJ917382:UOS917382 UYF917382:UYO917382 VIB917382:VIK917382 VRX917382:VSG917382 WBT917382:WCC917382 WLP917382:WLY917382 WVL917382:WVU917382 J982918:S982918 IZ982918:JI982918 SV982918:TE982918 ACR982918:ADA982918 AMN982918:AMW982918 AWJ982918:AWS982918 BGF982918:BGO982918 BQB982918:BQK982918 BZX982918:CAG982918 CJT982918:CKC982918 CTP982918:CTY982918 DDL982918:DDU982918 DNH982918:DNQ982918 DXD982918:DXM982918 EGZ982918:EHI982918 EQV982918:ERE982918 FAR982918:FBA982918 FKN982918:FKW982918 FUJ982918:FUS982918 GEF982918:GEO982918 GOB982918:GOK982918 GXX982918:GYG982918 HHT982918:HIC982918 HRP982918:HRY982918 IBL982918:IBU982918 ILH982918:ILQ982918 IVD982918:IVM982918 JEZ982918:JFI982918 JOV982918:JPE982918 JYR982918:JZA982918 KIN982918:KIW982918 KSJ982918:KSS982918 LCF982918:LCO982918 LMB982918:LMK982918 LVX982918:LWG982918 MFT982918:MGC982918 MPP982918:MPY982918 MZL982918:MZU982918 NJH982918:NJQ982918 NTD982918:NTM982918 OCZ982918:ODI982918 OMV982918:ONE982918 OWR982918:OXA982918 PGN982918:PGW982918 PQJ982918:PQS982918 QAF982918:QAO982918 QKB982918:QKK982918 QTX982918:QUG982918 RDT982918:REC982918 RNP982918:RNY982918 RXL982918:RXU982918 SHH982918:SHQ982918 SRD982918:SRM982918 TAZ982918:TBI982918 TKV982918:TLE982918 TUR982918:TVA982918 UEN982918:UEW982918 UOJ982918:UOS982918 UYF982918:UYO982918 VIB982918:VIK982918 VRX982918:VSG982918 WBT982918:WCC982918 WLP982918:WLY982918 WVL982918:WVU982918 J65454:S65454 IZ65454:JI65454 SV65454:TE65454 ACR65454:ADA65454 AMN65454:AMW65454 AWJ65454:AWS65454 BGF65454:BGO65454 BQB65454:BQK65454 BZX65454:CAG65454 CJT65454:CKC65454 CTP65454:CTY65454 DDL65454:DDU65454 DNH65454:DNQ65454 DXD65454:DXM65454 EGZ65454:EHI65454 EQV65454:ERE65454 FAR65454:FBA65454 FKN65454:FKW65454 FUJ65454:FUS65454 GEF65454:GEO65454 GOB65454:GOK65454 GXX65454:GYG65454 HHT65454:HIC65454 HRP65454:HRY65454 IBL65454:IBU65454 ILH65454:ILQ65454 IVD65454:IVM65454 JEZ65454:JFI65454 JOV65454:JPE65454 JYR65454:JZA65454 KIN65454:KIW65454 KSJ65454:KSS65454 LCF65454:LCO65454 LMB65454:LMK65454 LVX65454:LWG65454 MFT65454:MGC65454 MPP65454:MPY65454 MZL65454:MZU65454 NJH65454:NJQ65454 NTD65454:NTM65454 OCZ65454:ODI65454 OMV65454:ONE65454 OWR65454:OXA65454 PGN65454:PGW65454 PQJ65454:PQS65454 QAF65454:QAO65454 QKB65454:QKK65454 QTX65454:QUG65454 RDT65454:REC65454 RNP65454:RNY65454 RXL65454:RXU65454 SHH65454:SHQ65454 SRD65454:SRM65454 TAZ65454:TBI65454 TKV65454:TLE65454 TUR65454:TVA65454 UEN65454:UEW65454 UOJ65454:UOS65454 UYF65454:UYO65454 VIB65454:VIK65454 VRX65454:VSG65454 WBT65454:WCC65454 WLP65454:WLY65454 WVL65454:WVU65454 J130990:S130990 IZ130990:JI130990 SV130990:TE130990 ACR130990:ADA130990 AMN130990:AMW130990 AWJ130990:AWS130990 BGF130990:BGO130990 BQB130990:BQK130990 BZX130990:CAG130990 CJT130990:CKC130990 CTP130990:CTY130990 DDL130990:DDU130990 DNH130990:DNQ130990 DXD130990:DXM130990 EGZ130990:EHI130990 EQV130990:ERE130990 FAR130990:FBA130990 FKN130990:FKW130990 FUJ130990:FUS130990 GEF130990:GEO130990 GOB130990:GOK130990 GXX130990:GYG130990 HHT130990:HIC130990 HRP130990:HRY130990 IBL130990:IBU130990 ILH130990:ILQ130990 IVD130990:IVM130990 JEZ130990:JFI130990 JOV130990:JPE130990 JYR130990:JZA130990 KIN130990:KIW130990 KSJ130990:KSS130990 LCF130990:LCO130990 LMB130990:LMK130990 LVX130990:LWG130990 MFT130990:MGC130990 MPP130990:MPY130990 MZL130990:MZU130990 NJH130990:NJQ130990 NTD130990:NTM130990 OCZ130990:ODI130990 OMV130990:ONE130990 OWR130990:OXA130990 PGN130990:PGW130990 PQJ130990:PQS130990 QAF130990:QAO130990 QKB130990:QKK130990 QTX130990:QUG130990 RDT130990:REC130990 RNP130990:RNY130990 RXL130990:RXU130990 SHH130990:SHQ130990 SRD130990:SRM130990 TAZ130990:TBI130990 TKV130990:TLE130990 TUR130990:TVA130990 UEN130990:UEW130990 UOJ130990:UOS130990 UYF130990:UYO130990 VIB130990:VIK130990 VRX130990:VSG130990 WBT130990:WCC130990 WLP130990:WLY130990 WVL130990:WVU130990 J196526:S196526 IZ196526:JI196526 SV196526:TE196526 ACR196526:ADA196526 AMN196526:AMW196526 AWJ196526:AWS196526 BGF196526:BGO196526 BQB196526:BQK196526 BZX196526:CAG196526 CJT196526:CKC196526 CTP196526:CTY196526 DDL196526:DDU196526 DNH196526:DNQ196526 DXD196526:DXM196526 EGZ196526:EHI196526 EQV196526:ERE196526 FAR196526:FBA196526 FKN196526:FKW196526 FUJ196526:FUS196526 GEF196526:GEO196526 GOB196526:GOK196526 GXX196526:GYG196526 HHT196526:HIC196526 HRP196526:HRY196526 IBL196526:IBU196526 ILH196526:ILQ196526 IVD196526:IVM196526 JEZ196526:JFI196526 JOV196526:JPE196526 JYR196526:JZA196526 KIN196526:KIW196526 KSJ196526:KSS196526 LCF196526:LCO196526 LMB196526:LMK196526 LVX196526:LWG196526 MFT196526:MGC196526 MPP196526:MPY196526 MZL196526:MZU196526 NJH196526:NJQ196526 NTD196526:NTM196526 OCZ196526:ODI196526 OMV196526:ONE196526 OWR196526:OXA196526 PGN196526:PGW196526 PQJ196526:PQS196526 QAF196526:QAO196526 QKB196526:QKK196526 QTX196526:QUG196526 RDT196526:REC196526 RNP196526:RNY196526 RXL196526:RXU196526 SHH196526:SHQ196526 SRD196526:SRM196526 TAZ196526:TBI196526 TKV196526:TLE196526 TUR196526:TVA196526 UEN196526:UEW196526 UOJ196526:UOS196526 UYF196526:UYO196526 VIB196526:VIK196526 VRX196526:VSG196526 WBT196526:WCC196526 WLP196526:WLY196526 WVL196526:WVU196526 J262062:S262062 IZ262062:JI262062 SV262062:TE262062 ACR262062:ADA262062 AMN262062:AMW262062 AWJ262062:AWS262062 BGF262062:BGO262062 BQB262062:BQK262062 BZX262062:CAG262062 CJT262062:CKC262062 CTP262062:CTY262062 DDL262062:DDU262062 DNH262062:DNQ262062 DXD262062:DXM262062 EGZ262062:EHI262062 EQV262062:ERE262062 FAR262062:FBA262062 FKN262062:FKW262062 FUJ262062:FUS262062 GEF262062:GEO262062 GOB262062:GOK262062 GXX262062:GYG262062 HHT262062:HIC262062 HRP262062:HRY262062 IBL262062:IBU262062 ILH262062:ILQ262062 IVD262062:IVM262062 JEZ262062:JFI262062 JOV262062:JPE262062 JYR262062:JZA262062 KIN262062:KIW262062 KSJ262062:KSS262062 LCF262062:LCO262062 LMB262062:LMK262062 LVX262062:LWG262062 MFT262062:MGC262062 MPP262062:MPY262062 MZL262062:MZU262062 NJH262062:NJQ262062 NTD262062:NTM262062 OCZ262062:ODI262062 OMV262062:ONE262062 OWR262062:OXA262062 PGN262062:PGW262062 PQJ262062:PQS262062 QAF262062:QAO262062 QKB262062:QKK262062 QTX262062:QUG262062 RDT262062:REC262062 RNP262062:RNY262062 RXL262062:RXU262062 SHH262062:SHQ262062 SRD262062:SRM262062 TAZ262062:TBI262062 TKV262062:TLE262062 TUR262062:TVA262062 UEN262062:UEW262062 UOJ262062:UOS262062 UYF262062:UYO262062 VIB262062:VIK262062 VRX262062:VSG262062 WBT262062:WCC262062 WLP262062:WLY262062 WVL262062:WVU262062 J327598:S327598 IZ327598:JI327598 SV327598:TE327598 ACR327598:ADA327598 AMN327598:AMW327598 AWJ327598:AWS327598 BGF327598:BGO327598 BQB327598:BQK327598 BZX327598:CAG327598 CJT327598:CKC327598 CTP327598:CTY327598 DDL327598:DDU327598 DNH327598:DNQ327598 DXD327598:DXM327598 EGZ327598:EHI327598 EQV327598:ERE327598 FAR327598:FBA327598 FKN327598:FKW327598 FUJ327598:FUS327598 GEF327598:GEO327598 GOB327598:GOK327598 GXX327598:GYG327598 HHT327598:HIC327598 HRP327598:HRY327598 IBL327598:IBU327598 ILH327598:ILQ327598 IVD327598:IVM327598 JEZ327598:JFI327598 JOV327598:JPE327598 JYR327598:JZA327598 KIN327598:KIW327598 KSJ327598:KSS327598 LCF327598:LCO327598 LMB327598:LMK327598 LVX327598:LWG327598 MFT327598:MGC327598 MPP327598:MPY327598 MZL327598:MZU327598 NJH327598:NJQ327598 NTD327598:NTM327598 OCZ327598:ODI327598 OMV327598:ONE327598 OWR327598:OXA327598 PGN327598:PGW327598 PQJ327598:PQS327598 QAF327598:QAO327598 QKB327598:QKK327598 QTX327598:QUG327598 RDT327598:REC327598 RNP327598:RNY327598 RXL327598:RXU327598 SHH327598:SHQ327598 SRD327598:SRM327598 TAZ327598:TBI327598 TKV327598:TLE327598 TUR327598:TVA327598 UEN327598:UEW327598 UOJ327598:UOS327598 UYF327598:UYO327598 VIB327598:VIK327598 VRX327598:VSG327598 WBT327598:WCC327598 WLP327598:WLY327598 WVL327598:WVU327598 J393134:S393134 IZ393134:JI393134 SV393134:TE393134 ACR393134:ADA393134 AMN393134:AMW393134 AWJ393134:AWS393134 BGF393134:BGO393134 BQB393134:BQK393134 BZX393134:CAG393134 CJT393134:CKC393134 CTP393134:CTY393134 DDL393134:DDU393134 DNH393134:DNQ393134 DXD393134:DXM393134 EGZ393134:EHI393134 EQV393134:ERE393134 FAR393134:FBA393134 FKN393134:FKW393134 FUJ393134:FUS393134 GEF393134:GEO393134 GOB393134:GOK393134 GXX393134:GYG393134 HHT393134:HIC393134 HRP393134:HRY393134 IBL393134:IBU393134 ILH393134:ILQ393134 IVD393134:IVM393134 JEZ393134:JFI393134 JOV393134:JPE393134 JYR393134:JZA393134 KIN393134:KIW393134 KSJ393134:KSS393134 LCF393134:LCO393134 LMB393134:LMK393134 LVX393134:LWG393134 MFT393134:MGC393134 MPP393134:MPY393134 MZL393134:MZU393134 NJH393134:NJQ393134 NTD393134:NTM393134 OCZ393134:ODI393134 OMV393134:ONE393134 OWR393134:OXA393134 PGN393134:PGW393134 PQJ393134:PQS393134 QAF393134:QAO393134 QKB393134:QKK393134 QTX393134:QUG393134 RDT393134:REC393134 RNP393134:RNY393134 RXL393134:RXU393134 SHH393134:SHQ393134 SRD393134:SRM393134 TAZ393134:TBI393134 TKV393134:TLE393134 TUR393134:TVA393134 UEN393134:UEW393134 UOJ393134:UOS393134 UYF393134:UYO393134 VIB393134:VIK393134 VRX393134:VSG393134 WBT393134:WCC393134 WLP393134:WLY393134 WVL393134:WVU393134 J458670:S458670 IZ458670:JI458670 SV458670:TE458670 ACR458670:ADA458670 AMN458670:AMW458670 AWJ458670:AWS458670 BGF458670:BGO458670 BQB458670:BQK458670 BZX458670:CAG458670 CJT458670:CKC458670 CTP458670:CTY458670 DDL458670:DDU458670 DNH458670:DNQ458670 DXD458670:DXM458670 EGZ458670:EHI458670 EQV458670:ERE458670 FAR458670:FBA458670 FKN458670:FKW458670 FUJ458670:FUS458670 GEF458670:GEO458670 GOB458670:GOK458670 GXX458670:GYG458670 HHT458670:HIC458670 HRP458670:HRY458670 IBL458670:IBU458670 ILH458670:ILQ458670 IVD458670:IVM458670 JEZ458670:JFI458670 JOV458670:JPE458670 JYR458670:JZA458670 KIN458670:KIW458670 KSJ458670:KSS458670 LCF458670:LCO458670 LMB458670:LMK458670 LVX458670:LWG458670 MFT458670:MGC458670 MPP458670:MPY458670 MZL458670:MZU458670 NJH458670:NJQ458670 NTD458670:NTM458670 OCZ458670:ODI458670 OMV458670:ONE458670 OWR458670:OXA458670 PGN458670:PGW458670 PQJ458670:PQS458670 QAF458670:QAO458670 QKB458670:QKK458670 QTX458670:QUG458670 RDT458670:REC458670 RNP458670:RNY458670 RXL458670:RXU458670 SHH458670:SHQ458670 SRD458670:SRM458670 TAZ458670:TBI458670 TKV458670:TLE458670 TUR458670:TVA458670 UEN458670:UEW458670 UOJ458670:UOS458670 UYF458670:UYO458670 VIB458670:VIK458670 VRX458670:VSG458670 WBT458670:WCC458670 WLP458670:WLY458670 WVL458670:WVU458670 J524206:S524206 IZ524206:JI524206 SV524206:TE524206 ACR524206:ADA524206 AMN524206:AMW524206 AWJ524206:AWS524206 BGF524206:BGO524206 BQB524206:BQK524206 BZX524206:CAG524206 CJT524206:CKC524206 CTP524206:CTY524206 DDL524206:DDU524206 DNH524206:DNQ524206 DXD524206:DXM524206 EGZ524206:EHI524206 EQV524206:ERE524206 FAR524206:FBA524206 FKN524206:FKW524206 FUJ524206:FUS524206 GEF524206:GEO524206 GOB524206:GOK524206 GXX524206:GYG524206 HHT524206:HIC524206 HRP524206:HRY524206 IBL524206:IBU524206 ILH524206:ILQ524206 IVD524206:IVM524206 JEZ524206:JFI524206 JOV524206:JPE524206 JYR524206:JZA524206 KIN524206:KIW524206 KSJ524206:KSS524206 LCF524206:LCO524206 LMB524206:LMK524206 LVX524206:LWG524206 MFT524206:MGC524206 MPP524206:MPY524206 MZL524206:MZU524206 NJH524206:NJQ524206 NTD524206:NTM524206 OCZ524206:ODI524206 OMV524206:ONE524206 OWR524206:OXA524206 PGN524206:PGW524206 PQJ524206:PQS524206 QAF524206:QAO524206 QKB524206:QKK524206 QTX524206:QUG524206 RDT524206:REC524206 RNP524206:RNY524206 RXL524206:RXU524206 SHH524206:SHQ524206 SRD524206:SRM524206 TAZ524206:TBI524206 TKV524206:TLE524206 TUR524206:TVA524206 UEN524206:UEW524206 UOJ524206:UOS524206 UYF524206:UYO524206 VIB524206:VIK524206 VRX524206:VSG524206 WBT524206:WCC524206 WLP524206:WLY524206 WVL524206:WVU524206 J589742:S589742 IZ589742:JI589742 SV589742:TE589742 ACR589742:ADA589742 AMN589742:AMW589742 AWJ589742:AWS589742 BGF589742:BGO589742 BQB589742:BQK589742 BZX589742:CAG589742 CJT589742:CKC589742 CTP589742:CTY589742 DDL589742:DDU589742 DNH589742:DNQ589742 DXD589742:DXM589742 EGZ589742:EHI589742 EQV589742:ERE589742 FAR589742:FBA589742 FKN589742:FKW589742 FUJ589742:FUS589742 GEF589742:GEO589742 GOB589742:GOK589742 GXX589742:GYG589742 HHT589742:HIC589742 HRP589742:HRY589742 IBL589742:IBU589742 ILH589742:ILQ589742 IVD589742:IVM589742 JEZ589742:JFI589742 JOV589742:JPE589742 JYR589742:JZA589742 KIN589742:KIW589742 KSJ589742:KSS589742 LCF589742:LCO589742 LMB589742:LMK589742 LVX589742:LWG589742 MFT589742:MGC589742 MPP589742:MPY589742 MZL589742:MZU589742 NJH589742:NJQ589742 NTD589742:NTM589742 OCZ589742:ODI589742 OMV589742:ONE589742 OWR589742:OXA589742 PGN589742:PGW589742 PQJ589742:PQS589742 QAF589742:QAO589742 QKB589742:QKK589742 QTX589742:QUG589742 RDT589742:REC589742 RNP589742:RNY589742 RXL589742:RXU589742 SHH589742:SHQ589742 SRD589742:SRM589742 TAZ589742:TBI589742 TKV589742:TLE589742 TUR589742:TVA589742 UEN589742:UEW589742 UOJ589742:UOS589742 UYF589742:UYO589742 VIB589742:VIK589742 VRX589742:VSG589742 WBT589742:WCC589742 WLP589742:WLY589742 WVL589742:WVU589742 J655278:S655278 IZ655278:JI655278 SV655278:TE655278 ACR655278:ADA655278 AMN655278:AMW655278 AWJ655278:AWS655278 BGF655278:BGO655278 BQB655278:BQK655278 BZX655278:CAG655278 CJT655278:CKC655278 CTP655278:CTY655278 DDL655278:DDU655278 DNH655278:DNQ655278 DXD655278:DXM655278 EGZ655278:EHI655278 EQV655278:ERE655278 FAR655278:FBA655278 FKN655278:FKW655278 FUJ655278:FUS655278 GEF655278:GEO655278 GOB655278:GOK655278 GXX655278:GYG655278 HHT655278:HIC655278 HRP655278:HRY655278 IBL655278:IBU655278 ILH655278:ILQ655278 IVD655278:IVM655278 JEZ655278:JFI655278 JOV655278:JPE655278 JYR655278:JZA655278 KIN655278:KIW655278 KSJ655278:KSS655278 LCF655278:LCO655278 LMB655278:LMK655278 LVX655278:LWG655278 MFT655278:MGC655278 MPP655278:MPY655278 MZL655278:MZU655278 NJH655278:NJQ655278 NTD655278:NTM655278 OCZ655278:ODI655278 OMV655278:ONE655278 OWR655278:OXA655278 PGN655278:PGW655278 PQJ655278:PQS655278 QAF655278:QAO655278 QKB655278:QKK655278 QTX655278:QUG655278 RDT655278:REC655278 RNP655278:RNY655278 RXL655278:RXU655278 SHH655278:SHQ655278 SRD655278:SRM655278 TAZ655278:TBI655278 TKV655278:TLE655278 TUR655278:TVA655278 UEN655278:UEW655278 UOJ655278:UOS655278 UYF655278:UYO655278 VIB655278:VIK655278 VRX655278:VSG655278 WBT655278:WCC655278 WLP655278:WLY655278 WVL655278:WVU655278 J720814:S720814 IZ720814:JI720814 SV720814:TE720814 ACR720814:ADA720814 AMN720814:AMW720814 AWJ720814:AWS720814 BGF720814:BGO720814 BQB720814:BQK720814 BZX720814:CAG720814 CJT720814:CKC720814 CTP720814:CTY720814 DDL720814:DDU720814 DNH720814:DNQ720814 DXD720814:DXM720814 EGZ720814:EHI720814 EQV720814:ERE720814 FAR720814:FBA720814 FKN720814:FKW720814 FUJ720814:FUS720814 GEF720814:GEO720814 GOB720814:GOK720814 GXX720814:GYG720814 HHT720814:HIC720814 HRP720814:HRY720814 IBL720814:IBU720814 ILH720814:ILQ720814 IVD720814:IVM720814 JEZ720814:JFI720814 JOV720814:JPE720814 JYR720814:JZA720814 KIN720814:KIW720814 KSJ720814:KSS720814 LCF720814:LCO720814 LMB720814:LMK720814 LVX720814:LWG720814 MFT720814:MGC720814 MPP720814:MPY720814 MZL720814:MZU720814 NJH720814:NJQ720814 NTD720814:NTM720814 OCZ720814:ODI720814 OMV720814:ONE720814 OWR720814:OXA720814 PGN720814:PGW720814 PQJ720814:PQS720814 QAF720814:QAO720814 QKB720814:QKK720814 QTX720814:QUG720814 RDT720814:REC720814 RNP720814:RNY720814 RXL720814:RXU720814 SHH720814:SHQ720814 SRD720814:SRM720814 TAZ720814:TBI720814 TKV720814:TLE720814 TUR720814:TVA720814 UEN720814:UEW720814 UOJ720814:UOS720814 UYF720814:UYO720814 VIB720814:VIK720814 VRX720814:VSG720814 WBT720814:WCC720814 WLP720814:WLY720814 WVL720814:WVU720814 J786350:S786350 IZ786350:JI786350 SV786350:TE786350 ACR786350:ADA786350 AMN786350:AMW786350 AWJ786350:AWS786350 BGF786350:BGO786350 BQB786350:BQK786350 BZX786350:CAG786350 CJT786350:CKC786350 CTP786350:CTY786350 DDL786350:DDU786350 DNH786350:DNQ786350 DXD786350:DXM786350 EGZ786350:EHI786350 EQV786350:ERE786350 FAR786350:FBA786350 FKN786350:FKW786350 FUJ786350:FUS786350 GEF786350:GEO786350 GOB786350:GOK786350 GXX786350:GYG786350 HHT786350:HIC786350 HRP786350:HRY786350 IBL786350:IBU786350 ILH786350:ILQ786350 IVD786350:IVM786350 JEZ786350:JFI786350 JOV786350:JPE786350 JYR786350:JZA786350 KIN786350:KIW786350 KSJ786350:KSS786350 LCF786350:LCO786350 LMB786350:LMK786350 LVX786350:LWG786350 MFT786350:MGC786350 MPP786350:MPY786350 MZL786350:MZU786350 NJH786350:NJQ786350 NTD786350:NTM786350 OCZ786350:ODI786350 OMV786350:ONE786350 OWR786350:OXA786350 PGN786350:PGW786350 PQJ786350:PQS786350 QAF786350:QAO786350 QKB786350:QKK786350 QTX786350:QUG786350 RDT786350:REC786350 RNP786350:RNY786350 RXL786350:RXU786350 SHH786350:SHQ786350 SRD786350:SRM786350 TAZ786350:TBI786350 TKV786350:TLE786350 TUR786350:TVA786350 UEN786350:UEW786350 UOJ786350:UOS786350 UYF786350:UYO786350 VIB786350:VIK786350 VRX786350:VSG786350 WBT786350:WCC786350 WLP786350:WLY786350 WVL786350:WVU786350 J851886:S851886 IZ851886:JI851886 SV851886:TE851886 ACR851886:ADA851886 AMN851886:AMW851886 AWJ851886:AWS851886 BGF851886:BGO851886 BQB851886:BQK851886 BZX851886:CAG851886 CJT851886:CKC851886 CTP851886:CTY851886 DDL851886:DDU851886 DNH851886:DNQ851886 DXD851886:DXM851886 EGZ851886:EHI851886 EQV851886:ERE851886 FAR851886:FBA851886 FKN851886:FKW851886 FUJ851886:FUS851886 GEF851886:GEO851886 GOB851886:GOK851886 GXX851886:GYG851886 HHT851886:HIC851886 HRP851886:HRY851886 IBL851886:IBU851886 ILH851886:ILQ851886 IVD851886:IVM851886 JEZ851886:JFI851886 JOV851886:JPE851886 JYR851886:JZA851886 KIN851886:KIW851886 KSJ851886:KSS851886 LCF851886:LCO851886 LMB851886:LMK851886 LVX851886:LWG851886 MFT851886:MGC851886 MPP851886:MPY851886 MZL851886:MZU851886 NJH851886:NJQ851886 NTD851886:NTM851886 OCZ851886:ODI851886 OMV851886:ONE851886 OWR851886:OXA851886 PGN851886:PGW851886 PQJ851886:PQS851886 QAF851886:QAO851886 QKB851886:QKK851886 QTX851886:QUG851886 RDT851886:REC851886 RNP851886:RNY851886 RXL851886:RXU851886 SHH851886:SHQ851886 SRD851886:SRM851886 TAZ851886:TBI851886 TKV851886:TLE851886 TUR851886:TVA851886 UEN851886:UEW851886 UOJ851886:UOS851886 UYF851886:UYO851886 VIB851886:VIK851886 VRX851886:VSG851886 WBT851886:WCC851886 WLP851886:WLY851886 WVL851886:WVU851886 J917422:S917422 IZ917422:JI917422 SV917422:TE917422 ACR917422:ADA917422 AMN917422:AMW917422 AWJ917422:AWS917422 BGF917422:BGO917422 BQB917422:BQK917422 BZX917422:CAG917422 CJT917422:CKC917422 CTP917422:CTY917422 DDL917422:DDU917422 DNH917422:DNQ917422 DXD917422:DXM917422 EGZ917422:EHI917422 EQV917422:ERE917422 FAR917422:FBA917422 FKN917422:FKW917422 FUJ917422:FUS917422 GEF917422:GEO917422 GOB917422:GOK917422 GXX917422:GYG917422 HHT917422:HIC917422 HRP917422:HRY917422 IBL917422:IBU917422 ILH917422:ILQ917422 IVD917422:IVM917422 JEZ917422:JFI917422 JOV917422:JPE917422 JYR917422:JZA917422 KIN917422:KIW917422 KSJ917422:KSS917422 LCF917422:LCO917422 LMB917422:LMK917422 LVX917422:LWG917422 MFT917422:MGC917422 MPP917422:MPY917422 MZL917422:MZU917422 NJH917422:NJQ917422 NTD917422:NTM917422 OCZ917422:ODI917422 OMV917422:ONE917422 OWR917422:OXA917422 PGN917422:PGW917422 PQJ917422:PQS917422 QAF917422:QAO917422 QKB917422:QKK917422 QTX917422:QUG917422 RDT917422:REC917422 RNP917422:RNY917422 RXL917422:RXU917422 SHH917422:SHQ917422 SRD917422:SRM917422 TAZ917422:TBI917422 TKV917422:TLE917422 TUR917422:TVA917422 UEN917422:UEW917422 UOJ917422:UOS917422 UYF917422:UYO917422 VIB917422:VIK917422 VRX917422:VSG917422 WBT917422:WCC917422 WLP917422:WLY917422 WVL917422:WVU917422 J982958:S982958 IZ982958:JI982958 SV982958:TE982958 ACR982958:ADA982958 AMN982958:AMW982958 AWJ982958:AWS982958 BGF982958:BGO982958 BQB982958:BQK982958 BZX982958:CAG982958 CJT982958:CKC982958 CTP982958:CTY982958 DDL982958:DDU982958 DNH982958:DNQ982958 DXD982958:DXM982958 EGZ982958:EHI982958 EQV982958:ERE982958 FAR982958:FBA982958 FKN982958:FKW982958 FUJ982958:FUS982958 GEF982958:GEO982958 GOB982958:GOK982958 GXX982958:GYG982958 HHT982958:HIC982958 HRP982958:HRY982958 IBL982958:IBU982958 ILH982958:ILQ982958 IVD982958:IVM982958 JEZ982958:JFI982958 JOV982958:JPE982958 JYR982958:JZA982958 KIN982958:KIW982958 KSJ982958:KSS982958 LCF982958:LCO982958 LMB982958:LMK982958 LVX982958:LWG982958 MFT982958:MGC982958 MPP982958:MPY982958 MZL982958:MZU982958 NJH982958:NJQ982958 NTD982958:NTM982958 OCZ982958:ODI982958 OMV982958:ONE982958 OWR982958:OXA982958 PGN982958:PGW982958 PQJ982958:PQS982958 QAF982958:QAO982958 QKB982958:QKK982958 QTX982958:QUG982958 RDT982958:REC982958 RNP982958:RNY982958 RXL982958:RXU982958 SHH982958:SHQ982958 SRD982958:SRM982958 TAZ982958:TBI982958 TKV982958:TLE982958 TUR982958:TVA982958 UEN982958:UEW982958 UOJ982958:UOS982958 UYF982958:UYO982958 VIB982958:VIK982958 VRX982958:VSG982958 WBT982958:WCC982958 WLP982958:WLY982958 WVL982958:WVU982958">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R4:S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R65367:S65367 JH65367:JI65367 TD65367:TE65367 ACZ65367:ADA65367 AMV65367:AMW65367 AWR65367:AWS65367 BGN65367:BGO65367 BQJ65367:BQK65367 CAF65367:CAG65367 CKB65367:CKC65367 CTX65367:CTY65367 DDT65367:DDU65367 DNP65367:DNQ65367 DXL65367:DXM65367 EHH65367:EHI65367 ERD65367:ERE65367 FAZ65367:FBA65367 FKV65367:FKW65367 FUR65367:FUS65367 GEN65367:GEO65367 GOJ65367:GOK65367 GYF65367:GYG65367 HIB65367:HIC65367 HRX65367:HRY65367 IBT65367:IBU65367 ILP65367:ILQ65367 IVL65367:IVM65367 JFH65367:JFI65367 JPD65367:JPE65367 JYZ65367:JZA65367 KIV65367:KIW65367 KSR65367:KSS65367 LCN65367:LCO65367 LMJ65367:LMK65367 LWF65367:LWG65367 MGB65367:MGC65367 MPX65367:MPY65367 MZT65367:MZU65367 NJP65367:NJQ65367 NTL65367:NTM65367 ODH65367:ODI65367 OND65367:ONE65367 OWZ65367:OXA65367 PGV65367:PGW65367 PQR65367:PQS65367 QAN65367:QAO65367 QKJ65367:QKK65367 QUF65367:QUG65367 REB65367:REC65367 RNX65367:RNY65367 RXT65367:RXU65367 SHP65367:SHQ65367 SRL65367:SRM65367 TBH65367:TBI65367 TLD65367:TLE65367 TUZ65367:TVA65367 UEV65367:UEW65367 UOR65367:UOS65367 UYN65367:UYO65367 VIJ65367:VIK65367 VSF65367:VSG65367 WCB65367:WCC65367 WLX65367:WLY65367 WVT65367:WVU65367 R130903:S130903 JH130903:JI130903 TD130903:TE130903 ACZ130903:ADA130903 AMV130903:AMW130903 AWR130903:AWS130903 BGN130903:BGO130903 BQJ130903:BQK130903 CAF130903:CAG130903 CKB130903:CKC130903 CTX130903:CTY130903 DDT130903:DDU130903 DNP130903:DNQ130903 DXL130903:DXM130903 EHH130903:EHI130903 ERD130903:ERE130903 FAZ130903:FBA130903 FKV130903:FKW130903 FUR130903:FUS130903 GEN130903:GEO130903 GOJ130903:GOK130903 GYF130903:GYG130903 HIB130903:HIC130903 HRX130903:HRY130903 IBT130903:IBU130903 ILP130903:ILQ130903 IVL130903:IVM130903 JFH130903:JFI130903 JPD130903:JPE130903 JYZ130903:JZA130903 KIV130903:KIW130903 KSR130903:KSS130903 LCN130903:LCO130903 LMJ130903:LMK130903 LWF130903:LWG130903 MGB130903:MGC130903 MPX130903:MPY130903 MZT130903:MZU130903 NJP130903:NJQ130903 NTL130903:NTM130903 ODH130903:ODI130903 OND130903:ONE130903 OWZ130903:OXA130903 PGV130903:PGW130903 PQR130903:PQS130903 QAN130903:QAO130903 QKJ130903:QKK130903 QUF130903:QUG130903 REB130903:REC130903 RNX130903:RNY130903 RXT130903:RXU130903 SHP130903:SHQ130903 SRL130903:SRM130903 TBH130903:TBI130903 TLD130903:TLE130903 TUZ130903:TVA130903 UEV130903:UEW130903 UOR130903:UOS130903 UYN130903:UYO130903 VIJ130903:VIK130903 VSF130903:VSG130903 WCB130903:WCC130903 WLX130903:WLY130903 WVT130903:WVU130903 R196439:S196439 JH196439:JI196439 TD196439:TE196439 ACZ196439:ADA196439 AMV196439:AMW196439 AWR196439:AWS196439 BGN196439:BGO196439 BQJ196439:BQK196439 CAF196439:CAG196439 CKB196439:CKC196439 CTX196439:CTY196439 DDT196439:DDU196439 DNP196439:DNQ196439 DXL196439:DXM196439 EHH196439:EHI196439 ERD196439:ERE196439 FAZ196439:FBA196439 FKV196439:FKW196439 FUR196439:FUS196439 GEN196439:GEO196439 GOJ196439:GOK196439 GYF196439:GYG196439 HIB196439:HIC196439 HRX196439:HRY196439 IBT196439:IBU196439 ILP196439:ILQ196439 IVL196439:IVM196439 JFH196439:JFI196439 JPD196439:JPE196439 JYZ196439:JZA196439 KIV196439:KIW196439 KSR196439:KSS196439 LCN196439:LCO196439 LMJ196439:LMK196439 LWF196439:LWG196439 MGB196439:MGC196439 MPX196439:MPY196439 MZT196439:MZU196439 NJP196439:NJQ196439 NTL196439:NTM196439 ODH196439:ODI196439 OND196439:ONE196439 OWZ196439:OXA196439 PGV196439:PGW196439 PQR196439:PQS196439 QAN196439:QAO196439 QKJ196439:QKK196439 QUF196439:QUG196439 REB196439:REC196439 RNX196439:RNY196439 RXT196439:RXU196439 SHP196439:SHQ196439 SRL196439:SRM196439 TBH196439:TBI196439 TLD196439:TLE196439 TUZ196439:TVA196439 UEV196439:UEW196439 UOR196439:UOS196439 UYN196439:UYO196439 VIJ196439:VIK196439 VSF196439:VSG196439 WCB196439:WCC196439 WLX196439:WLY196439 WVT196439:WVU196439 R261975:S261975 JH261975:JI261975 TD261975:TE261975 ACZ261975:ADA261975 AMV261975:AMW261975 AWR261975:AWS261975 BGN261975:BGO261975 BQJ261975:BQK261975 CAF261975:CAG261975 CKB261975:CKC261975 CTX261975:CTY261975 DDT261975:DDU261975 DNP261975:DNQ261975 DXL261975:DXM261975 EHH261975:EHI261975 ERD261975:ERE261975 FAZ261975:FBA261975 FKV261975:FKW261975 FUR261975:FUS261975 GEN261975:GEO261975 GOJ261975:GOK261975 GYF261975:GYG261975 HIB261975:HIC261975 HRX261975:HRY261975 IBT261975:IBU261975 ILP261975:ILQ261975 IVL261975:IVM261975 JFH261975:JFI261975 JPD261975:JPE261975 JYZ261975:JZA261975 KIV261975:KIW261975 KSR261975:KSS261975 LCN261975:LCO261975 LMJ261975:LMK261975 LWF261975:LWG261975 MGB261975:MGC261975 MPX261975:MPY261975 MZT261975:MZU261975 NJP261975:NJQ261975 NTL261975:NTM261975 ODH261975:ODI261975 OND261975:ONE261975 OWZ261975:OXA261975 PGV261975:PGW261975 PQR261975:PQS261975 QAN261975:QAO261975 QKJ261975:QKK261975 QUF261975:QUG261975 REB261975:REC261975 RNX261975:RNY261975 RXT261975:RXU261975 SHP261975:SHQ261975 SRL261975:SRM261975 TBH261975:TBI261975 TLD261975:TLE261975 TUZ261975:TVA261975 UEV261975:UEW261975 UOR261975:UOS261975 UYN261975:UYO261975 VIJ261975:VIK261975 VSF261975:VSG261975 WCB261975:WCC261975 WLX261975:WLY261975 WVT261975:WVU261975 R327511:S327511 JH327511:JI327511 TD327511:TE327511 ACZ327511:ADA327511 AMV327511:AMW327511 AWR327511:AWS327511 BGN327511:BGO327511 BQJ327511:BQK327511 CAF327511:CAG327511 CKB327511:CKC327511 CTX327511:CTY327511 DDT327511:DDU327511 DNP327511:DNQ327511 DXL327511:DXM327511 EHH327511:EHI327511 ERD327511:ERE327511 FAZ327511:FBA327511 FKV327511:FKW327511 FUR327511:FUS327511 GEN327511:GEO327511 GOJ327511:GOK327511 GYF327511:GYG327511 HIB327511:HIC327511 HRX327511:HRY327511 IBT327511:IBU327511 ILP327511:ILQ327511 IVL327511:IVM327511 JFH327511:JFI327511 JPD327511:JPE327511 JYZ327511:JZA327511 KIV327511:KIW327511 KSR327511:KSS327511 LCN327511:LCO327511 LMJ327511:LMK327511 LWF327511:LWG327511 MGB327511:MGC327511 MPX327511:MPY327511 MZT327511:MZU327511 NJP327511:NJQ327511 NTL327511:NTM327511 ODH327511:ODI327511 OND327511:ONE327511 OWZ327511:OXA327511 PGV327511:PGW327511 PQR327511:PQS327511 QAN327511:QAO327511 QKJ327511:QKK327511 QUF327511:QUG327511 REB327511:REC327511 RNX327511:RNY327511 RXT327511:RXU327511 SHP327511:SHQ327511 SRL327511:SRM327511 TBH327511:TBI327511 TLD327511:TLE327511 TUZ327511:TVA327511 UEV327511:UEW327511 UOR327511:UOS327511 UYN327511:UYO327511 VIJ327511:VIK327511 VSF327511:VSG327511 WCB327511:WCC327511 WLX327511:WLY327511 WVT327511:WVU327511 R393047:S393047 JH393047:JI393047 TD393047:TE393047 ACZ393047:ADA393047 AMV393047:AMW393047 AWR393047:AWS393047 BGN393047:BGO393047 BQJ393047:BQK393047 CAF393047:CAG393047 CKB393047:CKC393047 CTX393047:CTY393047 DDT393047:DDU393047 DNP393047:DNQ393047 DXL393047:DXM393047 EHH393047:EHI393047 ERD393047:ERE393047 FAZ393047:FBA393047 FKV393047:FKW393047 FUR393047:FUS393047 GEN393047:GEO393047 GOJ393047:GOK393047 GYF393047:GYG393047 HIB393047:HIC393047 HRX393047:HRY393047 IBT393047:IBU393047 ILP393047:ILQ393047 IVL393047:IVM393047 JFH393047:JFI393047 JPD393047:JPE393047 JYZ393047:JZA393047 KIV393047:KIW393047 KSR393047:KSS393047 LCN393047:LCO393047 LMJ393047:LMK393047 LWF393047:LWG393047 MGB393047:MGC393047 MPX393047:MPY393047 MZT393047:MZU393047 NJP393047:NJQ393047 NTL393047:NTM393047 ODH393047:ODI393047 OND393047:ONE393047 OWZ393047:OXA393047 PGV393047:PGW393047 PQR393047:PQS393047 QAN393047:QAO393047 QKJ393047:QKK393047 QUF393047:QUG393047 REB393047:REC393047 RNX393047:RNY393047 RXT393047:RXU393047 SHP393047:SHQ393047 SRL393047:SRM393047 TBH393047:TBI393047 TLD393047:TLE393047 TUZ393047:TVA393047 UEV393047:UEW393047 UOR393047:UOS393047 UYN393047:UYO393047 VIJ393047:VIK393047 VSF393047:VSG393047 WCB393047:WCC393047 WLX393047:WLY393047 WVT393047:WVU393047 R458583:S458583 JH458583:JI458583 TD458583:TE458583 ACZ458583:ADA458583 AMV458583:AMW458583 AWR458583:AWS458583 BGN458583:BGO458583 BQJ458583:BQK458583 CAF458583:CAG458583 CKB458583:CKC458583 CTX458583:CTY458583 DDT458583:DDU458583 DNP458583:DNQ458583 DXL458583:DXM458583 EHH458583:EHI458583 ERD458583:ERE458583 FAZ458583:FBA458583 FKV458583:FKW458583 FUR458583:FUS458583 GEN458583:GEO458583 GOJ458583:GOK458583 GYF458583:GYG458583 HIB458583:HIC458583 HRX458583:HRY458583 IBT458583:IBU458583 ILP458583:ILQ458583 IVL458583:IVM458583 JFH458583:JFI458583 JPD458583:JPE458583 JYZ458583:JZA458583 KIV458583:KIW458583 KSR458583:KSS458583 LCN458583:LCO458583 LMJ458583:LMK458583 LWF458583:LWG458583 MGB458583:MGC458583 MPX458583:MPY458583 MZT458583:MZU458583 NJP458583:NJQ458583 NTL458583:NTM458583 ODH458583:ODI458583 OND458583:ONE458583 OWZ458583:OXA458583 PGV458583:PGW458583 PQR458583:PQS458583 QAN458583:QAO458583 QKJ458583:QKK458583 QUF458583:QUG458583 REB458583:REC458583 RNX458583:RNY458583 RXT458583:RXU458583 SHP458583:SHQ458583 SRL458583:SRM458583 TBH458583:TBI458583 TLD458583:TLE458583 TUZ458583:TVA458583 UEV458583:UEW458583 UOR458583:UOS458583 UYN458583:UYO458583 VIJ458583:VIK458583 VSF458583:VSG458583 WCB458583:WCC458583 WLX458583:WLY458583 WVT458583:WVU458583 R524119:S524119 JH524119:JI524119 TD524119:TE524119 ACZ524119:ADA524119 AMV524119:AMW524119 AWR524119:AWS524119 BGN524119:BGO524119 BQJ524119:BQK524119 CAF524119:CAG524119 CKB524119:CKC524119 CTX524119:CTY524119 DDT524119:DDU524119 DNP524119:DNQ524119 DXL524119:DXM524119 EHH524119:EHI524119 ERD524119:ERE524119 FAZ524119:FBA524119 FKV524119:FKW524119 FUR524119:FUS524119 GEN524119:GEO524119 GOJ524119:GOK524119 GYF524119:GYG524119 HIB524119:HIC524119 HRX524119:HRY524119 IBT524119:IBU524119 ILP524119:ILQ524119 IVL524119:IVM524119 JFH524119:JFI524119 JPD524119:JPE524119 JYZ524119:JZA524119 KIV524119:KIW524119 KSR524119:KSS524119 LCN524119:LCO524119 LMJ524119:LMK524119 LWF524119:LWG524119 MGB524119:MGC524119 MPX524119:MPY524119 MZT524119:MZU524119 NJP524119:NJQ524119 NTL524119:NTM524119 ODH524119:ODI524119 OND524119:ONE524119 OWZ524119:OXA524119 PGV524119:PGW524119 PQR524119:PQS524119 QAN524119:QAO524119 QKJ524119:QKK524119 QUF524119:QUG524119 REB524119:REC524119 RNX524119:RNY524119 RXT524119:RXU524119 SHP524119:SHQ524119 SRL524119:SRM524119 TBH524119:TBI524119 TLD524119:TLE524119 TUZ524119:TVA524119 UEV524119:UEW524119 UOR524119:UOS524119 UYN524119:UYO524119 VIJ524119:VIK524119 VSF524119:VSG524119 WCB524119:WCC524119 WLX524119:WLY524119 WVT524119:WVU524119 R589655:S589655 JH589655:JI589655 TD589655:TE589655 ACZ589655:ADA589655 AMV589655:AMW589655 AWR589655:AWS589655 BGN589655:BGO589655 BQJ589655:BQK589655 CAF589655:CAG589655 CKB589655:CKC589655 CTX589655:CTY589655 DDT589655:DDU589655 DNP589655:DNQ589655 DXL589655:DXM589655 EHH589655:EHI589655 ERD589655:ERE589655 FAZ589655:FBA589655 FKV589655:FKW589655 FUR589655:FUS589655 GEN589655:GEO589655 GOJ589655:GOK589655 GYF589655:GYG589655 HIB589655:HIC589655 HRX589655:HRY589655 IBT589655:IBU589655 ILP589655:ILQ589655 IVL589655:IVM589655 JFH589655:JFI589655 JPD589655:JPE589655 JYZ589655:JZA589655 KIV589655:KIW589655 KSR589655:KSS589655 LCN589655:LCO589655 LMJ589655:LMK589655 LWF589655:LWG589655 MGB589655:MGC589655 MPX589655:MPY589655 MZT589655:MZU589655 NJP589655:NJQ589655 NTL589655:NTM589655 ODH589655:ODI589655 OND589655:ONE589655 OWZ589655:OXA589655 PGV589655:PGW589655 PQR589655:PQS589655 QAN589655:QAO589655 QKJ589655:QKK589655 QUF589655:QUG589655 REB589655:REC589655 RNX589655:RNY589655 RXT589655:RXU589655 SHP589655:SHQ589655 SRL589655:SRM589655 TBH589655:TBI589655 TLD589655:TLE589655 TUZ589655:TVA589655 UEV589655:UEW589655 UOR589655:UOS589655 UYN589655:UYO589655 VIJ589655:VIK589655 VSF589655:VSG589655 WCB589655:WCC589655 WLX589655:WLY589655 WVT589655:WVU589655 R655191:S655191 JH655191:JI655191 TD655191:TE655191 ACZ655191:ADA655191 AMV655191:AMW655191 AWR655191:AWS655191 BGN655191:BGO655191 BQJ655191:BQK655191 CAF655191:CAG655191 CKB655191:CKC655191 CTX655191:CTY655191 DDT655191:DDU655191 DNP655191:DNQ655191 DXL655191:DXM655191 EHH655191:EHI655191 ERD655191:ERE655191 FAZ655191:FBA655191 FKV655191:FKW655191 FUR655191:FUS655191 GEN655191:GEO655191 GOJ655191:GOK655191 GYF655191:GYG655191 HIB655191:HIC655191 HRX655191:HRY655191 IBT655191:IBU655191 ILP655191:ILQ655191 IVL655191:IVM655191 JFH655191:JFI655191 JPD655191:JPE655191 JYZ655191:JZA655191 KIV655191:KIW655191 KSR655191:KSS655191 LCN655191:LCO655191 LMJ655191:LMK655191 LWF655191:LWG655191 MGB655191:MGC655191 MPX655191:MPY655191 MZT655191:MZU655191 NJP655191:NJQ655191 NTL655191:NTM655191 ODH655191:ODI655191 OND655191:ONE655191 OWZ655191:OXA655191 PGV655191:PGW655191 PQR655191:PQS655191 QAN655191:QAO655191 QKJ655191:QKK655191 QUF655191:QUG655191 REB655191:REC655191 RNX655191:RNY655191 RXT655191:RXU655191 SHP655191:SHQ655191 SRL655191:SRM655191 TBH655191:TBI655191 TLD655191:TLE655191 TUZ655191:TVA655191 UEV655191:UEW655191 UOR655191:UOS655191 UYN655191:UYO655191 VIJ655191:VIK655191 VSF655191:VSG655191 WCB655191:WCC655191 WLX655191:WLY655191 WVT655191:WVU655191 R720727:S720727 JH720727:JI720727 TD720727:TE720727 ACZ720727:ADA720727 AMV720727:AMW720727 AWR720727:AWS720727 BGN720727:BGO720727 BQJ720727:BQK720727 CAF720727:CAG720727 CKB720727:CKC720727 CTX720727:CTY720727 DDT720727:DDU720727 DNP720727:DNQ720727 DXL720727:DXM720727 EHH720727:EHI720727 ERD720727:ERE720727 FAZ720727:FBA720727 FKV720727:FKW720727 FUR720727:FUS720727 GEN720727:GEO720727 GOJ720727:GOK720727 GYF720727:GYG720727 HIB720727:HIC720727 HRX720727:HRY720727 IBT720727:IBU720727 ILP720727:ILQ720727 IVL720727:IVM720727 JFH720727:JFI720727 JPD720727:JPE720727 JYZ720727:JZA720727 KIV720727:KIW720727 KSR720727:KSS720727 LCN720727:LCO720727 LMJ720727:LMK720727 LWF720727:LWG720727 MGB720727:MGC720727 MPX720727:MPY720727 MZT720727:MZU720727 NJP720727:NJQ720727 NTL720727:NTM720727 ODH720727:ODI720727 OND720727:ONE720727 OWZ720727:OXA720727 PGV720727:PGW720727 PQR720727:PQS720727 QAN720727:QAO720727 QKJ720727:QKK720727 QUF720727:QUG720727 REB720727:REC720727 RNX720727:RNY720727 RXT720727:RXU720727 SHP720727:SHQ720727 SRL720727:SRM720727 TBH720727:TBI720727 TLD720727:TLE720727 TUZ720727:TVA720727 UEV720727:UEW720727 UOR720727:UOS720727 UYN720727:UYO720727 VIJ720727:VIK720727 VSF720727:VSG720727 WCB720727:WCC720727 WLX720727:WLY720727 WVT720727:WVU720727 R786263:S786263 JH786263:JI786263 TD786263:TE786263 ACZ786263:ADA786263 AMV786263:AMW786263 AWR786263:AWS786263 BGN786263:BGO786263 BQJ786263:BQK786263 CAF786263:CAG786263 CKB786263:CKC786263 CTX786263:CTY786263 DDT786263:DDU786263 DNP786263:DNQ786263 DXL786263:DXM786263 EHH786263:EHI786263 ERD786263:ERE786263 FAZ786263:FBA786263 FKV786263:FKW786263 FUR786263:FUS786263 GEN786263:GEO786263 GOJ786263:GOK786263 GYF786263:GYG786263 HIB786263:HIC786263 HRX786263:HRY786263 IBT786263:IBU786263 ILP786263:ILQ786263 IVL786263:IVM786263 JFH786263:JFI786263 JPD786263:JPE786263 JYZ786263:JZA786263 KIV786263:KIW786263 KSR786263:KSS786263 LCN786263:LCO786263 LMJ786263:LMK786263 LWF786263:LWG786263 MGB786263:MGC786263 MPX786263:MPY786263 MZT786263:MZU786263 NJP786263:NJQ786263 NTL786263:NTM786263 ODH786263:ODI786263 OND786263:ONE786263 OWZ786263:OXA786263 PGV786263:PGW786263 PQR786263:PQS786263 QAN786263:QAO786263 QKJ786263:QKK786263 QUF786263:QUG786263 REB786263:REC786263 RNX786263:RNY786263 RXT786263:RXU786263 SHP786263:SHQ786263 SRL786263:SRM786263 TBH786263:TBI786263 TLD786263:TLE786263 TUZ786263:TVA786263 UEV786263:UEW786263 UOR786263:UOS786263 UYN786263:UYO786263 VIJ786263:VIK786263 VSF786263:VSG786263 WCB786263:WCC786263 WLX786263:WLY786263 WVT786263:WVU786263 R851799:S851799 JH851799:JI851799 TD851799:TE851799 ACZ851799:ADA851799 AMV851799:AMW851799 AWR851799:AWS851799 BGN851799:BGO851799 BQJ851799:BQK851799 CAF851799:CAG851799 CKB851799:CKC851799 CTX851799:CTY851799 DDT851799:DDU851799 DNP851799:DNQ851799 DXL851799:DXM851799 EHH851799:EHI851799 ERD851799:ERE851799 FAZ851799:FBA851799 FKV851799:FKW851799 FUR851799:FUS851799 GEN851799:GEO851799 GOJ851799:GOK851799 GYF851799:GYG851799 HIB851799:HIC851799 HRX851799:HRY851799 IBT851799:IBU851799 ILP851799:ILQ851799 IVL851799:IVM851799 JFH851799:JFI851799 JPD851799:JPE851799 JYZ851799:JZA851799 KIV851799:KIW851799 KSR851799:KSS851799 LCN851799:LCO851799 LMJ851799:LMK851799 LWF851799:LWG851799 MGB851799:MGC851799 MPX851799:MPY851799 MZT851799:MZU851799 NJP851799:NJQ851799 NTL851799:NTM851799 ODH851799:ODI851799 OND851799:ONE851799 OWZ851799:OXA851799 PGV851799:PGW851799 PQR851799:PQS851799 QAN851799:QAO851799 QKJ851799:QKK851799 QUF851799:QUG851799 REB851799:REC851799 RNX851799:RNY851799 RXT851799:RXU851799 SHP851799:SHQ851799 SRL851799:SRM851799 TBH851799:TBI851799 TLD851799:TLE851799 TUZ851799:TVA851799 UEV851799:UEW851799 UOR851799:UOS851799 UYN851799:UYO851799 VIJ851799:VIK851799 VSF851799:VSG851799 WCB851799:WCC851799 WLX851799:WLY851799 WVT851799:WVU851799 R917335:S917335 JH917335:JI917335 TD917335:TE917335 ACZ917335:ADA917335 AMV917335:AMW917335 AWR917335:AWS917335 BGN917335:BGO917335 BQJ917335:BQK917335 CAF917335:CAG917335 CKB917335:CKC917335 CTX917335:CTY917335 DDT917335:DDU917335 DNP917335:DNQ917335 DXL917335:DXM917335 EHH917335:EHI917335 ERD917335:ERE917335 FAZ917335:FBA917335 FKV917335:FKW917335 FUR917335:FUS917335 GEN917335:GEO917335 GOJ917335:GOK917335 GYF917335:GYG917335 HIB917335:HIC917335 HRX917335:HRY917335 IBT917335:IBU917335 ILP917335:ILQ917335 IVL917335:IVM917335 JFH917335:JFI917335 JPD917335:JPE917335 JYZ917335:JZA917335 KIV917335:KIW917335 KSR917335:KSS917335 LCN917335:LCO917335 LMJ917335:LMK917335 LWF917335:LWG917335 MGB917335:MGC917335 MPX917335:MPY917335 MZT917335:MZU917335 NJP917335:NJQ917335 NTL917335:NTM917335 ODH917335:ODI917335 OND917335:ONE917335 OWZ917335:OXA917335 PGV917335:PGW917335 PQR917335:PQS917335 QAN917335:QAO917335 QKJ917335:QKK917335 QUF917335:QUG917335 REB917335:REC917335 RNX917335:RNY917335 RXT917335:RXU917335 SHP917335:SHQ917335 SRL917335:SRM917335 TBH917335:TBI917335 TLD917335:TLE917335 TUZ917335:TVA917335 UEV917335:UEW917335 UOR917335:UOS917335 UYN917335:UYO917335 VIJ917335:VIK917335 VSF917335:VSG917335 WCB917335:WCC917335 WLX917335:WLY917335 WVT917335:WVU917335 R982871:S982871 JH982871:JI982871 TD982871:TE982871 ACZ982871:ADA982871 AMV982871:AMW982871 AWR982871:AWS982871 BGN982871:BGO982871 BQJ982871:BQK982871 CAF982871:CAG982871 CKB982871:CKC982871 CTX982871:CTY982871 DDT982871:DDU982871 DNP982871:DNQ982871 DXL982871:DXM982871 EHH982871:EHI982871 ERD982871:ERE982871 FAZ982871:FBA982871 FKV982871:FKW982871 FUR982871:FUS982871 GEN982871:GEO982871 GOJ982871:GOK982871 GYF982871:GYG982871 HIB982871:HIC982871 HRX982871:HRY982871 IBT982871:IBU982871 ILP982871:ILQ982871 IVL982871:IVM982871 JFH982871:JFI982871 JPD982871:JPE982871 JYZ982871:JZA982871 KIV982871:KIW982871 KSR982871:KSS982871 LCN982871:LCO982871 LMJ982871:LMK982871 LWF982871:LWG982871 MGB982871:MGC982871 MPX982871:MPY982871 MZT982871:MZU982871 NJP982871:NJQ982871 NTL982871:NTM982871 ODH982871:ODI982871 OND982871:ONE982871 OWZ982871:OXA982871 PGV982871:PGW982871 PQR982871:PQS982871 QAN982871:QAO982871 QKJ982871:QKK982871 QUF982871:QUG982871 REB982871:REC982871 RNX982871:RNY982871 RXT982871:RXU982871 SHP982871:SHQ982871 SRL982871:SRM982871 TBH982871:TBI982871 TLD982871:TLE982871 TUZ982871:TVA982871 UEV982871:UEW982871 UOR982871:UOS982871 UYN982871:UYO982871 VIJ982871:VIK982871 VSF982871:VSG982871 WCB982871:WCC982871 WLX982871:WLY982871 WVT982871:WVU982871">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R5:S5 JH5:JI5 TD5:TE5 ACZ5:ADA5 AMV5:AMW5 AWR5:AWS5 BGN5:BGO5 BQJ5:BQK5 CAF5:CAG5 CKB5:CKC5 CTX5:CTY5 DDT5:DDU5 DNP5:DNQ5 DXL5:DXM5 EHH5:EHI5 ERD5:ERE5 FAZ5:FBA5 FKV5:FKW5 FUR5:FUS5 GEN5:GEO5 GOJ5:GOK5 GYF5:GYG5 HIB5:HIC5 HRX5:HRY5 IBT5:IBU5 ILP5:ILQ5 IVL5:IVM5 JFH5:JFI5 JPD5:JPE5 JYZ5:JZA5 KIV5:KIW5 KSR5:KSS5 LCN5:LCO5 LMJ5:LMK5 LWF5:LWG5 MGB5:MGC5 MPX5:MPY5 MZT5:MZU5 NJP5:NJQ5 NTL5:NTM5 ODH5:ODI5 OND5:ONE5 OWZ5:OXA5 PGV5:PGW5 PQR5:PQS5 QAN5:QAO5 QKJ5:QKK5 QUF5:QUG5 REB5:REC5 RNX5:RNY5 RXT5:RXU5 SHP5:SHQ5 SRL5:SRM5 TBH5:TBI5 TLD5:TLE5 TUZ5:TVA5 UEV5:UEW5 UOR5:UOS5 UYN5:UYO5 VIJ5:VIK5 VSF5:VSG5 WCB5:WCC5 WLX5:WLY5 WVT5:WVU5 R65368:S65368 JH65368:JI65368 TD65368:TE65368 ACZ65368:ADA65368 AMV65368:AMW65368 AWR65368:AWS65368 BGN65368:BGO65368 BQJ65368:BQK65368 CAF65368:CAG65368 CKB65368:CKC65368 CTX65368:CTY65368 DDT65368:DDU65368 DNP65368:DNQ65368 DXL65368:DXM65368 EHH65368:EHI65368 ERD65368:ERE65368 FAZ65368:FBA65368 FKV65368:FKW65368 FUR65368:FUS65368 GEN65368:GEO65368 GOJ65368:GOK65368 GYF65368:GYG65368 HIB65368:HIC65368 HRX65368:HRY65368 IBT65368:IBU65368 ILP65368:ILQ65368 IVL65368:IVM65368 JFH65368:JFI65368 JPD65368:JPE65368 JYZ65368:JZA65368 KIV65368:KIW65368 KSR65368:KSS65368 LCN65368:LCO65368 LMJ65368:LMK65368 LWF65368:LWG65368 MGB65368:MGC65368 MPX65368:MPY65368 MZT65368:MZU65368 NJP65368:NJQ65368 NTL65368:NTM65368 ODH65368:ODI65368 OND65368:ONE65368 OWZ65368:OXA65368 PGV65368:PGW65368 PQR65368:PQS65368 QAN65368:QAO65368 QKJ65368:QKK65368 QUF65368:QUG65368 REB65368:REC65368 RNX65368:RNY65368 RXT65368:RXU65368 SHP65368:SHQ65368 SRL65368:SRM65368 TBH65368:TBI65368 TLD65368:TLE65368 TUZ65368:TVA65368 UEV65368:UEW65368 UOR65368:UOS65368 UYN65368:UYO65368 VIJ65368:VIK65368 VSF65368:VSG65368 WCB65368:WCC65368 WLX65368:WLY65368 WVT65368:WVU65368 R130904:S130904 JH130904:JI130904 TD130904:TE130904 ACZ130904:ADA130904 AMV130904:AMW130904 AWR130904:AWS130904 BGN130904:BGO130904 BQJ130904:BQK130904 CAF130904:CAG130904 CKB130904:CKC130904 CTX130904:CTY130904 DDT130904:DDU130904 DNP130904:DNQ130904 DXL130904:DXM130904 EHH130904:EHI130904 ERD130904:ERE130904 FAZ130904:FBA130904 FKV130904:FKW130904 FUR130904:FUS130904 GEN130904:GEO130904 GOJ130904:GOK130904 GYF130904:GYG130904 HIB130904:HIC130904 HRX130904:HRY130904 IBT130904:IBU130904 ILP130904:ILQ130904 IVL130904:IVM130904 JFH130904:JFI130904 JPD130904:JPE130904 JYZ130904:JZA130904 KIV130904:KIW130904 KSR130904:KSS130904 LCN130904:LCO130904 LMJ130904:LMK130904 LWF130904:LWG130904 MGB130904:MGC130904 MPX130904:MPY130904 MZT130904:MZU130904 NJP130904:NJQ130904 NTL130904:NTM130904 ODH130904:ODI130904 OND130904:ONE130904 OWZ130904:OXA130904 PGV130904:PGW130904 PQR130904:PQS130904 QAN130904:QAO130904 QKJ130904:QKK130904 QUF130904:QUG130904 REB130904:REC130904 RNX130904:RNY130904 RXT130904:RXU130904 SHP130904:SHQ130904 SRL130904:SRM130904 TBH130904:TBI130904 TLD130904:TLE130904 TUZ130904:TVA130904 UEV130904:UEW130904 UOR130904:UOS130904 UYN130904:UYO130904 VIJ130904:VIK130904 VSF130904:VSG130904 WCB130904:WCC130904 WLX130904:WLY130904 WVT130904:WVU130904 R196440:S196440 JH196440:JI196440 TD196440:TE196440 ACZ196440:ADA196440 AMV196440:AMW196440 AWR196440:AWS196440 BGN196440:BGO196440 BQJ196440:BQK196440 CAF196440:CAG196440 CKB196440:CKC196440 CTX196440:CTY196440 DDT196440:DDU196440 DNP196440:DNQ196440 DXL196440:DXM196440 EHH196440:EHI196440 ERD196440:ERE196440 FAZ196440:FBA196440 FKV196440:FKW196440 FUR196440:FUS196440 GEN196440:GEO196440 GOJ196440:GOK196440 GYF196440:GYG196440 HIB196440:HIC196440 HRX196440:HRY196440 IBT196440:IBU196440 ILP196440:ILQ196440 IVL196440:IVM196440 JFH196440:JFI196440 JPD196440:JPE196440 JYZ196440:JZA196440 KIV196440:KIW196440 KSR196440:KSS196440 LCN196440:LCO196440 LMJ196440:LMK196440 LWF196440:LWG196440 MGB196440:MGC196440 MPX196440:MPY196440 MZT196440:MZU196440 NJP196440:NJQ196440 NTL196440:NTM196440 ODH196440:ODI196440 OND196440:ONE196440 OWZ196440:OXA196440 PGV196440:PGW196440 PQR196440:PQS196440 QAN196440:QAO196440 QKJ196440:QKK196440 QUF196440:QUG196440 REB196440:REC196440 RNX196440:RNY196440 RXT196440:RXU196440 SHP196440:SHQ196440 SRL196440:SRM196440 TBH196440:TBI196440 TLD196440:TLE196440 TUZ196440:TVA196440 UEV196440:UEW196440 UOR196440:UOS196440 UYN196440:UYO196440 VIJ196440:VIK196440 VSF196440:VSG196440 WCB196440:WCC196440 WLX196440:WLY196440 WVT196440:WVU196440 R261976:S261976 JH261976:JI261976 TD261976:TE261976 ACZ261976:ADA261976 AMV261976:AMW261976 AWR261976:AWS261976 BGN261976:BGO261976 BQJ261976:BQK261976 CAF261976:CAG261976 CKB261976:CKC261976 CTX261976:CTY261976 DDT261976:DDU261976 DNP261976:DNQ261976 DXL261976:DXM261976 EHH261976:EHI261976 ERD261976:ERE261976 FAZ261976:FBA261976 FKV261976:FKW261976 FUR261976:FUS261976 GEN261976:GEO261976 GOJ261976:GOK261976 GYF261976:GYG261976 HIB261976:HIC261976 HRX261976:HRY261976 IBT261976:IBU261976 ILP261976:ILQ261976 IVL261976:IVM261976 JFH261976:JFI261976 JPD261976:JPE261976 JYZ261976:JZA261976 KIV261976:KIW261976 KSR261976:KSS261976 LCN261976:LCO261976 LMJ261976:LMK261976 LWF261976:LWG261976 MGB261976:MGC261976 MPX261976:MPY261976 MZT261976:MZU261976 NJP261976:NJQ261976 NTL261976:NTM261976 ODH261976:ODI261976 OND261976:ONE261976 OWZ261976:OXA261976 PGV261976:PGW261976 PQR261976:PQS261976 QAN261976:QAO261976 QKJ261976:QKK261976 QUF261976:QUG261976 REB261976:REC261976 RNX261976:RNY261976 RXT261976:RXU261976 SHP261976:SHQ261976 SRL261976:SRM261976 TBH261976:TBI261976 TLD261976:TLE261976 TUZ261976:TVA261976 UEV261976:UEW261976 UOR261976:UOS261976 UYN261976:UYO261976 VIJ261976:VIK261976 VSF261976:VSG261976 WCB261976:WCC261976 WLX261976:WLY261976 WVT261976:WVU261976 R327512:S327512 JH327512:JI327512 TD327512:TE327512 ACZ327512:ADA327512 AMV327512:AMW327512 AWR327512:AWS327512 BGN327512:BGO327512 BQJ327512:BQK327512 CAF327512:CAG327512 CKB327512:CKC327512 CTX327512:CTY327512 DDT327512:DDU327512 DNP327512:DNQ327512 DXL327512:DXM327512 EHH327512:EHI327512 ERD327512:ERE327512 FAZ327512:FBA327512 FKV327512:FKW327512 FUR327512:FUS327512 GEN327512:GEO327512 GOJ327512:GOK327512 GYF327512:GYG327512 HIB327512:HIC327512 HRX327512:HRY327512 IBT327512:IBU327512 ILP327512:ILQ327512 IVL327512:IVM327512 JFH327512:JFI327512 JPD327512:JPE327512 JYZ327512:JZA327512 KIV327512:KIW327512 KSR327512:KSS327512 LCN327512:LCO327512 LMJ327512:LMK327512 LWF327512:LWG327512 MGB327512:MGC327512 MPX327512:MPY327512 MZT327512:MZU327512 NJP327512:NJQ327512 NTL327512:NTM327512 ODH327512:ODI327512 OND327512:ONE327512 OWZ327512:OXA327512 PGV327512:PGW327512 PQR327512:PQS327512 QAN327512:QAO327512 QKJ327512:QKK327512 QUF327512:QUG327512 REB327512:REC327512 RNX327512:RNY327512 RXT327512:RXU327512 SHP327512:SHQ327512 SRL327512:SRM327512 TBH327512:TBI327512 TLD327512:TLE327512 TUZ327512:TVA327512 UEV327512:UEW327512 UOR327512:UOS327512 UYN327512:UYO327512 VIJ327512:VIK327512 VSF327512:VSG327512 WCB327512:WCC327512 WLX327512:WLY327512 WVT327512:WVU327512 R393048:S393048 JH393048:JI393048 TD393048:TE393048 ACZ393048:ADA393048 AMV393048:AMW393048 AWR393048:AWS393048 BGN393048:BGO393048 BQJ393048:BQK393048 CAF393048:CAG393048 CKB393048:CKC393048 CTX393048:CTY393048 DDT393048:DDU393048 DNP393048:DNQ393048 DXL393048:DXM393048 EHH393048:EHI393048 ERD393048:ERE393048 FAZ393048:FBA393048 FKV393048:FKW393048 FUR393048:FUS393048 GEN393048:GEO393048 GOJ393048:GOK393048 GYF393048:GYG393048 HIB393048:HIC393048 HRX393048:HRY393048 IBT393048:IBU393048 ILP393048:ILQ393048 IVL393048:IVM393048 JFH393048:JFI393048 JPD393048:JPE393048 JYZ393048:JZA393048 KIV393048:KIW393048 KSR393048:KSS393048 LCN393048:LCO393048 LMJ393048:LMK393048 LWF393048:LWG393048 MGB393048:MGC393048 MPX393048:MPY393048 MZT393048:MZU393048 NJP393048:NJQ393048 NTL393048:NTM393048 ODH393048:ODI393048 OND393048:ONE393048 OWZ393048:OXA393048 PGV393048:PGW393048 PQR393048:PQS393048 QAN393048:QAO393048 QKJ393048:QKK393048 QUF393048:QUG393048 REB393048:REC393048 RNX393048:RNY393048 RXT393048:RXU393048 SHP393048:SHQ393048 SRL393048:SRM393048 TBH393048:TBI393048 TLD393048:TLE393048 TUZ393048:TVA393048 UEV393048:UEW393048 UOR393048:UOS393048 UYN393048:UYO393048 VIJ393048:VIK393048 VSF393048:VSG393048 WCB393048:WCC393048 WLX393048:WLY393048 WVT393048:WVU393048 R458584:S458584 JH458584:JI458584 TD458584:TE458584 ACZ458584:ADA458584 AMV458584:AMW458584 AWR458584:AWS458584 BGN458584:BGO458584 BQJ458584:BQK458584 CAF458584:CAG458584 CKB458584:CKC458584 CTX458584:CTY458584 DDT458584:DDU458584 DNP458584:DNQ458584 DXL458584:DXM458584 EHH458584:EHI458584 ERD458584:ERE458584 FAZ458584:FBA458584 FKV458584:FKW458584 FUR458584:FUS458584 GEN458584:GEO458584 GOJ458584:GOK458584 GYF458584:GYG458584 HIB458584:HIC458584 HRX458584:HRY458584 IBT458584:IBU458584 ILP458584:ILQ458584 IVL458584:IVM458584 JFH458584:JFI458584 JPD458584:JPE458584 JYZ458584:JZA458584 KIV458584:KIW458584 KSR458584:KSS458584 LCN458584:LCO458584 LMJ458584:LMK458584 LWF458584:LWG458584 MGB458584:MGC458584 MPX458584:MPY458584 MZT458584:MZU458584 NJP458584:NJQ458584 NTL458584:NTM458584 ODH458584:ODI458584 OND458584:ONE458584 OWZ458584:OXA458584 PGV458584:PGW458584 PQR458584:PQS458584 QAN458584:QAO458584 QKJ458584:QKK458584 QUF458584:QUG458584 REB458584:REC458584 RNX458584:RNY458584 RXT458584:RXU458584 SHP458584:SHQ458584 SRL458584:SRM458584 TBH458584:TBI458584 TLD458584:TLE458584 TUZ458584:TVA458584 UEV458584:UEW458584 UOR458584:UOS458584 UYN458584:UYO458584 VIJ458584:VIK458584 VSF458584:VSG458584 WCB458584:WCC458584 WLX458584:WLY458584 WVT458584:WVU458584 R524120:S524120 JH524120:JI524120 TD524120:TE524120 ACZ524120:ADA524120 AMV524120:AMW524120 AWR524120:AWS524120 BGN524120:BGO524120 BQJ524120:BQK524120 CAF524120:CAG524120 CKB524120:CKC524120 CTX524120:CTY524120 DDT524120:DDU524120 DNP524120:DNQ524120 DXL524120:DXM524120 EHH524120:EHI524120 ERD524120:ERE524120 FAZ524120:FBA524120 FKV524120:FKW524120 FUR524120:FUS524120 GEN524120:GEO524120 GOJ524120:GOK524120 GYF524120:GYG524120 HIB524120:HIC524120 HRX524120:HRY524120 IBT524120:IBU524120 ILP524120:ILQ524120 IVL524120:IVM524120 JFH524120:JFI524120 JPD524120:JPE524120 JYZ524120:JZA524120 KIV524120:KIW524120 KSR524120:KSS524120 LCN524120:LCO524120 LMJ524120:LMK524120 LWF524120:LWG524120 MGB524120:MGC524120 MPX524120:MPY524120 MZT524120:MZU524120 NJP524120:NJQ524120 NTL524120:NTM524120 ODH524120:ODI524120 OND524120:ONE524120 OWZ524120:OXA524120 PGV524120:PGW524120 PQR524120:PQS524120 QAN524120:QAO524120 QKJ524120:QKK524120 QUF524120:QUG524120 REB524120:REC524120 RNX524120:RNY524120 RXT524120:RXU524120 SHP524120:SHQ524120 SRL524120:SRM524120 TBH524120:TBI524120 TLD524120:TLE524120 TUZ524120:TVA524120 UEV524120:UEW524120 UOR524120:UOS524120 UYN524120:UYO524120 VIJ524120:VIK524120 VSF524120:VSG524120 WCB524120:WCC524120 WLX524120:WLY524120 WVT524120:WVU524120 R589656:S589656 JH589656:JI589656 TD589656:TE589656 ACZ589656:ADA589656 AMV589656:AMW589656 AWR589656:AWS589656 BGN589656:BGO589656 BQJ589656:BQK589656 CAF589656:CAG589656 CKB589656:CKC589656 CTX589656:CTY589656 DDT589656:DDU589656 DNP589656:DNQ589656 DXL589656:DXM589656 EHH589656:EHI589656 ERD589656:ERE589656 FAZ589656:FBA589656 FKV589656:FKW589656 FUR589656:FUS589656 GEN589656:GEO589656 GOJ589656:GOK589656 GYF589656:GYG589656 HIB589656:HIC589656 HRX589656:HRY589656 IBT589656:IBU589656 ILP589656:ILQ589656 IVL589656:IVM589656 JFH589656:JFI589656 JPD589656:JPE589656 JYZ589656:JZA589656 KIV589656:KIW589656 KSR589656:KSS589656 LCN589656:LCO589656 LMJ589656:LMK589656 LWF589656:LWG589656 MGB589656:MGC589656 MPX589656:MPY589656 MZT589656:MZU589656 NJP589656:NJQ589656 NTL589656:NTM589656 ODH589656:ODI589656 OND589656:ONE589656 OWZ589656:OXA589656 PGV589656:PGW589656 PQR589656:PQS589656 QAN589656:QAO589656 QKJ589656:QKK589656 QUF589656:QUG589656 REB589656:REC589656 RNX589656:RNY589656 RXT589656:RXU589656 SHP589656:SHQ589656 SRL589656:SRM589656 TBH589656:TBI589656 TLD589656:TLE589656 TUZ589656:TVA589656 UEV589656:UEW589656 UOR589656:UOS589656 UYN589656:UYO589656 VIJ589656:VIK589656 VSF589656:VSG589656 WCB589656:WCC589656 WLX589656:WLY589656 WVT589656:WVU589656 R655192:S655192 JH655192:JI655192 TD655192:TE655192 ACZ655192:ADA655192 AMV655192:AMW655192 AWR655192:AWS655192 BGN655192:BGO655192 BQJ655192:BQK655192 CAF655192:CAG655192 CKB655192:CKC655192 CTX655192:CTY655192 DDT655192:DDU655192 DNP655192:DNQ655192 DXL655192:DXM655192 EHH655192:EHI655192 ERD655192:ERE655192 FAZ655192:FBA655192 FKV655192:FKW655192 FUR655192:FUS655192 GEN655192:GEO655192 GOJ655192:GOK655192 GYF655192:GYG655192 HIB655192:HIC655192 HRX655192:HRY655192 IBT655192:IBU655192 ILP655192:ILQ655192 IVL655192:IVM655192 JFH655192:JFI655192 JPD655192:JPE655192 JYZ655192:JZA655192 KIV655192:KIW655192 KSR655192:KSS655192 LCN655192:LCO655192 LMJ655192:LMK655192 LWF655192:LWG655192 MGB655192:MGC655192 MPX655192:MPY655192 MZT655192:MZU655192 NJP655192:NJQ655192 NTL655192:NTM655192 ODH655192:ODI655192 OND655192:ONE655192 OWZ655192:OXA655192 PGV655192:PGW655192 PQR655192:PQS655192 QAN655192:QAO655192 QKJ655192:QKK655192 QUF655192:QUG655192 REB655192:REC655192 RNX655192:RNY655192 RXT655192:RXU655192 SHP655192:SHQ655192 SRL655192:SRM655192 TBH655192:TBI655192 TLD655192:TLE655192 TUZ655192:TVA655192 UEV655192:UEW655192 UOR655192:UOS655192 UYN655192:UYO655192 VIJ655192:VIK655192 VSF655192:VSG655192 WCB655192:WCC655192 WLX655192:WLY655192 WVT655192:WVU655192 R720728:S720728 JH720728:JI720728 TD720728:TE720728 ACZ720728:ADA720728 AMV720728:AMW720728 AWR720728:AWS720728 BGN720728:BGO720728 BQJ720728:BQK720728 CAF720728:CAG720728 CKB720728:CKC720728 CTX720728:CTY720728 DDT720728:DDU720728 DNP720728:DNQ720728 DXL720728:DXM720728 EHH720728:EHI720728 ERD720728:ERE720728 FAZ720728:FBA720728 FKV720728:FKW720728 FUR720728:FUS720728 GEN720728:GEO720728 GOJ720728:GOK720728 GYF720728:GYG720728 HIB720728:HIC720728 HRX720728:HRY720728 IBT720728:IBU720728 ILP720728:ILQ720728 IVL720728:IVM720728 JFH720728:JFI720728 JPD720728:JPE720728 JYZ720728:JZA720728 KIV720728:KIW720728 KSR720728:KSS720728 LCN720728:LCO720728 LMJ720728:LMK720728 LWF720728:LWG720728 MGB720728:MGC720728 MPX720728:MPY720728 MZT720728:MZU720728 NJP720728:NJQ720728 NTL720728:NTM720728 ODH720728:ODI720728 OND720728:ONE720728 OWZ720728:OXA720728 PGV720728:PGW720728 PQR720728:PQS720728 QAN720728:QAO720728 QKJ720728:QKK720728 QUF720728:QUG720728 REB720728:REC720728 RNX720728:RNY720728 RXT720728:RXU720728 SHP720728:SHQ720728 SRL720728:SRM720728 TBH720728:TBI720728 TLD720728:TLE720728 TUZ720728:TVA720728 UEV720728:UEW720728 UOR720728:UOS720728 UYN720728:UYO720728 VIJ720728:VIK720728 VSF720728:VSG720728 WCB720728:WCC720728 WLX720728:WLY720728 WVT720728:WVU720728 R786264:S786264 JH786264:JI786264 TD786264:TE786264 ACZ786264:ADA786264 AMV786264:AMW786264 AWR786264:AWS786264 BGN786264:BGO786264 BQJ786264:BQK786264 CAF786264:CAG786264 CKB786264:CKC786264 CTX786264:CTY786264 DDT786264:DDU786264 DNP786264:DNQ786264 DXL786264:DXM786264 EHH786264:EHI786264 ERD786264:ERE786264 FAZ786264:FBA786264 FKV786264:FKW786264 FUR786264:FUS786264 GEN786264:GEO786264 GOJ786264:GOK786264 GYF786264:GYG786264 HIB786264:HIC786264 HRX786264:HRY786264 IBT786264:IBU786264 ILP786264:ILQ786264 IVL786264:IVM786264 JFH786264:JFI786264 JPD786264:JPE786264 JYZ786264:JZA786264 KIV786264:KIW786264 KSR786264:KSS786264 LCN786264:LCO786264 LMJ786264:LMK786264 LWF786264:LWG786264 MGB786264:MGC786264 MPX786264:MPY786264 MZT786264:MZU786264 NJP786264:NJQ786264 NTL786264:NTM786264 ODH786264:ODI786264 OND786264:ONE786264 OWZ786264:OXA786264 PGV786264:PGW786264 PQR786264:PQS786264 QAN786264:QAO786264 QKJ786264:QKK786264 QUF786264:QUG786264 REB786264:REC786264 RNX786264:RNY786264 RXT786264:RXU786264 SHP786264:SHQ786264 SRL786264:SRM786264 TBH786264:TBI786264 TLD786264:TLE786264 TUZ786264:TVA786264 UEV786264:UEW786264 UOR786264:UOS786264 UYN786264:UYO786264 VIJ786264:VIK786264 VSF786264:VSG786264 WCB786264:WCC786264 WLX786264:WLY786264 WVT786264:WVU786264 R851800:S851800 JH851800:JI851800 TD851800:TE851800 ACZ851800:ADA851800 AMV851800:AMW851800 AWR851800:AWS851800 BGN851800:BGO851800 BQJ851800:BQK851800 CAF851800:CAG851800 CKB851800:CKC851800 CTX851800:CTY851800 DDT851800:DDU851800 DNP851800:DNQ851800 DXL851800:DXM851800 EHH851800:EHI851800 ERD851800:ERE851800 FAZ851800:FBA851800 FKV851800:FKW851800 FUR851800:FUS851800 GEN851800:GEO851800 GOJ851800:GOK851800 GYF851800:GYG851800 HIB851800:HIC851800 HRX851800:HRY851800 IBT851800:IBU851800 ILP851800:ILQ851800 IVL851800:IVM851800 JFH851800:JFI851800 JPD851800:JPE851800 JYZ851800:JZA851800 KIV851800:KIW851800 KSR851800:KSS851800 LCN851800:LCO851800 LMJ851800:LMK851800 LWF851800:LWG851800 MGB851800:MGC851800 MPX851800:MPY851800 MZT851800:MZU851800 NJP851800:NJQ851800 NTL851800:NTM851800 ODH851800:ODI851800 OND851800:ONE851800 OWZ851800:OXA851800 PGV851800:PGW851800 PQR851800:PQS851800 QAN851800:QAO851800 QKJ851800:QKK851800 QUF851800:QUG851800 REB851800:REC851800 RNX851800:RNY851800 RXT851800:RXU851800 SHP851800:SHQ851800 SRL851800:SRM851800 TBH851800:TBI851800 TLD851800:TLE851800 TUZ851800:TVA851800 UEV851800:UEW851800 UOR851800:UOS851800 UYN851800:UYO851800 VIJ851800:VIK851800 VSF851800:VSG851800 WCB851800:WCC851800 WLX851800:WLY851800 WVT851800:WVU851800 R917336:S917336 JH917336:JI917336 TD917336:TE917336 ACZ917336:ADA917336 AMV917336:AMW917336 AWR917336:AWS917336 BGN917336:BGO917336 BQJ917336:BQK917336 CAF917336:CAG917336 CKB917336:CKC917336 CTX917336:CTY917336 DDT917336:DDU917336 DNP917336:DNQ917336 DXL917336:DXM917336 EHH917336:EHI917336 ERD917336:ERE917336 FAZ917336:FBA917336 FKV917336:FKW917336 FUR917336:FUS917336 GEN917336:GEO917336 GOJ917336:GOK917336 GYF917336:GYG917336 HIB917336:HIC917336 HRX917336:HRY917336 IBT917336:IBU917336 ILP917336:ILQ917336 IVL917336:IVM917336 JFH917336:JFI917336 JPD917336:JPE917336 JYZ917336:JZA917336 KIV917336:KIW917336 KSR917336:KSS917336 LCN917336:LCO917336 LMJ917336:LMK917336 LWF917336:LWG917336 MGB917336:MGC917336 MPX917336:MPY917336 MZT917336:MZU917336 NJP917336:NJQ917336 NTL917336:NTM917336 ODH917336:ODI917336 OND917336:ONE917336 OWZ917336:OXA917336 PGV917336:PGW917336 PQR917336:PQS917336 QAN917336:QAO917336 QKJ917336:QKK917336 QUF917336:QUG917336 REB917336:REC917336 RNX917336:RNY917336 RXT917336:RXU917336 SHP917336:SHQ917336 SRL917336:SRM917336 TBH917336:TBI917336 TLD917336:TLE917336 TUZ917336:TVA917336 UEV917336:UEW917336 UOR917336:UOS917336 UYN917336:UYO917336 VIJ917336:VIK917336 VSF917336:VSG917336 WCB917336:WCC917336 WLX917336:WLY917336 WVT917336:WVU917336 R982872:S982872 JH982872:JI982872 TD982872:TE982872 ACZ982872:ADA982872 AMV982872:AMW982872 AWR982872:AWS982872 BGN982872:BGO982872 BQJ982872:BQK982872 CAF982872:CAG982872 CKB982872:CKC982872 CTX982872:CTY982872 DDT982872:DDU982872 DNP982872:DNQ982872 DXL982872:DXM982872 EHH982872:EHI982872 ERD982872:ERE982872 FAZ982872:FBA982872 FKV982872:FKW982872 FUR982872:FUS982872 GEN982872:GEO982872 GOJ982872:GOK982872 GYF982872:GYG982872 HIB982872:HIC982872 HRX982872:HRY982872 IBT982872:IBU982872 ILP982872:ILQ982872 IVL982872:IVM982872 JFH982872:JFI982872 JPD982872:JPE982872 JYZ982872:JZA982872 KIV982872:KIW982872 KSR982872:KSS982872 LCN982872:LCO982872 LMJ982872:LMK982872 LWF982872:LWG982872 MGB982872:MGC982872 MPX982872:MPY982872 MZT982872:MZU982872 NJP982872:NJQ982872 NTL982872:NTM982872 ODH982872:ODI982872 OND982872:ONE982872 OWZ982872:OXA982872 PGV982872:PGW982872 PQR982872:PQS982872 QAN982872:QAO982872 QKJ982872:QKK982872 QUF982872:QUG982872 REB982872:REC982872 RNX982872:RNY982872 RXT982872:RXU982872 SHP982872:SHQ982872 SRL982872:SRM982872 TBH982872:TBI982872 TLD982872:TLE982872 TUZ982872:TVA982872 UEV982872:UEW982872 UOR982872:UOS982872 UYN982872:UYO982872 VIJ982872:VIK982872 VSF982872:VSG982872 WCB982872:WCC982872 WLX982872:WLY982872 WVT982872:WVU982872">
      <formula1>0</formula1>
      <formula2>0</formula2>
    </dataValidation>
    <dataValidation operator="greaterThanOrEqual" allowBlank="1" showErrorMessage="1" errorTitle="Erro de valores" error="Digite um valor igual a 0% ou 2%." sqref="S22 JI22 TE22 ADA22 AMW22 AWS22 BGO22 BQK22 CAG22 CKC22 CTY22 DDU22 DNQ22 DXM22 EHI22 ERE22 FBA22 FKW22 FUS22 GEO22 GOK22 GYG22 HIC22 HRY22 IBU22 ILQ22 IVM22 JFI22 JPE22 JZA22 KIW22 KSS22 LCO22 LMK22 LWG22 MGC22 MPY22 MZU22 NJQ22 NTM22 ODI22 ONE22 OXA22 PGW22 PQS22 QAO22 QKK22 QUG22 REC22 RNY22 RXU22 SHQ22 SRM22 TBI22 TLE22 TVA22 UEW22 UOS22 UYO22 VIK22 VSG22 WCC22 WLY22 WVU22 S65385 JI65385 TE65385 ADA65385 AMW65385 AWS65385 BGO65385 BQK65385 CAG65385 CKC65385 CTY65385 DDU65385 DNQ65385 DXM65385 EHI65385 ERE65385 FBA65385 FKW65385 FUS65385 GEO65385 GOK65385 GYG65385 HIC65385 HRY65385 IBU65385 ILQ65385 IVM65385 JFI65385 JPE65385 JZA65385 KIW65385 KSS65385 LCO65385 LMK65385 LWG65385 MGC65385 MPY65385 MZU65385 NJQ65385 NTM65385 ODI65385 ONE65385 OXA65385 PGW65385 PQS65385 QAO65385 QKK65385 QUG65385 REC65385 RNY65385 RXU65385 SHQ65385 SRM65385 TBI65385 TLE65385 TVA65385 UEW65385 UOS65385 UYO65385 VIK65385 VSG65385 WCC65385 WLY65385 WVU65385 S130921 JI130921 TE130921 ADA130921 AMW130921 AWS130921 BGO130921 BQK130921 CAG130921 CKC130921 CTY130921 DDU130921 DNQ130921 DXM130921 EHI130921 ERE130921 FBA130921 FKW130921 FUS130921 GEO130921 GOK130921 GYG130921 HIC130921 HRY130921 IBU130921 ILQ130921 IVM130921 JFI130921 JPE130921 JZA130921 KIW130921 KSS130921 LCO130921 LMK130921 LWG130921 MGC130921 MPY130921 MZU130921 NJQ130921 NTM130921 ODI130921 ONE130921 OXA130921 PGW130921 PQS130921 QAO130921 QKK130921 QUG130921 REC130921 RNY130921 RXU130921 SHQ130921 SRM130921 TBI130921 TLE130921 TVA130921 UEW130921 UOS130921 UYO130921 VIK130921 VSG130921 WCC130921 WLY130921 WVU130921 S196457 JI196457 TE196457 ADA196457 AMW196457 AWS196457 BGO196457 BQK196457 CAG196457 CKC196457 CTY196457 DDU196457 DNQ196457 DXM196457 EHI196457 ERE196457 FBA196457 FKW196457 FUS196457 GEO196457 GOK196457 GYG196457 HIC196457 HRY196457 IBU196457 ILQ196457 IVM196457 JFI196457 JPE196457 JZA196457 KIW196457 KSS196457 LCO196457 LMK196457 LWG196457 MGC196457 MPY196457 MZU196457 NJQ196457 NTM196457 ODI196457 ONE196457 OXA196457 PGW196457 PQS196457 QAO196457 QKK196457 QUG196457 REC196457 RNY196457 RXU196457 SHQ196457 SRM196457 TBI196457 TLE196457 TVA196457 UEW196457 UOS196457 UYO196457 VIK196457 VSG196457 WCC196457 WLY196457 WVU196457 S261993 JI261993 TE261993 ADA261993 AMW261993 AWS261993 BGO261993 BQK261993 CAG261993 CKC261993 CTY261993 DDU261993 DNQ261993 DXM261993 EHI261993 ERE261993 FBA261993 FKW261993 FUS261993 GEO261993 GOK261993 GYG261993 HIC261993 HRY261993 IBU261993 ILQ261993 IVM261993 JFI261993 JPE261993 JZA261993 KIW261993 KSS261993 LCO261993 LMK261993 LWG261993 MGC261993 MPY261993 MZU261993 NJQ261993 NTM261993 ODI261993 ONE261993 OXA261993 PGW261993 PQS261993 QAO261993 QKK261993 QUG261993 REC261993 RNY261993 RXU261993 SHQ261993 SRM261993 TBI261993 TLE261993 TVA261993 UEW261993 UOS261993 UYO261993 VIK261993 VSG261993 WCC261993 WLY261993 WVU261993 S327529 JI327529 TE327529 ADA327529 AMW327529 AWS327529 BGO327529 BQK327529 CAG327529 CKC327529 CTY327529 DDU327529 DNQ327529 DXM327529 EHI327529 ERE327529 FBA327529 FKW327529 FUS327529 GEO327529 GOK327529 GYG327529 HIC327529 HRY327529 IBU327529 ILQ327529 IVM327529 JFI327529 JPE327529 JZA327529 KIW327529 KSS327529 LCO327529 LMK327529 LWG327529 MGC327529 MPY327529 MZU327529 NJQ327529 NTM327529 ODI327529 ONE327529 OXA327529 PGW327529 PQS327529 QAO327529 QKK327529 QUG327529 REC327529 RNY327529 RXU327529 SHQ327529 SRM327529 TBI327529 TLE327529 TVA327529 UEW327529 UOS327529 UYO327529 VIK327529 VSG327529 WCC327529 WLY327529 WVU327529 S393065 JI393065 TE393065 ADA393065 AMW393065 AWS393065 BGO393065 BQK393065 CAG393065 CKC393065 CTY393065 DDU393065 DNQ393065 DXM393065 EHI393065 ERE393065 FBA393065 FKW393065 FUS393065 GEO393065 GOK393065 GYG393065 HIC393065 HRY393065 IBU393065 ILQ393065 IVM393065 JFI393065 JPE393065 JZA393065 KIW393065 KSS393065 LCO393065 LMK393065 LWG393065 MGC393065 MPY393065 MZU393065 NJQ393065 NTM393065 ODI393065 ONE393065 OXA393065 PGW393065 PQS393065 QAO393065 QKK393065 QUG393065 REC393065 RNY393065 RXU393065 SHQ393065 SRM393065 TBI393065 TLE393065 TVA393065 UEW393065 UOS393065 UYO393065 VIK393065 VSG393065 WCC393065 WLY393065 WVU393065 S458601 JI458601 TE458601 ADA458601 AMW458601 AWS458601 BGO458601 BQK458601 CAG458601 CKC458601 CTY458601 DDU458601 DNQ458601 DXM458601 EHI458601 ERE458601 FBA458601 FKW458601 FUS458601 GEO458601 GOK458601 GYG458601 HIC458601 HRY458601 IBU458601 ILQ458601 IVM458601 JFI458601 JPE458601 JZA458601 KIW458601 KSS458601 LCO458601 LMK458601 LWG458601 MGC458601 MPY458601 MZU458601 NJQ458601 NTM458601 ODI458601 ONE458601 OXA458601 PGW458601 PQS458601 QAO458601 QKK458601 QUG458601 REC458601 RNY458601 RXU458601 SHQ458601 SRM458601 TBI458601 TLE458601 TVA458601 UEW458601 UOS458601 UYO458601 VIK458601 VSG458601 WCC458601 WLY458601 WVU458601 S524137 JI524137 TE524137 ADA524137 AMW524137 AWS524137 BGO524137 BQK524137 CAG524137 CKC524137 CTY524137 DDU524137 DNQ524137 DXM524137 EHI524137 ERE524137 FBA524137 FKW524137 FUS524137 GEO524137 GOK524137 GYG524137 HIC524137 HRY524137 IBU524137 ILQ524137 IVM524137 JFI524137 JPE524137 JZA524137 KIW524137 KSS524137 LCO524137 LMK524137 LWG524137 MGC524137 MPY524137 MZU524137 NJQ524137 NTM524137 ODI524137 ONE524137 OXA524137 PGW524137 PQS524137 QAO524137 QKK524137 QUG524137 REC524137 RNY524137 RXU524137 SHQ524137 SRM524137 TBI524137 TLE524137 TVA524137 UEW524137 UOS524137 UYO524137 VIK524137 VSG524137 WCC524137 WLY524137 WVU524137 S589673 JI589673 TE589673 ADA589673 AMW589673 AWS589673 BGO589673 BQK589673 CAG589673 CKC589673 CTY589673 DDU589673 DNQ589673 DXM589673 EHI589673 ERE589673 FBA589673 FKW589673 FUS589673 GEO589673 GOK589673 GYG589673 HIC589673 HRY589673 IBU589673 ILQ589673 IVM589673 JFI589673 JPE589673 JZA589673 KIW589673 KSS589673 LCO589673 LMK589673 LWG589673 MGC589673 MPY589673 MZU589673 NJQ589673 NTM589673 ODI589673 ONE589673 OXA589673 PGW589673 PQS589673 QAO589673 QKK589673 QUG589673 REC589673 RNY589673 RXU589673 SHQ589673 SRM589673 TBI589673 TLE589673 TVA589673 UEW589673 UOS589673 UYO589673 VIK589673 VSG589673 WCC589673 WLY589673 WVU589673 S655209 JI655209 TE655209 ADA655209 AMW655209 AWS655209 BGO655209 BQK655209 CAG655209 CKC655209 CTY655209 DDU655209 DNQ655209 DXM655209 EHI655209 ERE655209 FBA655209 FKW655209 FUS655209 GEO655209 GOK655209 GYG655209 HIC655209 HRY655209 IBU655209 ILQ655209 IVM655209 JFI655209 JPE655209 JZA655209 KIW655209 KSS655209 LCO655209 LMK655209 LWG655209 MGC655209 MPY655209 MZU655209 NJQ655209 NTM655209 ODI655209 ONE655209 OXA655209 PGW655209 PQS655209 QAO655209 QKK655209 QUG655209 REC655209 RNY655209 RXU655209 SHQ655209 SRM655209 TBI655209 TLE655209 TVA655209 UEW655209 UOS655209 UYO655209 VIK655209 VSG655209 WCC655209 WLY655209 WVU655209 S720745 JI720745 TE720745 ADA720745 AMW720745 AWS720745 BGO720745 BQK720745 CAG720745 CKC720745 CTY720745 DDU720745 DNQ720745 DXM720745 EHI720745 ERE720745 FBA720745 FKW720745 FUS720745 GEO720745 GOK720745 GYG720745 HIC720745 HRY720745 IBU720745 ILQ720745 IVM720745 JFI720745 JPE720745 JZA720745 KIW720745 KSS720745 LCO720745 LMK720745 LWG720745 MGC720745 MPY720745 MZU720745 NJQ720745 NTM720745 ODI720745 ONE720745 OXA720745 PGW720745 PQS720745 QAO720745 QKK720745 QUG720745 REC720745 RNY720745 RXU720745 SHQ720745 SRM720745 TBI720745 TLE720745 TVA720745 UEW720745 UOS720745 UYO720745 VIK720745 VSG720745 WCC720745 WLY720745 WVU720745 S786281 JI786281 TE786281 ADA786281 AMW786281 AWS786281 BGO786281 BQK786281 CAG786281 CKC786281 CTY786281 DDU786281 DNQ786281 DXM786281 EHI786281 ERE786281 FBA786281 FKW786281 FUS786281 GEO786281 GOK786281 GYG786281 HIC786281 HRY786281 IBU786281 ILQ786281 IVM786281 JFI786281 JPE786281 JZA786281 KIW786281 KSS786281 LCO786281 LMK786281 LWG786281 MGC786281 MPY786281 MZU786281 NJQ786281 NTM786281 ODI786281 ONE786281 OXA786281 PGW786281 PQS786281 QAO786281 QKK786281 QUG786281 REC786281 RNY786281 RXU786281 SHQ786281 SRM786281 TBI786281 TLE786281 TVA786281 UEW786281 UOS786281 UYO786281 VIK786281 VSG786281 WCC786281 WLY786281 WVU786281 S851817 JI851817 TE851817 ADA851817 AMW851817 AWS851817 BGO851817 BQK851817 CAG851817 CKC851817 CTY851817 DDU851817 DNQ851817 DXM851817 EHI851817 ERE851817 FBA851817 FKW851817 FUS851817 GEO851817 GOK851817 GYG851817 HIC851817 HRY851817 IBU851817 ILQ851817 IVM851817 JFI851817 JPE851817 JZA851817 KIW851817 KSS851817 LCO851817 LMK851817 LWG851817 MGC851817 MPY851817 MZU851817 NJQ851817 NTM851817 ODI851817 ONE851817 OXA851817 PGW851817 PQS851817 QAO851817 QKK851817 QUG851817 REC851817 RNY851817 RXU851817 SHQ851817 SRM851817 TBI851817 TLE851817 TVA851817 UEW851817 UOS851817 UYO851817 VIK851817 VSG851817 WCC851817 WLY851817 WVU851817 S917353 JI917353 TE917353 ADA917353 AMW917353 AWS917353 BGO917353 BQK917353 CAG917353 CKC917353 CTY917353 DDU917353 DNQ917353 DXM917353 EHI917353 ERE917353 FBA917353 FKW917353 FUS917353 GEO917353 GOK917353 GYG917353 HIC917353 HRY917353 IBU917353 ILQ917353 IVM917353 JFI917353 JPE917353 JZA917353 KIW917353 KSS917353 LCO917353 LMK917353 LWG917353 MGC917353 MPY917353 MZU917353 NJQ917353 NTM917353 ODI917353 ONE917353 OXA917353 PGW917353 PQS917353 QAO917353 QKK917353 QUG917353 REC917353 RNY917353 RXU917353 SHQ917353 SRM917353 TBI917353 TLE917353 TVA917353 UEW917353 UOS917353 UYO917353 VIK917353 VSG917353 WCC917353 WLY917353 WVU917353 S982889 JI982889 TE982889 ADA982889 AMW982889 AWS982889 BGO982889 BQK982889 CAG982889 CKC982889 CTY982889 DDU982889 DNQ982889 DXM982889 EHI982889 ERE982889 FBA982889 FKW982889 FUS982889 GEO982889 GOK982889 GYG982889 HIC982889 HRY982889 IBU982889 ILQ982889 IVM982889 JFI982889 JPE982889 JZA982889 KIW982889 KSS982889 LCO982889 LMK982889 LWG982889 MGC982889 MPY982889 MZU982889 NJQ982889 NTM982889 ODI982889 ONE982889 OXA982889 PGW982889 PQS982889 QAO982889 QKK982889 QUG982889 REC982889 RNY982889 RXU982889 SHQ982889 SRM982889 TBI982889 TLE982889 TVA982889 UEW982889 UOS982889 UYO982889 VIK982889 VSG982889 WCC982889 WLY982889 WVU982889 S65425 JI65425 TE65425 ADA65425 AMW65425 AWS65425 BGO65425 BQK65425 CAG65425 CKC65425 CTY65425 DDU65425 DNQ65425 DXM65425 EHI65425 ERE65425 FBA65425 FKW65425 FUS65425 GEO65425 GOK65425 GYG65425 HIC65425 HRY65425 IBU65425 ILQ65425 IVM65425 JFI65425 JPE65425 JZA65425 KIW65425 KSS65425 LCO65425 LMK65425 LWG65425 MGC65425 MPY65425 MZU65425 NJQ65425 NTM65425 ODI65425 ONE65425 OXA65425 PGW65425 PQS65425 QAO65425 QKK65425 QUG65425 REC65425 RNY65425 RXU65425 SHQ65425 SRM65425 TBI65425 TLE65425 TVA65425 UEW65425 UOS65425 UYO65425 VIK65425 VSG65425 WCC65425 WLY65425 WVU65425 S130961 JI130961 TE130961 ADA130961 AMW130961 AWS130961 BGO130961 BQK130961 CAG130961 CKC130961 CTY130961 DDU130961 DNQ130961 DXM130961 EHI130961 ERE130961 FBA130961 FKW130961 FUS130961 GEO130961 GOK130961 GYG130961 HIC130961 HRY130961 IBU130961 ILQ130961 IVM130961 JFI130961 JPE130961 JZA130961 KIW130961 KSS130961 LCO130961 LMK130961 LWG130961 MGC130961 MPY130961 MZU130961 NJQ130961 NTM130961 ODI130961 ONE130961 OXA130961 PGW130961 PQS130961 QAO130961 QKK130961 QUG130961 REC130961 RNY130961 RXU130961 SHQ130961 SRM130961 TBI130961 TLE130961 TVA130961 UEW130961 UOS130961 UYO130961 VIK130961 VSG130961 WCC130961 WLY130961 WVU130961 S196497 JI196497 TE196497 ADA196497 AMW196497 AWS196497 BGO196497 BQK196497 CAG196497 CKC196497 CTY196497 DDU196497 DNQ196497 DXM196497 EHI196497 ERE196497 FBA196497 FKW196497 FUS196497 GEO196497 GOK196497 GYG196497 HIC196497 HRY196497 IBU196497 ILQ196497 IVM196497 JFI196497 JPE196497 JZA196497 KIW196497 KSS196497 LCO196497 LMK196497 LWG196497 MGC196497 MPY196497 MZU196497 NJQ196497 NTM196497 ODI196497 ONE196497 OXA196497 PGW196497 PQS196497 QAO196497 QKK196497 QUG196497 REC196497 RNY196497 RXU196497 SHQ196497 SRM196497 TBI196497 TLE196497 TVA196497 UEW196497 UOS196497 UYO196497 VIK196497 VSG196497 WCC196497 WLY196497 WVU196497 S262033 JI262033 TE262033 ADA262033 AMW262033 AWS262033 BGO262033 BQK262033 CAG262033 CKC262033 CTY262033 DDU262033 DNQ262033 DXM262033 EHI262033 ERE262033 FBA262033 FKW262033 FUS262033 GEO262033 GOK262033 GYG262033 HIC262033 HRY262033 IBU262033 ILQ262033 IVM262033 JFI262033 JPE262033 JZA262033 KIW262033 KSS262033 LCO262033 LMK262033 LWG262033 MGC262033 MPY262033 MZU262033 NJQ262033 NTM262033 ODI262033 ONE262033 OXA262033 PGW262033 PQS262033 QAO262033 QKK262033 QUG262033 REC262033 RNY262033 RXU262033 SHQ262033 SRM262033 TBI262033 TLE262033 TVA262033 UEW262033 UOS262033 UYO262033 VIK262033 VSG262033 WCC262033 WLY262033 WVU262033 S327569 JI327569 TE327569 ADA327569 AMW327569 AWS327569 BGO327569 BQK327569 CAG327569 CKC327569 CTY327569 DDU327569 DNQ327569 DXM327569 EHI327569 ERE327569 FBA327569 FKW327569 FUS327569 GEO327569 GOK327569 GYG327569 HIC327569 HRY327569 IBU327569 ILQ327569 IVM327569 JFI327569 JPE327569 JZA327569 KIW327569 KSS327569 LCO327569 LMK327569 LWG327569 MGC327569 MPY327569 MZU327569 NJQ327569 NTM327569 ODI327569 ONE327569 OXA327569 PGW327569 PQS327569 QAO327569 QKK327569 QUG327569 REC327569 RNY327569 RXU327569 SHQ327569 SRM327569 TBI327569 TLE327569 TVA327569 UEW327569 UOS327569 UYO327569 VIK327569 VSG327569 WCC327569 WLY327569 WVU327569 S393105 JI393105 TE393105 ADA393105 AMW393105 AWS393105 BGO393105 BQK393105 CAG393105 CKC393105 CTY393105 DDU393105 DNQ393105 DXM393105 EHI393105 ERE393105 FBA393105 FKW393105 FUS393105 GEO393105 GOK393105 GYG393105 HIC393105 HRY393105 IBU393105 ILQ393105 IVM393105 JFI393105 JPE393105 JZA393105 KIW393105 KSS393105 LCO393105 LMK393105 LWG393105 MGC393105 MPY393105 MZU393105 NJQ393105 NTM393105 ODI393105 ONE393105 OXA393105 PGW393105 PQS393105 QAO393105 QKK393105 QUG393105 REC393105 RNY393105 RXU393105 SHQ393105 SRM393105 TBI393105 TLE393105 TVA393105 UEW393105 UOS393105 UYO393105 VIK393105 VSG393105 WCC393105 WLY393105 WVU393105 S458641 JI458641 TE458641 ADA458641 AMW458641 AWS458641 BGO458641 BQK458641 CAG458641 CKC458641 CTY458641 DDU458641 DNQ458641 DXM458641 EHI458641 ERE458641 FBA458641 FKW458641 FUS458641 GEO458641 GOK458641 GYG458641 HIC458641 HRY458641 IBU458641 ILQ458641 IVM458641 JFI458641 JPE458641 JZA458641 KIW458641 KSS458641 LCO458641 LMK458641 LWG458641 MGC458641 MPY458641 MZU458641 NJQ458641 NTM458641 ODI458641 ONE458641 OXA458641 PGW458641 PQS458641 QAO458641 QKK458641 QUG458641 REC458641 RNY458641 RXU458641 SHQ458641 SRM458641 TBI458641 TLE458641 TVA458641 UEW458641 UOS458641 UYO458641 VIK458641 VSG458641 WCC458641 WLY458641 WVU458641 S524177 JI524177 TE524177 ADA524177 AMW524177 AWS524177 BGO524177 BQK524177 CAG524177 CKC524177 CTY524177 DDU524177 DNQ524177 DXM524177 EHI524177 ERE524177 FBA524177 FKW524177 FUS524177 GEO524177 GOK524177 GYG524177 HIC524177 HRY524177 IBU524177 ILQ524177 IVM524177 JFI524177 JPE524177 JZA524177 KIW524177 KSS524177 LCO524177 LMK524177 LWG524177 MGC524177 MPY524177 MZU524177 NJQ524177 NTM524177 ODI524177 ONE524177 OXA524177 PGW524177 PQS524177 QAO524177 QKK524177 QUG524177 REC524177 RNY524177 RXU524177 SHQ524177 SRM524177 TBI524177 TLE524177 TVA524177 UEW524177 UOS524177 UYO524177 VIK524177 VSG524177 WCC524177 WLY524177 WVU524177 S589713 JI589713 TE589713 ADA589713 AMW589713 AWS589713 BGO589713 BQK589713 CAG589713 CKC589713 CTY589713 DDU589713 DNQ589713 DXM589713 EHI589713 ERE589713 FBA589713 FKW589713 FUS589713 GEO589713 GOK589713 GYG589713 HIC589713 HRY589713 IBU589713 ILQ589713 IVM589713 JFI589713 JPE589713 JZA589713 KIW589713 KSS589713 LCO589713 LMK589713 LWG589713 MGC589713 MPY589713 MZU589713 NJQ589713 NTM589713 ODI589713 ONE589713 OXA589713 PGW589713 PQS589713 QAO589713 QKK589713 QUG589713 REC589713 RNY589713 RXU589713 SHQ589713 SRM589713 TBI589713 TLE589713 TVA589713 UEW589713 UOS589713 UYO589713 VIK589713 VSG589713 WCC589713 WLY589713 WVU589713 S655249 JI655249 TE655249 ADA655249 AMW655249 AWS655249 BGO655249 BQK655249 CAG655249 CKC655249 CTY655249 DDU655249 DNQ655249 DXM655249 EHI655249 ERE655249 FBA655249 FKW655249 FUS655249 GEO655249 GOK655249 GYG655249 HIC655249 HRY655249 IBU655249 ILQ655249 IVM655249 JFI655249 JPE655249 JZA655249 KIW655249 KSS655249 LCO655249 LMK655249 LWG655249 MGC655249 MPY655249 MZU655249 NJQ655249 NTM655249 ODI655249 ONE655249 OXA655249 PGW655249 PQS655249 QAO655249 QKK655249 QUG655249 REC655249 RNY655249 RXU655249 SHQ655249 SRM655249 TBI655249 TLE655249 TVA655249 UEW655249 UOS655249 UYO655249 VIK655249 VSG655249 WCC655249 WLY655249 WVU655249 S720785 JI720785 TE720785 ADA720785 AMW720785 AWS720785 BGO720785 BQK720785 CAG720785 CKC720785 CTY720785 DDU720785 DNQ720785 DXM720785 EHI720785 ERE720785 FBA720785 FKW720785 FUS720785 GEO720785 GOK720785 GYG720785 HIC720785 HRY720785 IBU720785 ILQ720785 IVM720785 JFI720785 JPE720785 JZA720785 KIW720785 KSS720785 LCO720785 LMK720785 LWG720785 MGC720785 MPY720785 MZU720785 NJQ720785 NTM720785 ODI720785 ONE720785 OXA720785 PGW720785 PQS720785 QAO720785 QKK720785 QUG720785 REC720785 RNY720785 RXU720785 SHQ720785 SRM720785 TBI720785 TLE720785 TVA720785 UEW720785 UOS720785 UYO720785 VIK720785 VSG720785 WCC720785 WLY720785 WVU720785 S786321 JI786321 TE786321 ADA786321 AMW786321 AWS786321 BGO786321 BQK786321 CAG786321 CKC786321 CTY786321 DDU786321 DNQ786321 DXM786321 EHI786321 ERE786321 FBA786321 FKW786321 FUS786321 GEO786321 GOK786321 GYG786321 HIC786321 HRY786321 IBU786321 ILQ786321 IVM786321 JFI786321 JPE786321 JZA786321 KIW786321 KSS786321 LCO786321 LMK786321 LWG786321 MGC786321 MPY786321 MZU786321 NJQ786321 NTM786321 ODI786321 ONE786321 OXA786321 PGW786321 PQS786321 QAO786321 QKK786321 QUG786321 REC786321 RNY786321 RXU786321 SHQ786321 SRM786321 TBI786321 TLE786321 TVA786321 UEW786321 UOS786321 UYO786321 VIK786321 VSG786321 WCC786321 WLY786321 WVU786321 S851857 JI851857 TE851857 ADA851857 AMW851857 AWS851857 BGO851857 BQK851857 CAG851857 CKC851857 CTY851857 DDU851857 DNQ851857 DXM851857 EHI851857 ERE851857 FBA851857 FKW851857 FUS851857 GEO851857 GOK851857 GYG851857 HIC851857 HRY851857 IBU851857 ILQ851857 IVM851857 JFI851857 JPE851857 JZA851857 KIW851857 KSS851857 LCO851857 LMK851857 LWG851857 MGC851857 MPY851857 MZU851857 NJQ851857 NTM851857 ODI851857 ONE851857 OXA851857 PGW851857 PQS851857 QAO851857 QKK851857 QUG851857 REC851857 RNY851857 RXU851857 SHQ851857 SRM851857 TBI851857 TLE851857 TVA851857 UEW851857 UOS851857 UYO851857 VIK851857 VSG851857 WCC851857 WLY851857 WVU851857 S917393 JI917393 TE917393 ADA917393 AMW917393 AWS917393 BGO917393 BQK917393 CAG917393 CKC917393 CTY917393 DDU917393 DNQ917393 DXM917393 EHI917393 ERE917393 FBA917393 FKW917393 FUS917393 GEO917393 GOK917393 GYG917393 HIC917393 HRY917393 IBU917393 ILQ917393 IVM917393 JFI917393 JPE917393 JZA917393 KIW917393 KSS917393 LCO917393 LMK917393 LWG917393 MGC917393 MPY917393 MZU917393 NJQ917393 NTM917393 ODI917393 ONE917393 OXA917393 PGW917393 PQS917393 QAO917393 QKK917393 QUG917393 REC917393 RNY917393 RXU917393 SHQ917393 SRM917393 TBI917393 TLE917393 TVA917393 UEW917393 UOS917393 UYO917393 VIK917393 VSG917393 WCC917393 WLY917393 WVU917393 S982929 JI982929 TE982929 ADA982929 AMW982929 AWS982929 BGO982929 BQK982929 CAG982929 CKC982929 CTY982929 DDU982929 DNQ982929 DXM982929 EHI982929 ERE982929 FBA982929 FKW982929 FUS982929 GEO982929 GOK982929 GYG982929 HIC982929 HRY982929 IBU982929 ILQ982929 IVM982929 JFI982929 JPE982929 JZA982929 KIW982929 KSS982929 LCO982929 LMK982929 LWG982929 MGC982929 MPY982929 MZU982929 NJQ982929 NTM982929 ODI982929 ONE982929 OXA982929 PGW982929 PQS982929 QAO982929 QKK982929 QUG982929 REC982929 RNY982929 RXU982929 SHQ982929 SRM982929 TBI982929 TLE982929 TVA982929 UEW982929 UOS982929 UYO982929 VIK982929 VSG982929 WCC982929 WLY982929 WVU982929 S65465 JI65465 TE65465 ADA65465 AMW65465 AWS65465 BGO65465 BQK65465 CAG65465 CKC65465 CTY65465 DDU65465 DNQ65465 DXM65465 EHI65465 ERE65465 FBA65465 FKW65465 FUS65465 GEO65465 GOK65465 GYG65465 HIC65465 HRY65465 IBU65465 ILQ65465 IVM65465 JFI65465 JPE65465 JZA65465 KIW65465 KSS65465 LCO65465 LMK65465 LWG65465 MGC65465 MPY65465 MZU65465 NJQ65465 NTM65465 ODI65465 ONE65465 OXA65465 PGW65465 PQS65465 QAO65465 QKK65465 QUG65465 REC65465 RNY65465 RXU65465 SHQ65465 SRM65465 TBI65465 TLE65465 TVA65465 UEW65465 UOS65465 UYO65465 VIK65465 VSG65465 WCC65465 WLY65465 WVU65465 S131001 JI131001 TE131001 ADA131001 AMW131001 AWS131001 BGO131001 BQK131001 CAG131001 CKC131001 CTY131001 DDU131001 DNQ131001 DXM131001 EHI131001 ERE131001 FBA131001 FKW131001 FUS131001 GEO131001 GOK131001 GYG131001 HIC131001 HRY131001 IBU131001 ILQ131001 IVM131001 JFI131001 JPE131001 JZA131001 KIW131001 KSS131001 LCO131001 LMK131001 LWG131001 MGC131001 MPY131001 MZU131001 NJQ131001 NTM131001 ODI131001 ONE131001 OXA131001 PGW131001 PQS131001 QAO131001 QKK131001 QUG131001 REC131001 RNY131001 RXU131001 SHQ131001 SRM131001 TBI131001 TLE131001 TVA131001 UEW131001 UOS131001 UYO131001 VIK131001 VSG131001 WCC131001 WLY131001 WVU131001 S196537 JI196537 TE196537 ADA196537 AMW196537 AWS196537 BGO196537 BQK196537 CAG196537 CKC196537 CTY196537 DDU196537 DNQ196537 DXM196537 EHI196537 ERE196537 FBA196537 FKW196537 FUS196537 GEO196537 GOK196537 GYG196537 HIC196537 HRY196537 IBU196537 ILQ196537 IVM196537 JFI196537 JPE196537 JZA196537 KIW196537 KSS196537 LCO196537 LMK196537 LWG196537 MGC196537 MPY196537 MZU196537 NJQ196537 NTM196537 ODI196537 ONE196537 OXA196537 PGW196537 PQS196537 QAO196537 QKK196537 QUG196537 REC196537 RNY196537 RXU196537 SHQ196537 SRM196537 TBI196537 TLE196537 TVA196537 UEW196537 UOS196537 UYO196537 VIK196537 VSG196537 WCC196537 WLY196537 WVU196537 S262073 JI262073 TE262073 ADA262073 AMW262073 AWS262073 BGO262073 BQK262073 CAG262073 CKC262073 CTY262073 DDU262073 DNQ262073 DXM262073 EHI262073 ERE262073 FBA262073 FKW262073 FUS262073 GEO262073 GOK262073 GYG262073 HIC262073 HRY262073 IBU262073 ILQ262073 IVM262073 JFI262073 JPE262073 JZA262073 KIW262073 KSS262073 LCO262073 LMK262073 LWG262073 MGC262073 MPY262073 MZU262073 NJQ262073 NTM262073 ODI262073 ONE262073 OXA262073 PGW262073 PQS262073 QAO262073 QKK262073 QUG262073 REC262073 RNY262073 RXU262073 SHQ262073 SRM262073 TBI262073 TLE262073 TVA262073 UEW262073 UOS262073 UYO262073 VIK262073 VSG262073 WCC262073 WLY262073 WVU262073 S327609 JI327609 TE327609 ADA327609 AMW327609 AWS327609 BGO327609 BQK327609 CAG327609 CKC327609 CTY327609 DDU327609 DNQ327609 DXM327609 EHI327609 ERE327609 FBA327609 FKW327609 FUS327609 GEO327609 GOK327609 GYG327609 HIC327609 HRY327609 IBU327609 ILQ327609 IVM327609 JFI327609 JPE327609 JZA327609 KIW327609 KSS327609 LCO327609 LMK327609 LWG327609 MGC327609 MPY327609 MZU327609 NJQ327609 NTM327609 ODI327609 ONE327609 OXA327609 PGW327609 PQS327609 QAO327609 QKK327609 QUG327609 REC327609 RNY327609 RXU327609 SHQ327609 SRM327609 TBI327609 TLE327609 TVA327609 UEW327609 UOS327609 UYO327609 VIK327609 VSG327609 WCC327609 WLY327609 WVU327609 S393145 JI393145 TE393145 ADA393145 AMW393145 AWS393145 BGO393145 BQK393145 CAG393145 CKC393145 CTY393145 DDU393145 DNQ393145 DXM393145 EHI393145 ERE393145 FBA393145 FKW393145 FUS393145 GEO393145 GOK393145 GYG393145 HIC393145 HRY393145 IBU393145 ILQ393145 IVM393145 JFI393145 JPE393145 JZA393145 KIW393145 KSS393145 LCO393145 LMK393145 LWG393145 MGC393145 MPY393145 MZU393145 NJQ393145 NTM393145 ODI393145 ONE393145 OXA393145 PGW393145 PQS393145 QAO393145 QKK393145 QUG393145 REC393145 RNY393145 RXU393145 SHQ393145 SRM393145 TBI393145 TLE393145 TVA393145 UEW393145 UOS393145 UYO393145 VIK393145 VSG393145 WCC393145 WLY393145 WVU393145 S458681 JI458681 TE458681 ADA458681 AMW458681 AWS458681 BGO458681 BQK458681 CAG458681 CKC458681 CTY458681 DDU458681 DNQ458681 DXM458681 EHI458681 ERE458681 FBA458681 FKW458681 FUS458681 GEO458681 GOK458681 GYG458681 HIC458681 HRY458681 IBU458681 ILQ458681 IVM458681 JFI458681 JPE458681 JZA458681 KIW458681 KSS458681 LCO458681 LMK458681 LWG458681 MGC458681 MPY458681 MZU458681 NJQ458681 NTM458681 ODI458681 ONE458681 OXA458681 PGW458681 PQS458681 QAO458681 QKK458681 QUG458681 REC458681 RNY458681 RXU458681 SHQ458681 SRM458681 TBI458681 TLE458681 TVA458681 UEW458681 UOS458681 UYO458681 VIK458681 VSG458681 WCC458681 WLY458681 WVU458681 S524217 JI524217 TE524217 ADA524217 AMW524217 AWS524217 BGO524217 BQK524217 CAG524217 CKC524217 CTY524217 DDU524217 DNQ524217 DXM524217 EHI524217 ERE524217 FBA524217 FKW524217 FUS524217 GEO524217 GOK524217 GYG524217 HIC524217 HRY524217 IBU524217 ILQ524217 IVM524217 JFI524217 JPE524217 JZA524217 KIW524217 KSS524217 LCO524217 LMK524217 LWG524217 MGC524217 MPY524217 MZU524217 NJQ524217 NTM524217 ODI524217 ONE524217 OXA524217 PGW524217 PQS524217 QAO524217 QKK524217 QUG524217 REC524217 RNY524217 RXU524217 SHQ524217 SRM524217 TBI524217 TLE524217 TVA524217 UEW524217 UOS524217 UYO524217 VIK524217 VSG524217 WCC524217 WLY524217 WVU524217 S589753 JI589753 TE589753 ADA589753 AMW589753 AWS589753 BGO589753 BQK589753 CAG589753 CKC589753 CTY589753 DDU589753 DNQ589753 DXM589753 EHI589753 ERE589753 FBA589753 FKW589753 FUS589753 GEO589753 GOK589753 GYG589753 HIC589753 HRY589753 IBU589753 ILQ589753 IVM589753 JFI589753 JPE589753 JZA589753 KIW589753 KSS589753 LCO589753 LMK589753 LWG589753 MGC589753 MPY589753 MZU589753 NJQ589753 NTM589753 ODI589753 ONE589753 OXA589753 PGW589753 PQS589753 QAO589753 QKK589753 QUG589753 REC589753 RNY589753 RXU589753 SHQ589753 SRM589753 TBI589753 TLE589753 TVA589753 UEW589753 UOS589753 UYO589753 VIK589753 VSG589753 WCC589753 WLY589753 WVU589753 S655289 JI655289 TE655289 ADA655289 AMW655289 AWS655289 BGO655289 BQK655289 CAG655289 CKC655289 CTY655289 DDU655289 DNQ655289 DXM655289 EHI655289 ERE655289 FBA655289 FKW655289 FUS655289 GEO655289 GOK655289 GYG655289 HIC655289 HRY655289 IBU655289 ILQ655289 IVM655289 JFI655289 JPE655289 JZA655289 KIW655289 KSS655289 LCO655289 LMK655289 LWG655289 MGC655289 MPY655289 MZU655289 NJQ655289 NTM655289 ODI655289 ONE655289 OXA655289 PGW655289 PQS655289 QAO655289 QKK655289 QUG655289 REC655289 RNY655289 RXU655289 SHQ655289 SRM655289 TBI655289 TLE655289 TVA655289 UEW655289 UOS655289 UYO655289 VIK655289 VSG655289 WCC655289 WLY655289 WVU655289 S720825 JI720825 TE720825 ADA720825 AMW720825 AWS720825 BGO720825 BQK720825 CAG720825 CKC720825 CTY720825 DDU720825 DNQ720825 DXM720825 EHI720825 ERE720825 FBA720825 FKW720825 FUS720825 GEO720825 GOK720825 GYG720825 HIC720825 HRY720825 IBU720825 ILQ720825 IVM720825 JFI720825 JPE720825 JZA720825 KIW720825 KSS720825 LCO720825 LMK720825 LWG720825 MGC720825 MPY720825 MZU720825 NJQ720825 NTM720825 ODI720825 ONE720825 OXA720825 PGW720825 PQS720825 QAO720825 QKK720825 QUG720825 REC720825 RNY720825 RXU720825 SHQ720825 SRM720825 TBI720825 TLE720825 TVA720825 UEW720825 UOS720825 UYO720825 VIK720825 VSG720825 WCC720825 WLY720825 WVU720825 S786361 JI786361 TE786361 ADA786361 AMW786361 AWS786361 BGO786361 BQK786361 CAG786361 CKC786361 CTY786361 DDU786361 DNQ786361 DXM786361 EHI786361 ERE786361 FBA786361 FKW786361 FUS786361 GEO786361 GOK786361 GYG786361 HIC786361 HRY786361 IBU786361 ILQ786361 IVM786361 JFI786361 JPE786361 JZA786361 KIW786361 KSS786361 LCO786361 LMK786361 LWG786361 MGC786361 MPY786361 MZU786361 NJQ786361 NTM786361 ODI786361 ONE786361 OXA786361 PGW786361 PQS786361 QAO786361 QKK786361 QUG786361 REC786361 RNY786361 RXU786361 SHQ786361 SRM786361 TBI786361 TLE786361 TVA786361 UEW786361 UOS786361 UYO786361 VIK786361 VSG786361 WCC786361 WLY786361 WVU786361 S851897 JI851897 TE851897 ADA851897 AMW851897 AWS851897 BGO851897 BQK851897 CAG851897 CKC851897 CTY851897 DDU851897 DNQ851897 DXM851897 EHI851897 ERE851897 FBA851897 FKW851897 FUS851897 GEO851897 GOK851897 GYG851897 HIC851897 HRY851897 IBU851897 ILQ851897 IVM851897 JFI851897 JPE851897 JZA851897 KIW851897 KSS851897 LCO851897 LMK851897 LWG851897 MGC851897 MPY851897 MZU851897 NJQ851897 NTM851897 ODI851897 ONE851897 OXA851897 PGW851897 PQS851897 QAO851897 QKK851897 QUG851897 REC851897 RNY851897 RXU851897 SHQ851897 SRM851897 TBI851897 TLE851897 TVA851897 UEW851897 UOS851897 UYO851897 VIK851897 VSG851897 WCC851897 WLY851897 WVU851897 S917433 JI917433 TE917433 ADA917433 AMW917433 AWS917433 BGO917433 BQK917433 CAG917433 CKC917433 CTY917433 DDU917433 DNQ917433 DXM917433 EHI917433 ERE917433 FBA917433 FKW917433 FUS917433 GEO917433 GOK917433 GYG917433 HIC917433 HRY917433 IBU917433 ILQ917433 IVM917433 JFI917433 JPE917433 JZA917433 KIW917433 KSS917433 LCO917433 LMK917433 LWG917433 MGC917433 MPY917433 MZU917433 NJQ917433 NTM917433 ODI917433 ONE917433 OXA917433 PGW917433 PQS917433 QAO917433 QKK917433 QUG917433 REC917433 RNY917433 RXU917433 SHQ917433 SRM917433 TBI917433 TLE917433 TVA917433 UEW917433 UOS917433 UYO917433 VIK917433 VSG917433 WCC917433 WLY917433 WVU917433 S982969 JI982969 TE982969 ADA982969 AMW982969 AWS982969 BGO982969 BQK982969 CAG982969 CKC982969 CTY982969 DDU982969 DNQ982969 DXM982969 EHI982969 ERE982969 FBA982969 FKW982969 FUS982969 GEO982969 GOK982969 GYG982969 HIC982969 HRY982969 IBU982969 ILQ982969 IVM982969 JFI982969 JPE982969 JZA982969 KIW982969 KSS982969 LCO982969 LMK982969 LWG982969 MGC982969 MPY982969 MZU982969 NJQ982969 NTM982969 ODI982969 ONE982969 OXA982969 PGW982969 PQS982969 QAO982969 QKK982969 QUG982969 REC982969 RNY982969 RXU982969 SHQ982969 SRM982969 TBI982969 TLE982969 TVA982969 UEW982969 UOS982969 UYO982969 VIK982969 VSG982969 WCC982969 WLY982969 WVU982969">
      <formula1>0</formula1>
      <formula2>0</formula2>
    </dataValidation>
    <dataValidation type="decimal" allowBlank="1" showErrorMessage="1" errorTitle="Erro de valores" error="Digite um valor maior do que 0." sqref="S21 JI21 TE21 ADA21 AMW21 AWS21 BGO21 BQK21 CAG21 CKC21 CTY21 DDU21 DNQ21 DXM21 EHI21 ERE21 FBA21 FKW21 FUS21 GEO21 GOK21 GYG21 HIC21 HRY21 IBU21 ILQ21 IVM21 JFI21 JPE21 JZA21 KIW21 KSS21 LCO21 LMK21 LWG21 MGC21 MPY21 MZU21 NJQ21 NTM21 ODI21 ONE21 OXA21 PGW21 PQS21 QAO21 QKK21 QUG21 REC21 RNY21 RXU21 SHQ21 SRM21 TBI21 TLE21 TVA21 UEW21 UOS21 UYO21 VIK21 VSG21 WCC21 WLY21 WVU21 S65384 JI65384 TE65384 ADA65384 AMW65384 AWS65384 BGO65384 BQK65384 CAG65384 CKC65384 CTY65384 DDU65384 DNQ65384 DXM65384 EHI65384 ERE65384 FBA65384 FKW65384 FUS65384 GEO65384 GOK65384 GYG65384 HIC65384 HRY65384 IBU65384 ILQ65384 IVM65384 JFI65384 JPE65384 JZA65384 KIW65384 KSS65384 LCO65384 LMK65384 LWG65384 MGC65384 MPY65384 MZU65384 NJQ65384 NTM65384 ODI65384 ONE65384 OXA65384 PGW65384 PQS65384 QAO65384 QKK65384 QUG65384 REC65384 RNY65384 RXU65384 SHQ65384 SRM65384 TBI65384 TLE65384 TVA65384 UEW65384 UOS65384 UYO65384 VIK65384 VSG65384 WCC65384 WLY65384 WVU65384 S130920 JI130920 TE130920 ADA130920 AMW130920 AWS130920 BGO130920 BQK130920 CAG130920 CKC130920 CTY130920 DDU130920 DNQ130920 DXM130920 EHI130920 ERE130920 FBA130920 FKW130920 FUS130920 GEO130920 GOK130920 GYG130920 HIC130920 HRY130920 IBU130920 ILQ130920 IVM130920 JFI130920 JPE130920 JZA130920 KIW130920 KSS130920 LCO130920 LMK130920 LWG130920 MGC130920 MPY130920 MZU130920 NJQ130920 NTM130920 ODI130920 ONE130920 OXA130920 PGW130920 PQS130920 QAO130920 QKK130920 QUG130920 REC130920 RNY130920 RXU130920 SHQ130920 SRM130920 TBI130920 TLE130920 TVA130920 UEW130920 UOS130920 UYO130920 VIK130920 VSG130920 WCC130920 WLY130920 WVU130920 S196456 JI196456 TE196456 ADA196456 AMW196456 AWS196456 BGO196456 BQK196456 CAG196456 CKC196456 CTY196456 DDU196456 DNQ196456 DXM196456 EHI196456 ERE196456 FBA196456 FKW196456 FUS196456 GEO196456 GOK196456 GYG196456 HIC196456 HRY196456 IBU196456 ILQ196456 IVM196456 JFI196456 JPE196456 JZA196456 KIW196456 KSS196456 LCO196456 LMK196456 LWG196456 MGC196456 MPY196456 MZU196456 NJQ196456 NTM196456 ODI196456 ONE196456 OXA196456 PGW196456 PQS196456 QAO196456 QKK196456 QUG196456 REC196456 RNY196456 RXU196456 SHQ196456 SRM196456 TBI196456 TLE196456 TVA196456 UEW196456 UOS196456 UYO196456 VIK196456 VSG196456 WCC196456 WLY196456 WVU196456 S261992 JI261992 TE261992 ADA261992 AMW261992 AWS261992 BGO261992 BQK261992 CAG261992 CKC261992 CTY261992 DDU261992 DNQ261992 DXM261992 EHI261992 ERE261992 FBA261992 FKW261992 FUS261992 GEO261992 GOK261992 GYG261992 HIC261992 HRY261992 IBU261992 ILQ261992 IVM261992 JFI261992 JPE261992 JZA261992 KIW261992 KSS261992 LCO261992 LMK261992 LWG261992 MGC261992 MPY261992 MZU261992 NJQ261992 NTM261992 ODI261992 ONE261992 OXA261992 PGW261992 PQS261992 QAO261992 QKK261992 QUG261992 REC261992 RNY261992 RXU261992 SHQ261992 SRM261992 TBI261992 TLE261992 TVA261992 UEW261992 UOS261992 UYO261992 VIK261992 VSG261992 WCC261992 WLY261992 WVU261992 S327528 JI327528 TE327528 ADA327528 AMW327528 AWS327528 BGO327528 BQK327528 CAG327528 CKC327528 CTY327528 DDU327528 DNQ327528 DXM327528 EHI327528 ERE327528 FBA327528 FKW327528 FUS327528 GEO327528 GOK327528 GYG327528 HIC327528 HRY327528 IBU327528 ILQ327528 IVM327528 JFI327528 JPE327528 JZA327528 KIW327528 KSS327528 LCO327528 LMK327528 LWG327528 MGC327528 MPY327528 MZU327528 NJQ327528 NTM327528 ODI327528 ONE327528 OXA327528 PGW327528 PQS327528 QAO327528 QKK327528 QUG327528 REC327528 RNY327528 RXU327528 SHQ327528 SRM327528 TBI327528 TLE327528 TVA327528 UEW327528 UOS327528 UYO327528 VIK327528 VSG327528 WCC327528 WLY327528 WVU327528 S393064 JI393064 TE393064 ADA393064 AMW393064 AWS393064 BGO393064 BQK393064 CAG393064 CKC393064 CTY393064 DDU393064 DNQ393064 DXM393064 EHI393064 ERE393064 FBA393064 FKW393064 FUS393064 GEO393064 GOK393064 GYG393064 HIC393064 HRY393064 IBU393064 ILQ393064 IVM393064 JFI393064 JPE393064 JZA393064 KIW393064 KSS393064 LCO393064 LMK393064 LWG393064 MGC393064 MPY393064 MZU393064 NJQ393064 NTM393064 ODI393064 ONE393064 OXA393064 PGW393064 PQS393064 QAO393064 QKK393064 QUG393064 REC393064 RNY393064 RXU393064 SHQ393064 SRM393064 TBI393064 TLE393064 TVA393064 UEW393064 UOS393064 UYO393064 VIK393064 VSG393064 WCC393064 WLY393064 WVU393064 S458600 JI458600 TE458600 ADA458600 AMW458600 AWS458600 BGO458600 BQK458600 CAG458600 CKC458600 CTY458600 DDU458600 DNQ458600 DXM458600 EHI458600 ERE458600 FBA458600 FKW458600 FUS458600 GEO458600 GOK458600 GYG458600 HIC458600 HRY458600 IBU458600 ILQ458600 IVM458600 JFI458600 JPE458600 JZA458600 KIW458600 KSS458600 LCO458600 LMK458600 LWG458600 MGC458600 MPY458600 MZU458600 NJQ458600 NTM458600 ODI458600 ONE458600 OXA458600 PGW458600 PQS458600 QAO458600 QKK458600 QUG458600 REC458600 RNY458600 RXU458600 SHQ458600 SRM458600 TBI458600 TLE458600 TVA458600 UEW458600 UOS458600 UYO458600 VIK458600 VSG458600 WCC458600 WLY458600 WVU458600 S524136 JI524136 TE524136 ADA524136 AMW524136 AWS524136 BGO524136 BQK524136 CAG524136 CKC524136 CTY524136 DDU524136 DNQ524136 DXM524136 EHI524136 ERE524136 FBA524136 FKW524136 FUS524136 GEO524136 GOK524136 GYG524136 HIC524136 HRY524136 IBU524136 ILQ524136 IVM524136 JFI524136 JPE524136 JZA524136 KIW524136 KSS524136 LCO524136 LMK524136 LWG524136 MGC524136 MPY524136 MZU524136 NJQ524136 NTM524136 ODI524136 ONE524136 OXA524136 PGW524136 PQS524136 QAO524136 QKK524136 QUG524136 REC524136 RNY524136 RXU524136 SHQ524136 SRM524136 TBI524136 TLE524136 TVA524136 UEW524136 UOS524136 UYO524136 VIK524136 VSG524136 WCC524136 WLY524136 WVU524136 S589672 JI589672 TE589672 ADA589672 AMW589672 AWS589672 BGO589672 BQK589672 CAG589672 CKC589672 CTY589672 DDU589672 DNQ589672 DXM589672 EHI589672 ERE589672 FBA589672 FKW589672 FUS589672 GEO589672 GOK589672 GYG589672 HIC589672 HRY589672 IBU589672 ILQ589672 IVM589672 JFI589672 JPE589672 JZA589672 KIW589672 KSS589672 LCO589672 LMK589672 LWG589672 MGC589672 MPY589672 MZU589672 NJQ589672 NTM589672 ODI589672 ONE589672 OXA589672 PGW589672 PQS589672 QAO589672 QKK589672 QUG589672 REC589672 RNY589672 RXU589672 SHQ589672 SRM589672 TBI589672 TLE589672 TVA589672 UEW589672 UOS589672 UYO589672 VIK589672 VSG589672 WCC589672 WLY589672 WVU589672 S655208 JI655208 TE655208 ADA655208 AMW655208 AWS655208 BGO655208 BQK655208 CAG655208 CKC655208 CTY655208 DDU655208 DNQ655208 DXM655208 EHI655208 ERE655208 FBA655208 FKW655208 FUS655208 GEO655208 GOK655208 GYG655208 HIC655208 HRY655208 IBU655208 ILQ655208 IVM655208 JFI655208 JPE655208 JZA655208 KIW655208 KSS655208 LCO655208 LMK655208 LWG655208 MGC655208 MPY655208 MZU655208 NJQ655208 NTM655208 ODI655208 ONE655208 OXA655208 PGW655208 PQS655208 QAO655208 QKK655208 QUG655208 REC655208 RNY655208 RXU655208 SHQ655208 SRM655208 TBI655208 TLE655208 TVA655208 UEW655208 UOS655208 UYO655208 VIK655208 VSG655208 WCC655208 WLY655208 WVU655208 S720744 JI720744 TE720744 ADA720744 AMW720744 AWS720744 BGO720744 BQK720744 CAG720744 CKC720744 CTY720744 DDU720744 DNQ720744 DXM720744 EHI720744 ERE720744 FBA720744 FKW720744 FUS720744 GEO720744 GOK720744 GYG720744 HIC720744 HRY720744 IBU720744 ILQ720744 IVM720744 JFI720744 JPE720744 JZA720744 KIW720744 KSS720744 LCO720744 LMK720744 LWG720744 MGC720744 MPY720744 MZU720744 NJQ720744 NTM720744 ODI720744 ONE720744 OXA720744 PGW720744 PQS720744 QAO720744 QKK720744 QUG720744 REC720744 RNY720744 RXU720744 SHQ720744 SRM720744 TBI720744 TLE720744 TVA720744 UEW720744 UOS720744 UYO720744 VIK720744 VSG720744 WCC720744 WLY720744 WVU720744 S786280 JI786280 TE786280 ADA786280 AMW786280 AWS786280 BGO786280 BQK786280 CAG786280 CKC786280 CTY786280 DDU786280 DNQ786280 DXM786280 EHI786280 ERE786280 FBA786280 FKW786280 FUS786280 GEO786280 GOK786280 GYG786280 HIC786280 HRY786280 IBU786280 ILQ786280 IVM786280 JFI786280 JPE786280 JZA786280 KIW786280 KSS786280 LCO786280 LMK786280 LWG786280 MGC786280 MPY786280 MZU786280 NJQ786280 NTM786280 ODI786280 ONE786280 OXA786280 PGW786280 PQS786280 QAO786280 QKK786280 QUG786280 REC786280 RNY786280 RXU786280 SHQ786280 SRM786280 TBI786280 TLE786280 TVA786280 UEW786280 UOS786280 UYO786280 VIK786280 VSG786280 WCC786280 WLY786280 WVU786280 S851816 JI851816 TE851816 ADA851816 AMW851816 AWS851816 BGO851816 BQK851816 CAG851816 CKC851816 CTY851816 DDU851816 DNQ851816 DXM851816 EHI851816 ERE851816 FBA851816 FKW851816 FUS851816 GEO851816 GOK851816 GYG851816 HIC851816 HRY851816 IBU851816 ILQ851816 IVM851816 JFI851816 JPE851816 JZA851816 KIW851816 KSS851816 LCO851816 LMK851816 LWG851816 MGC851816 MPY851816 MZU851816 NJQ851816 NTM851816 ODI851816 ONE851816 OXA851816 PGW851816 PQS851816 QAO851816 QKK851816 QUG851816 REC851816 RNY851816 RXU851816 SHQ851816 SRM851816 TBI851816 TLE851816 TVA851816 UEW851816 UOS851816 UYO851816 VIK851816 VSG851816 WCC851816 WLY851816 WVU851816 S917352 JI917352 TE917352 ADA917352 AMW917352 AWS917352 BGO917352 BQK917352 CAG917352 CKC917352 CTY917352 DDU917352 DNQ917352 DXM917352 EHI917352 ERE917352 FBA917352 FKW917352 FUS917352 GEO917352 GOK917352 GYG917352 HIC917352 HRY917352 IBU917352 ILQ917352 IVM917352 JFI917352 JPE917352 JZA917352 KIW917352 KSS917352 LCO917352 LMK917352 LWG917352 MGC917352 MPY917352 MZU917352 NJQ917352 NTM917352 ODI917352 ONE917352 OXA917352 PGW917352 PQS917352 QAO917352 QKK917352 QUG917352 REC917352 RNY917352 RXU917352 SHQ917352 SRM917352 TBI917352 TLE917352 TVA917352 UEW917352 UOS917352 UYO917352 VIK917352 VSG917352 WCC917352 WLY917352 WVU917352 S982888 JI982888 TE982888 ADA982888 AMW982888 AWS982888 BGO982888 BQK982888 CAG982888 CKC982888 CTY982888 DDU982888 DNQ982888 DXM982888 EHI982888 ERE982888 FBA982888 FKW982888 FUS982888 GEO982888 GOK982888 GYG982888 HIC982888 HRY982888 IBU982888 ILQ982888 IVM982888 JFI982888 JPE982888 JZA982888 KIW982888 KSS982888 LCO982888 LMK982888 LWG982888 MGC982888 MPY982888 MZU982888 NJQ982888 NTM982888 ODI982888 ONE982888 OXA982888 PGW982888 PQS982888 QAO982888 QKK982888 QUG982888 REC982888 RNY982888 RXU982888 SHQ982888 SRM982888 TBI982888 TLE982888 TVA982888 UEW982888 UOS982888 UYO982888 VIK982888 VSG982888 WCC982888 WLY982888 WVU982888 S65424 JI65424 TE65424 ADA65424 AMW65424 AWS65424 BGO65424 BQK65424 CAG65424 CKC65424 CTY65424 DDU65424 DNQ65424 DXM65424 EHI65424 ERE65424 FBA65424 FKW65424 FUS65424 GEO65424 GOK65424 GYG65424 HIC65424 HRY65424 IBU65424 ILQ65424 IVM65424 JFI65424 JPE65424 JZA65424 KIW65424 KSS65424 LCO65424 LMK65424 LWG65424 MGC65424 MPY65424 MZU65424 NJQ65424 NTM65424 ODI65424 ONE65424 OXA65424 PGW65424 PQS65424 QAO65424 QKK65424 QUG65424 REC65424 RNY65424 RXU65424 SHQ65424 SRM65424 TBI65424 TLE65424 TVA65424 UEW65424 UOS65424 UYO65424 VIK65424 VSG65424 WCC65424 WLY65424 WVU65424 S130960 JI130960 TE130960 ADA130960 AMW130960 AWS130960 BGO130960 BQK130960 CAG130960 CKC130960 CTY130960 DDU130960 DNQ130960 DXM130960 EHI130960 ERE130960 FBA130960 FKW130960 FUS130960 GEO130960 GOK130960 GYG130960 HIC130960 HRY130960 IBU130960 ILQ130960 IVM130960 JFI130960 JPE130960 JZA130960 KIW130960 KSS130960 LCO130960 LMK130960 LWG130960 MGC130960 MPY130960 MZU130960 NJQ130960 NTM130960 ODI130960 ONE130960 OXA130960 PGW130960 PQS130960 QAO130960 QKK130960 QUG130960 REC130960 RNY130960 RXU130960 SHQ130960 SRM130960 TBI130960 TLE130960 TVA130960 UEW130960 UOS130960 UYO130960 VIK130960 VSG130960 WCC130960 WLY130960 WVU130960 S196496 JI196496 TE196496 ADA196496 AMW196496 AWS196496 BGO196496 BQK196496 CAG196496 CKC196496 CTY196496 DDU196496 DNQ196496 DXM196496 EHI196496 ERE196496 FBA196496 FKW196496 FUS196496 GEO196496 GOK196496 GYG196496 HIC196496 HRY196496 IBU196496 ILQ196496 IVM196496 JFI196496 JPE196496 JZA196496 KIW196496 KSS196496 LCO196496 LMK196496 LWG196496 MGC196496 MPY196496 MZU196496 NJQ196496 NTM196496 ODI196496 ONE196496 OXA196496 PGW196496 PQS196496 QAO196496 QKK196496 QUG196496 REC196496 RNY196496 RXU196496 SHQ196496 SRM196496 TBI196496 TLE196496 TVA196496 UEW196496 UOS196496 UYO196496 VIK196496 VSG196496 WCC196496 WLY196496 WVU196496 S262032 JI262032 TE262032 ADA262032 AMW262032 AWS262032 BGO262032 BQK262032 CAG262032 CKC262032 CTY262032 DDU262032 DNQ262032 DXM262032 EHI262032 ERE262032 FBA262032 FKW262032 FUS262032 GEO262032 GOK262032 GYG262032 HIC262032 HRY262032 IBU262032 ILQ262032 IVM262032 JFI262032 JPE262032 JZA262032 KIW262032 KSS262032 LCO262032 LMK262032 LWG262032 MGC262032 MPY262032 MZU262032 NJQ262032 NTM262032 ODI262032 ONE262032 OXA262032 PGW262032 PQS262032 QAO262032 QKK262032 QUG262032 REC262032 RNY262032 RXU262032 SHQ262032 SRM262032 TBI262032 TLE262032 TVA262032 UEW262032 UOS262032 UYO262032 VIK262032 VSG262032 WCC262032 WLY262032 WVU262032 S327568 JI327568 TE327568 ADA327568 AMW327568 AWS327568 BGO327568 BQK327568 CAG327568 CKC327568 CTY327568 DDU327568 DNQ327568 DXM327568 EHI327568 ERE327568 FBA327568 FKW327568 FUS327568 GEO327568 GOK327568 GYG327568 HIC327568 HRY327568 IBU327568 ILQ327568 IVM327568 JFI327568 JPE327568 JZA327568 KIW327568 KSS327568 LCO327568 LMK327568 LWG327568 MGC327568 MPY327568 MZU327568 NJQ327568 NTM327568 ODI327568 ONE327568 OXA327568 PGW327568 PQS327568 QAO327568 QKK327568 QUG327568 REC327568 RNY327568 RXU327568 SHQ327568 SRM327568 TBI327568 TLE327568 TVA327568 UEW327568 UOS327568 UYO327568 VIK327568 VSG327568 WCC327568 WLY327568 WVU327568 S393104 JI393104 TE393104 ADA393104 AMW393104 AWS393104 BGO393104 BQK393104 CAG393104 CKC393104 CTY393104 DDU393104 DNQ393104 DXM393104 EHI393104 ERE393104 FBA393104 FKW393104 FUS393104 GEO393104 GOK393104 GYG393104 HIC393104 HRY393104 IBU393104 ILQ393104 IVM393104 JFI393104 JPE393104 JZA393104 KIW393104 KSS393104 LCO393104 LMK393104 LWG393104 MGC393104 MPY393104 MZU393104 NJQ393104 NTM393104 ODI393104 ONE393104 OXA393104 PGW393104 PQS393104 QAO393104 QKK393104 QUG393104 REC393104 RNY393104 RXU393104 SHQ393104 SRM393104 TBI393104 TLE393104 TVA393104 UEW393104 UOS393104 UYO393104 VIK393104 VSG393104 WCC393104 WLY393104 WVU393104 S458640 JI458640 TE458640 ADA458640 AMW458640 AWS458640 BGO458640 BQK458640 CAG458640 CKC458640 CTY458640 DDU458640 DNQ458640 DXM458640 EHI458640 ERE458640 FBA458640 FKW458640 FUS458640 GEO458640 GOK458640 GYG458640 HIC458640 HRY458640 IBU458640 ILQ458640 IVM458640 JFI458640 JPE458640 JZA458640 KIW458640 KSS458640 LCO458640 LMK458640 LWG458640 MGC458640 MPY458640 MZU458640 NJQ458640 NTM458640 ODI458640 ONE458640 OXA458640 PGW458640 PQS458640 QAO458640 QKK458640 QUG458640 REC458640 RNY458640 RXU458640 SHQ458640 SRM458640 TBI458640 TLE458640 TVA458640 UEW458640 UOS458640 UYO458640 VIK458640 VSG458640 WCC458640 WLY458640 WVU458640 S524176 JI524176 TE524176 ADA524176 AMW524176 AWS524176 BGO524176 BQK524176 CAG524176 CKC524176 CTY524176 DDU524176 DNQ524176 DXM524176 EHI524176 ERE524176 FBA524176 FKW524176 FUS524176 GEO524176 GOK524176 GYG524176 HIC524176 HRY524176 IBU524176 ILQ524176 IVM524176 JFI524176 JPE524176 JZA524176 KIW524176 KSS524176 LCO524176 LMK524176 LWG524176 MGC524176 MPY524176 MZU524176 NJQ524176 NTM524176 ODI524176 ONE524176 OXA524176 PGW524176 PQS524176 QAO524176 QKK524176 QUG524176 REC524176 RNY524176 RXU524176 SHQ524176 SRM524176 TBI524176 TLE524176 TVA524176 UEW524176 UOS524176 UYO524176 VIK524176 VSG524176 WCC524176 WLY524176 WVU524176 S589712 JI589712 TE589712 ADA589712 AMW589712 AWS589712 BGO589712 BQK589712 CAG589712 CKC589712 CTY589712 DDU589712 DNQ589712 DXM589712 EHI589712 ERE589712 FBA589712 FKW589712 FUS589712 GEO589712 GOK589712 GYG589712 HIC589712 HRY589712 IBU589712 ILQ589712 IVM589712 JFI589712 JPE589712 JZA589712 KIW589712 KSS589712 LCO589712 LMK589712 LWG589712 MGC589712 MPY589712 MZU589712 NJQ589712 NTM589712 ODI589712 ONE589712 OXA589712 PGW589712 PQS589712 QAO589712 QKK589712 QUG589712 REC589712 RNY589712 RXU589712 SHQ589712 SRM589712 TBI589712 TLE589712 TVA589712 UEW589712 UOS589712 UYO589712 VIK589712 VSG589712 WCC589712 WLY589712 WVU589712 S655248 JI655248 TE655248 ADA655248 AMW655248 AWS655248 BGO655248 BQK655248 CAG655248 CKC655248 CTY655248 DDU655248 DNQ655248 DXM655248 EHI655248 ERE655248 FBA655248 FKW655248 FUS655248 GEO655248 GOK655248 GYG655248 HIC655248 HRY655248 IBU655248 ILQ655248 IVM655248 JFI655248 JPE655248 JZA655248 KIW655248 KSS655248 LCO655248 LMK655248 LWG655248 MGC655248 MPY655248 MZU655248 NJQ655248 NTM655248 ODI655248 ONE655248 OXA655248 PGW655248 PQS655248 QAO655248 QKK655248 QUG655248 REC655248 RNY655248 RXU655248 SHQ655248 SRM655248 TBI655248 TLE655248 TVA655248 UEW655248 UOS655248 UYO655248 VIK655248 VSG655248 WCC655248 WLY655248 WVU655248 S720784 JI720784 TE720784 ADA720784 AMW720784 AWS720784 BGO720784 BQK720784 CAG720784 CKC720784 CTY720784 DDU720784 DNQ720784 DXM720784 EHI720784 ERE720784 FBA720784 FKW720784 FUS720784 GEO720784 GOK720784 GYG720784 HIC720784 HRY720784 IBU720784 ILQ720784 IVM720784 JFI720784 JPE720784 JZA720784 KIW720784 KSS720784 LCO720784 LMK720784 LWG720784 MGC720784 MPY720784 MZU720784 NJQ720784 NTM720784 ODI720784 ONE720784 OXA720784 PGW720784 PQS720784 QAO720784 QKK720784 QUG720784 REC720784 RNY720784 RXU720784 SHQ720784 SRM720784 TBI720784 TLE720784 TVA720784 UEW720784 UOS720784 UYO720784 VIK720784 VSG720784 WCC720784 WLY720784 WVU720784 S786320 JI786320 TE786320 ADA786320 AMW786320 AWS786320 BGO786320 BQK786320 CAG786320 CKC786320 CTY786320 DDU786320 DNQ786320 DXM786320 EHI786320 ERE786320 FBA786320 FKW786320 FUS786320 GEO786320 GOK786320 GYG786320 HIC786320 HRY786320 IBU786320 ILQ786320 IVM786320 JFI786320 JPE786320 JZA786320 KIW786320 KSS786320 LCO786320 LMK786320 LWG786320 MGC786320 MPY786320 MZU786320 NJQ786320 NTM786320 ODI786320 ONE786320 OXA786320 PGW786320 PQS786320 QAO786320 QKK786320 QUG786320 REC786320 RNY786320 RXU786320 SHQ786320 SRM786320 TBI786320 TLE786320 TVA786320 UEW786320 UOS786320 UYO786320 VIK786320 VSG786320 WCC786320 WLY786320 WVU786320 S851856 JI851856 TE851856 ADA851856 AMW851856 AWS851856 BGO851856 BQK851856 CAG851856 CKC851856 CTY851856 DDU851856 DNQ851856 DXM851856 EHI851856 ERE851856 FBA851856 FKW851856 FUS851856 GEO851856 GOK851856 GYG851856 HIC851856 HRY851856 IBU851856 ILQ851856 IVM851856 JFI851856 JPE851856 JZA851856 KIW851856 KSS851856 LCO851856 LMK851856 LWG851856 MGC851856 MPY851856 MZU851856 NJQ851856 NTM851856 ODI851856 ONE851856 OXA851856 PGW851856 PQS851856 QAO851856 QKK851856 QUG851856 REC851856 RNY851856 RXU851856 SHQ851856 SRM851856 TBI851856 TLE851856 TVA851856 UEW851856 UOS851856 UYO851856 VIK851856 VSG851856 WCC851856 WLY851856 WVU851856 S917392 JI917392 TE917392 ADA917392 AMW917392 AWS917392 BGO917392 BQK917392 CAG917392 CKC917392 CTY917392 DDU917392 DNQ917392 DXM917392 EHI917392 ERE917392 FBA917392 FKW917392 FUS917392 GEO917392 GOK917392 GYG917392 HIC917392 HRY917392 IBU917392 ILQ917392 IVM917392 JFI917392 JPE917392 JZA917392 KIW917392 KSS917392 LCO917392 LMK917392 LWG917392 MGC917392 MPY917392 MZU917392 NJQ917392 NTM917392 ODI917392 ONE917392 OXA917392 PGW917392 PQS917392 QAO917392 QKK917392 QUG917392 REC917392 RNY917392 RXU917392 SHQ917392 SRM917392 TBI917392 TLE917392 TVA917392 UEW917392 UOS917392 UYO917392 VIK917392 VSG917392 WCC917392 WLY917392 WVU917392 S982928 JI982928 TE982928 ADA982928 AMW982928 AWS982928 BGO982928 BQK982928 CAG982928 CKC982928 CTY982928 DDU982928 DNQ982928 DXM982928 EHI982928 ERE982928 FBA982928 FKW982928 FUS982928 GEO982928 GOK982928 GYG982928 HIC982928 HRY982928 IBU982928 ILQ982928 IVM982928 JFI982928 JPE982928 JZA982928 KIW982928 KSS982928 LCO982928 LMK982928 LWG982928 MGC982928 MPY982928 MZU982928 NJQ982928 NTM982928 ODI982928 ONE982928 OXA982928 PGW982928 PQS982928 QAO982928 QKK982928 QUG982928 REC982928 RNY982928 RXU982928 SHQ982928 SRM982928 TBI982928 TLE982928 TVA982928 UEW982928 UOS982928 UYO982928 VIK982928 VSG982928 WCC982928 WLY982928 WVU982928 S65464 JI65464 TE65464 ADA65464 AMW65464 AWS65464 BGO65464 BQK65464 CAG65464 CKC65464 CTY65464 DDU65464 DNQ65464 DXM65464 EHI65464 ERE65464 FBA65464 FKW65464 FUS65464 GEO65464 GOK65464 GYG65464 HIC65464 HRY65464 IBU65464 ILQ65464 IVM65464 JFI65464 JPE65464 JZA65464 KIW65464 KSS65464 LCO65464 LMK65464 LWG65464 MGC65464 MPY65464 MZU65464 NJQ65464 NTM65464 ODI65464 ONE65464 OXA65464 PGW65464 PQS65464 QAO65464 QKK65464 QUG65464 REC65464 RNY65464 RXU65464 SHQ65464 SRM65464 TBI65464 TLE65464 TVA65464 UEW65464 UOS65464 UYO65464 VIK65464 VSG65464 WCC65464 WLY65464 WVU65464 S131000 JI131000 TE131000 ADA131000 AMW131000 AWS131000 BGO131000 BQK131000 CAG131000 CKC131000 CTY131000 DDU131000 DNQ131000 DXM131000 EHI131000 ERE131000 FBA131000 FKW131000 FUS131000 GEO131000 GOK131000 GYG131000 HIC131000 HRY131000 IBU131000 ILQ131000 IVM131000 JFI131000 JPE131000 JZA131000 KIW131000 KSS131000 LCO131000 LMK131000 LWG131000 MGC131000 MPY131000 MZU131000 NJQ131000 NTM131000 ODI131000 ONE131000 OXA131000 PGW131000 PQS131000 QAO131000 QKK131000 QUG131000 REC131000 RNY131000 RXU131000 SHQ131000 SRM131000 TBI131000 TLE131000 TVA131000 UEW131000 UOS131000 UYO131000 VIK131000 VSG131000 WCC131000 WLY131000 WVU131000 S196536 JI196536 TE196536 ADA196536 AMW196536 AWS196536 BGO196536 BQK196536 CAG196536 CKC196536 CTY196536 DDU196536 DNQ196536 DXM196536 EHI196536 ERE196536 FBA196536 FKW196536 FUS196536 GEO196536 GOK196536 GYG196536 HIC196536 HRY196536 IBU196536 ILQ196536 IVM196536 JFI196536 JPE196536 JZA196536 KIW196536 KSS196536 LCO196536 LMK196536 LWG196536 MGC196536 MPY196536 MZU196536 NJQ196536 NTM196536 ODI196536 ONE196536 OXA196536 PGW196536 PQS196536 QAO196536 QKK196536 QUG196536 REC196536 RNY196536 RXU196536 SHQ196536 SRM196536 TBI196536 TLE196536 TVA196536 UEW196536 UOS196536 UYO196536 VIK196536 VSG196536 WCC196536 WLY196536 WVU196536 S262072 JI262072 TE262072 ADA262072 AMW262072 AWS262072 BGO262072 BQK262072 CAG262072 CKC262072 CTY262072 DDU262072 DNQ262072 DXM262072 EHI262072 ERE262072 FBA262072 FKW262072 FUS262072 GEO262072 GOK262072 GYG262072 HIC262072 HRY262072 IBU262072 ILQ262072 IVM262072 JFI262072 JPE262072 JZA262072 KIW262072 KSS262072 LCO262072 LMK262072 LWG262072 MGC262072 MPY262072 MZU262072 NJQ262072 NTM262072 ODI262072 ONE262072 OXA262072 PGW262072 PQS262072 QAO262072 QKK262072 QUG262072 REC262072 RNY262072 RXU262072 SHQ262072 SRM262072 TBI262072 TLE262072 TVA262072 UEW262072 UOS262072 UYO262072 VIK262072 VSG262072 WCC262072 WLY262072 WVU262072 S327608 JI327608 TE327608 ADA327608 AMW327608 AWS327608 BGO327608 BQK327608 CAG327608 CKC327608 CTY327608 DDU327608 DNQ327608 DXM327608 EHI327608 ERE327608 FBA327608 FKW327608 FUS327608 GEO327608 GOK327608 GYG327608 HIC327608 HRY327608 IBU327608 ILQ327608 IVM327608 JFI327608 JPE327608 JZA327608 KIW327608 KSS327608 LCO327608 LMK327608 LWG327608 MGC327608 MPY327608 MZU327608 NJQ327608 NTM327608 ODI327608 ONE327608 OXA327608 PGW327608 PQS327608 QAO327608 QKK327608 QUG327608 REC327608 RNY327608 RXU327608 SHQ327608 SRM327608 TBI327608 TLE327608 TVA327608 UEW327608 UOS327608 UYO327608 VIK327608 VSG327608 WCC327608 WLY327608 WVU327608 S393144 JI393144 TE393144 ADA393144 AMW393144 AWS393144 BGO393144 BQK393144 CAG393144 CKC393144 CTY393144 DDU393144 DNQ393144 DXM393144 EHI393144 ERE393144 FBA393144 FKW393144 FUS393144 GEO393144 GOK393144 GYG393144 HIC393144 HRY393144 IBU393144 ILQ393144 IVM393144 JFI393144 JPE393144 JZA393144 KIW393144 KSS393144 LCO393144 LMK393144 LWG393144 MGC393144 MPY393144 MZU393144 NJQ393144 NTM393144 ODI393144 ONE393144 OXA393144 PGW393144 PQS393144 QAO393144 QKK393144 QUG393144 REC393144 RNY393144 RXU393144 SHQ393144 SRM393144 TBI393144 TLE393144 TVA393144 UEW393144 UOS393144 UYO393144 VIK393144 VSG393144 WCC393144 WLY393144 WVU393144 S458680 JI458680 TE458680 ADA458680 AMW458680 AWS458680 BGO458680 BQK458680 CAG458680 CKC458680 CTY458680 DDU458680 DNQ458680 DXM458680 EHI458680 ERE458680 FBA458680 FKW458680 FUS458680 GEO458680 GOK458680 GYG458680 HIC458680 HRY458680 IBU458680 ILQ458680 IVM458680 JFI458680 JPE458680 JZA458680 KIW458680 KSS458680 LCO458680 LMK458680 LWG458680 MGC458680 MPY458680 MZU458680 NJQ458680 NTM458680 ODI458680 ONE458680 OXA458680 PGW458680 PQS458680 QAO458680 QKK458680 QUG458680 REC458680 RNY458680 RXU458680 SHQ458680 SRM458680 TBI458680 TLE458680 TVA458680 UEW458680 UOS458680 UYO458680 VIK458680 VSG458680 WCC458680 WLY458680 WVU458680 S524216 JI524216 TE524216 ADA524216 AMW524216 AWS524216 BGO524216 BQK524216 CAG524216 CKC524216 CTY524216 DDU524216 DNQ524216 DXM524216 EHI524216 ERE524216 FBA524216 FKW524216 FUS524216 GEO524216 GOK524216 GYG524216 HIC524216 HRY524216 IBU524216 ILQ524216 IVM524216 JFI524216 JPE524216 JZA524216 KIW524216 KSS524216 LCO524216 LMK524216 LWG524216 MGC524216 MPY524216 MZU524216 NJQ524216 NTM524216 ODI524216 ONE524216 OXA524216 PGW524216 PQS524216 QAO524216 QKK524216 QUG524216 REC524216 RNY524216 RXU524216 SHQ524216 SRM524216 TBI524216 TLE524216 TVA524216 UEW524216 UOS524216 UYO524216 VIK524216 VSG524216 WCC524216 WLY524216 WVU524216 S589752 JI589752 TE589752 ADA589752 AMW589752 AWS589752 BGO589752 BQK589752 CAG589752 CKC589752 CTY589752 DDU589752 DNQ589752 DXM589752 EHI589752 ERE589752 FBA589752 FKW589752 FUS589752 GEO589752 GOK589752 GYG589752 HIC589752 HRY589752 IBU589752 ILQ589752 IVM589752 JFI589752 JPE589752 JZA589752 KIW589752 KSS589752 LCO589752 LMK589752 LWG589752 MGC589752 MPY589752 MZU589752 NJQ589752 NTM589752 ODI589752 ONE589752 OXA589752 PGW589752 PQS589752 QAO589752 QKK589752 QUG589752 REC589752 RNY589752 RXU589752 SHQ589752 SRM589752 TBI589752 TLE589752 TVA589752 UEW589752 UOS589752 UYO589752 VIK589752 VSG589752 WCC589752 WLY589752 WVU589752 S655288 JI655288 TE655288 ADA655288 AMW655288 AWS655288 BGO655288 BQK655288 CAG655288 CKC655288 CTY655288 DDU655288 DNQ655288 DXM655288 EHI655288 ERE655288 FBA655288 FKW655288 FUS655288 GEO655288 GOK655288 GYG655288 HIC655288 HRY655288 IBU655288 ILQ655288 IVM655288 JFI655288 JPE655288 JZA655288 KIW655288 KSS655288 LCO655288 LMK655288 LWG655288 MGC655288 MPY655288 MZU655288 NJQ655288 NTM655288 ODI655288 ONE655288 OXA655288 PGW655288 PQS655288 QAO655288 QKK655288 QUG655288 REC655288 RNY655288 RXU655288 SHQ655288 SRM655288 TBI655288 TLE655288 TVA655288 UEW655288 UOS655288 UYO655288 VIK655288 VSG655288 WCC655288 WLY655288 WVU655288 S720824 JI720824 TE720824 ADA720824 AMW720824 AWS720824 BGO720824 BQK720824 CAG720824 CKC720824 CTY720824 DDU720824 DNQ720824 DXM720824 EHI720824 ERE720824 FBA720824 FKW720824 FUS720824 GEO720824 GOK720824 GYG720824 HIC720824 HRY720824 IBU720824 ILQ720824 IVM720824 JFI720824 JPE720824 JZA720824 KIW720824 KSS720824 LCO720824 LMK720824 LWG720824 MGC720824 MPY720824 MZU720824 NJQ720824 NTM720824 ODI720824 ONE720824 OXA720824 PGW720824 PQS720824 QAO720824 QKK720824 QUG720824 REC720824 RNY720824 RXU720824 SHQ720824 SRM720824 TBI720824 TLE720824 TVA720824 UEW720824 UOS720824 UYO720824 VIK720824 VSG720824 WCC720824 WLY720824 WVU720824 S786360 JI786360 TE786360 ADA786360 AMW786360 AWS786360 BGO786360 BQK786360 CAG786360 CKC786360 CTY786360 DDU786360 DNQ786360 DXM786360 EHI786360 ERE786360 FBA786360 FKW786360 FUS786360 GEO786360 GOK786360 GYG786360 HIC786360 HRY786360 IBU786360 ILQ786360 IVM786360 JFI786360 JPE786360 JZA786360 KIW786360 KSS786360 LCO786360 LMK786360 LWG786360 MGC786360 MPY786360 MZU786360 NJQ786360 NTM786360 ODI786360 ONE786360 OXA786360 PGW786360 PQS786360 QAO786360 QKK786360 QUG786360 REC786360 RNY786360 RXU786360 SHQ786360 SRM786360 TBI786360 TLE786360 TVA786360 UEW786360 UOS786360 UYO786360 VIK786360 VSG786360 WCC786360 WLY786360 WVU786360 S851896 JI851896 TE851896 ADA851896 AMW851896 AWS851896 BGO851896 BQK851896 CAG851896 CKC851896 CTY851896 DDU851896 DNQ851896 DXM851896 EHI851896 ERE851896 FBA851896 FKW851896 FUS851896 GEO851896 GOK851896 GYG851896 HIC851896 HRY851896 IBU851896 ILQ851896 IVM851896 JFI851896 JPE851896 JZA851896 KIW851896 KSS851896 LCO851896 LMK851896 LWG851896 MGC851896 MPY851896 MZU851896 NJQ851896 NTM851896 ODI851896 ONE851896 OXA851896 PGW851896 PQS851896 QAO851896 QKK851896 QUG851896 REC851896 RNY851896 RXU851896 SHQ851896 SRM851896 TBI851896 TLE851896 TVA851896 UEW851896 UOS851896 UYO851896 VIK851896 VSG851896 WCC851896 WLY851896 WVU851896 S917432 JI917432 TE917432 ADA917432 AMW917432 AWS917432 BGO917432 BQK917432 CAG917432 CKC917432 CTY917432 DDU917432 DNQ917432 DXM917432 EHI917432 ERE917432 FBA917432 FKW917432 FUS917432 GEO917432 GOK917432 GYG917432 HIC917432 HRY917432 IBU917432 ILQ917432 IVM917432 JFI917432 JPE917432 JZA917432 KIW917432 KSS917432 LCO917432 LMK917432 LWG917432 MGC917432 MPY917432 MZU917432 NJQ917432 NTM917432 ODI917432 ONE917432 OXA917432 PGW917432 PQS917432 QAO917432 QKK917432 QUG917432 REC917432 RNY917432 RXU917432 SHQ917432 SRM917432 TBI917432 TLE917432 TVA917432 UEW917432 UOS917432 UYO917432 VIK917432 VSG917432 WCC917432 WLY917432 WVU917432 S982968 JI982968 TE982968 ADA982968 AMW982968 AWS982968 BGO982968 BQK982968 CAG982968 CKC982968 CTY982968 DDU982968 DNQ982968 DXM982968 EHI982968 ERE982968 FBA982968 FKW982968 FUS982968 GEO982968 GOK982968 GYG982968 HIC982968 HRY982968 IBU982968 ILQ982968 IVM982968 JFI982968 JPE982968 JZA982968 KIW982968 KSS982968 LCO982968 LMK982968 LWG982968 MGC982968 MPY982968 MZU982968 NJQ982968 NTM982968 ODI982968 ONE982968 OXA982968 PGW982968 PQS982968 QAO982968 QKK982968 QUG982968 REC982968 RNY982968 RXU982968 SHQ982968 SRM982968 TBI982968 TLE982968 TVA982968 UEW982968 UOS982968 UYO982968 VIK982968 VSG982968 WCC982968 WLY982968 WVU982968">
      <formula1>0</formula1>
      <formula2>1</formula2>
    </dataValidation>
    <dataValidation type="decimal" allowBlank="1" showErrorMessage="1" errorTitle="Erro de valores" error="Digite um valor entre 0% e 100%" sqref="S15:S20 JI15:JI20 TE15:TE20 ADA15:ADA20 AMW15:AMW20 AWS15:AWS20 BGO15:BGO20 BQK15:BQK20 CAG15:CAG20 CKC15:CKC20 CTY15:CTY20 DDU15:DDU20 DNQ15:DNQ20 DXM15:DXM20 EHI15:EHI20 ERE15:ERE20 FBA15:FBA20 FKW15:FKW20 FUS15:FUS20 GEO15:GEO20 GOK15:GOK20 GYG15:GYG20 HIC15:HIC20 HRY15:HRY20 IBU15:IBU20 ILQ15:ILQ20 IVM15:IVM20 JFI15:JFI20 JPE15:JPE20 JZA15:JZA20 KIW15:KIW20 KSS15:KSS20 LCO15:LCO20 LMK15:LMK20 LWG15:LWG20 MGC15:MGC20 MPY15:MPY20 MZU15:MZU20 NJQ15:NJQ20 NTM15:NTM20 ODI15:ODI20 ONE15:ONE20 OXA15:OXA20 PGW15:PGW20 PQS15:PQS20 QAO15:QAO20 QKK15:QKK20 QUG15:QUG20 REC15:REC20 RNY15:RNY20 RXU15:RXU20 SHQ15:SHQ20 SRM15:SRM20 TBI15:TBI20 TLE15:TLE20 TVA15:TVA20 UEW15:UEW20 UOS15:UOS20 UYO15:UYO20 VIK15:VIK20 VSG15:VSG20 WCC15:WCC20 WLY15:WLY20 WVU15:WVU20 S65378:S65383 JI65378:JI65383 TE65378:TE65383 ADA65378:ADA65383 AMW65378:AMW65383 AWS65378:AWS65383 BGO65378:BGO65383 BQK65378:BQK65383 CAG65378:CAG65383 CKC65378:CKC65383 CTY65378:CTY65383 DDU65378:DDU65383 DNQ65378:DNQ65383 DXM65378:DXM65383 EHI65378:EHI65383 ERE65378:ERE65383 FBA65378:FBA65383 FKW65378:FKW65383 FUS65378:FUS65383 GEO65378:GEO65383 GOK65378:GOK65383 GYG65378:GYG65383 HIC65378:HIC65383 HRY65378:HRY65383 IBU65378:IBU65383 ILQ65378:ILQ65383 IVM65378:IVM65383 JFI65378:JFI65383 JPE65378:JPE65383 JZA65378:JZA65383 KIW65378:KIW65383 KSS65378:KSS65383 LCO65378:LCO65383 LMK65378:LMK65383 LWG65378:LWG65383 MGC65378:MGC65383 MPY65378:MPY65383 MZU65378:MZU65383 NJQ65378:NJQ65383 NTM65378:NTM65383 ODI65378:ODI65383 ONE65378:ONE65383 OXA65378:OXA65383 PGW65378:PGW65383 PQS65378:PQS65383 QAO65378:QAO65383 QKK65378:QKK65383 QUG65378:QUG65383 REC65378:REC65383 RNY65378:RNY65383 RXU65378:RXU65383 SHQ65378:SHQ65383 SRM65378:SRM65383 TBI65378:TBI65383 TLE65378:TLE65383 TVA65378:TVA65383 UEW65378:UEW65383 UOS65378:UOS65383 UYO65378:UYO65383 VIK65378:VIK65383 VSG65378:VSG65383 WCC65378:WCC65383 WLY65378:WLY65383 WVU65378:WVU65383 S130914:S130919 JI130914:JI130919 TE130914:TE130919 ADA130914:ADA130919 AMW130914:AMW130919 AWS130914:AWS130919 BGO130914:BGO130919 BQK130914:BQK130919 CAG130914:CAG130919 CKC130914:CKC130919 CTY130914:CTY130919 DDU130914:DDU130919 DNQ130914:DNQ130919 DXM130914:DXM130919 EHI130914:EHI130919 ERE130914:ERE130919 FBA130914:FBA130919 FKW130914:FKW130919 FUS130914:FUS130919 GEO130914:GEO130919 GOK130914:GOK130919 GYG130914:GYG130919 HIC130914:HIC130919 HRY130914:HRY130919 IBU130914:IBU130919 ILQ130914:ILQ130919 IVM130914:IVM130919 JFI130914:JFI130919 JPE130914:JPE130919 JZA130914:JZA130919 KIW130914:KIW130919 KSS130914:KSS130919 LCO130914:LCO130919 LMK130914:LMK130919 LWG130914:LWG130919 MGC130914:MGC130919 MPY130914:MPY130919 MZU130914:MZU130919 NJQ130914:NJQ130919 NTM130914:NTM130919 ODI130914:ODI130919 ONE130914:ONE130919 OXA130914:OXA130919 PGW130914:PGW130919 PQS130914:PQS130919 QAO130914:QAO130919 QKK130914:QKK130919 QUG130914:QUG130919 REC130914:REC130919 RNY130914:RNY130919 RXU130914:RXU130919 SHQ130914:SHQ130919 SRM130914:SRM130919 TBI130914:TBI130919 TLE130914:TLE130919 TVA130914:TVA130919 UEW130914:UEW130919 UOS130914:UOS130919 UYO130914:UYO130919 VIK130914:VIK130919 VSG130914:VSG130919 WCC130914:WCC130919 WLY130914:WLY130919 WVU130914:WVU130919 S196450:S196455 JI196450:JI196455 TE196450:TE196455 ADA196450:ADA196455 AMW196450:AMW196455 AWS196450:AWS196455 BGO196450:BGO196455 BQK196450:BQK196455 CAG196450:CAG196455 CKC196450:CKC196455 CTY196450:CTY196455 DDU196450:DDU196455 DNQ196450:DNQ196455 DXM196450:DXM196455 EHI196450:EHI196455 ERE196450:ERE196455 FBA196450:FBA196455 FKW196450:FKW196455 FUS196450:FUS196455 GEO196450:GEO196455 GOK196450:GOK196455 GYG196450:GYG196455 HIC196450:HIC196455 HRY196450:HRY196455 IBU196450:IBU196455 ILQ196450:ILQ196455 IVM196450:IVM196455 JFI196450:JFI196455 JPE196450:JPE196455 JZA196450:JZA196455 KIW196450:KIW196455 KSS196450:KSS196455 LCO196450:LCO196455 LMK196450:LMK196455 LWG196450:LWG196455 MGC196450:MGC196455 MPY196450:MPY196455 MZU196450:MZU196455 NJQ196450:NJQ196455 NTM196450:NTM196455 ODI196450:ODI196455 ONE196450:ONE196455 OXA196450:OXA196455 PGW196450:PGW196455 PQS196450:PQS196455 QAO196450:QAO196455 QKK196450:QKK196455 QUG196450:QUG196455 REC196450:REC196455 RNY196450:RNY196455 RXU196450:RXU196455 SHQ196450:SHQ196455 SRM196450:SRM196455 TBI196450:TBI196455 TLE196450:TLE196455 TVA196450:TVA196455 UEW196450:UEW196455 UOS196450:UOS196455 UYO196450:UYO196455 VIK196450:VIK196455 VSG196450:VSG196455 WCC196450:WCC196455 WLY196450:WLY196455 WVU196450:WVU196455 S261986:S261991 JI261986:JI261991 TE261986:TE261991 ADA261986:ADA261991 AMW261986:AMW261991 AWS261986:AWS261991 BGO261986:BGO261991 BQK261986:BQK261991 CAG261986:CAG261991 CKC261986:CKC261991 CTY261986:CTY261991 DDU261986:DDU261991 DNQ261986:DNQ261991 DXM261986:DXM261991 EHI261986:EHI261991 ERE261986:ERE261991 FBA261986:FBA261991 FKW261986:FKW261991 FUS261986:FUS261991 GEO261986:GEO261991 GOK261986:GOK261991 GYG261986:GYG261991 HIC261986:HIC261991 HRY261986:HRY261991 IBU261986:IBU261991 ILQ261986:ILQ261991 IVM261986:IVM261991 JFI261986:JFI261991 JPE261986:JPE261991 JZA261986:JZA261991 KIW261986:KIW261991 KSS261986:KSS261991 LCO261986:LCO261991 LMK261986:LMK261991 LWG261986:LWG261991 MGC261986:MGC261991 MPY261986:MPY261991 MZU261986:MZU261991 NJQ261986:NJQ261991 NTM261986:NTM261991 ODI261986:ODI261991 ONE261986:ONE261991 OXA261986:OXA261991 PGW261986:PGW261991 PQS261986:PQS261991 QAO261986:QAO261991 QKK261986:QKK261991 QUG261986:QUG261991 REC261986:REC261991 RNY261986:RNY261991 RXU261986:RXU261991 SHQ261986:SHQ261991 SRM261986:SRM261991 TBI261986:TBI261991 TLE261986:TLE261991 TVA261986:TVA261991 UEW261986:UEW261991 UOS261986:UOS261991 UYO261986:UYO261991 VIK261986:VIK261991 VSG261986:VSG261991 WCC261986:WCC261991 WLY261986:WLY261991 WVU261986:WVU261991 S327522:S327527 JI327522:JI327527 TE327522:TE327527 ADA327522:ADA327527 AMW327522:AMW327527 AWS327522:AWS327527 BGO327522:BGO327527 BQK327522:BQK327527 CAG327522:CAG327527 CKC327522:CKC327527 CTY327522:CTY327527 DDU327522:DDU327527 DNQ327522:DNQ327527 DXM327522:DXM327527 EHI327522:EHI327527 ERE327522:ERE327527 FBA327522:FBA327527 FKW327522:FKW327527 FUS327522:FUS327527 GEO327522:GEO327527 GOK327522:GOK327527 GYG327522:GYG327527 HIC327522:HIC327527 HRY327522:HRY327527 IBU327522:IBU327527 ILQ327522:ILQ327527 IVM327522:IVM327527 JFI327522:JFI327527 JPE327522:JPE327527 JZA327522:JZA327527 KIW327522:KIW327527 KSS327522:KSS327527 LCO327522:LCO327527 LMK327522:LMK327527 LWG327522:LWG327527 MGC327522:MGC327527 MPY327522:MPY327527 MZU327522:MZU327527 NJQ327522:NJQ327527 NTM327522:NTM327527 ODI327522:ODI327527 ONE327522:ONE327527 OXA327522:OXA327527 PGW327522:PGW327527 PQS327522:PQS327527 QAO327522:QAO327527 QKK327522:QKK327527 QUG327522:QUG327527 REC327522:REC327527 RNY327522:RNY327527 RXU327522:RXU327527 SHQ327522:SHQ327527 SRM327522:SRM327527 TBI327522:TBI327527 TLE327522:TLE327527 TVA327522:TVA327527 UEW327522:UEW327527 UOS327522:UOS327527 UYO327522:UYO327527 VIK327522:VIK327527 VSG327522:VSG327527 WCC327522:WCC327527 WLY327522:WLY327527 WVU327522:WVU327527 S393058:S393063 JI393058:JI393063 TE393058:TE393063 ADA393058:ADA393063 AMW393058:AMW393063 AWS393058:AWS393063 BGO393058:BGO393063 BQK393058:BQK393063 CAG393058:CAG393063 CKC393058:CKC393063 CTY393058:CTY393063 DDU393058:DDU393063 DNQ393058:DNQ393063 DXM393058:DXM393063 EHI393058:EHI393063 ERE393058:ERE393063 FBA393058:FBA393063 FKW393058:FKW393063 FUS393058:FUS393063 GEO393058:GEO393063 GOK393058:GOK393063 GYG393058:GYG393063 HIC393058:HIC393063 HRY393058:HRY393063 IBU393058:IBU393063 ILQ393058:ILQ393063 IVM393058:IVM393063 JFI393058:JFI393063 JPE393058:JPE393063 JZA393058:JZA393063 KIW393058:KIW393063 KSS393058:KSS393063 LCO393058:LCO393063 LMK393058:LMK393063 LWG393058:LWG393063 MGC393058:MGC393063 MPY393058:MPY393063 MZU393058:MZU393063 NJQ393058:NJQ393063 NTM393058:NTM393063 ODI393058:ODI393063 ONE393058:ONE393063 OXA393058:OXA393063 PGW393058:PGW393063 PQS393058:PQS393063 QAO393058:QAO393063 QKK393058:QKK393063 QUG393058:QUG393063 REC393058:REC393063 RNY393058:RNY393063 RXU393058:RXU393063 SHQ393058:SHQ393063 SRM393058:SRM393063 TBI393058:TBI393063 TLE393058:TLE393063 TVA393058:TVA393063 UEW393058:UEW393063 UOS393058:UOS393063 UYO393058:UYO393063 VIK393058:VIK393063 VSG393058:VSG393063 WCC393058:WCC393063 WLY393058:WLY393063 WVU393058:WVU393063 S458594:S458599 JI458594:JI458599 TE458594:TE458599 ADA458594:ADA458599 AMW458594:AMW458599 AWS458594:AWS458599 BGO458594:BGO458599 BQK458594:BQK458599 CAG458594:CAG458599 CKC458594:CKC458599 CTY458594:CTY458599 DDU458594:DDU458599 DNQ458594:DNQ458599 DXM458594:DXM458599 EHI458594:EHI458599 ERE458594:ERE458599 FBA458594:FBA458599 FKW458594:FKW458599 FUS458594:FUS458599 GEO458594:GEO458599 GOK458594:GOK458599 GYG458594:GYG458599 HIC458594:HIC458599 HRY458594:HRY458599 IBU458594:IBU458599 ILQ458594:ILQ458599 IVM458594:IVM458599 JFI458594:JFI458599 JPE458594:JPE458599 JZA458594:JZA458599 KIW458594:KIW458599 KSS458594:KSS458599 LCO458594:LCO458599 LMK458594:LMK458599 LWG458594:LWG458599 MGC458594:MGC458599 MPY458594:MPY458599 MZU458594:MZU458599 NJQ458594:NJQ458599 NTM458594:NTM458599 ODI458594:ODI458599 ONE458594:ONE458599 OXA458594:OXA458599 PGW458594:PGW458599 PQS458594:PQS458599 QAO458594:QAO458599 QKK458594:QKK458599 QUG458594:QUG458599 REC458594:REC458599 RNY458594:RNY458599 RXU458594:RXU458599 SHQ458594:SHQ458599 SRM458594:SRM458599 TBI458594:TBI458599 TLE458594:TLE458599 TVA458594:TVA458599 UEW458594:UEW458599 UOS458594:UOS458599 UYO458594:UYO458599 VIK458594:VIK458599 VSG458594:VSG458599 WCC458594:WCC458599 WLY458594:WLY458599 WVU458594:WVU458599 S524130:S524135 JI524130:JI524135 TE524130:TE524135 ADA524130:ADA524135 AMW524130:AMW524135 AWS524130:AWS524135 BGO524130:BGO524135 BQK524130:BQK524135 CAG524130:CAG524135 CKC524130:CKC524135 CTY524130:CTY524135 DDU524130:DDU524135 DNQ524130:DNQ524135 DXM524130:DXM524135 EHI524130:EHI524135 ERE524130:ERE524135 FBA524130:FBA524135 FKW524130:FKW524135 FUS524130:FUS524135 GEO524130:GEO524135 GOK524130:GOK524135 GYG524130:GYG524135 HIC524130:HIC524135 HRY524130:HRY524135 IBU524130:IBU524135 ILQ524130:ILQ524135 IVM524130:IVM524135 JFI524130:JFI524135 JPE524130:JPE524135 JZA524130:JZA524135 KIW524130:KIW524135 KSS524130:KSS524135 LCO524130:LCO524135 LMK524130:LMK524135 LWG524130:LWG524135 MGC524130:MGC524135 MPY524130:MPY524135 MZU524130:MZU524135 NJQ524130:NJQ524135 NTM524130:NTM524135 ODI524130:ODI524135 ONE524130:ONE524135 OXA524130:OXA524135 PGW524130:PGW524135 PQS524130:PQS524135 QAO524130:QAO524135 QKK524130:QKK524135 QUG524130:QUG524135 REC524130:REC524135 RNY524130:RNY524135 RXU524130:RXU524135 SHQ524130:SHQ524135 SRM524130:SRM524135 TBI524130:TBI524135 TLE524130:TLE524135 TVA524130:TVA524135 UEW524130:UEW524135 UOS524130:UOS524135 UYO524130:UYO524135 VIK524130:VIK524135 VSG524130:VSG524135 WCC524130:WCC524135 WLY524130:WLY524135 WVU524130:WVU524135 S589666:S589671 JI589666:JI589671 TE589666:TE589671 ADA589666:ADA589671 AMW589666:AMW589671 AWS589666:AWS589671 BGO589666:BGO589671 BQK589666:BQK589671 CAG589666:CAG589671 CKC589666:CKC589671 CTY589666:CTY589671 DDU589666:DDU589671 DNQ589666:DNQ589671 DXM589666:DXM589671 EHI589666:EHI589671 ERE589666:ERE589671 FBA589666:FBA589671 FKW589666:FKW589671 FUS589666:FUS589671 GEO589666:GEO589671 GOK589666:GOK589671 GYG589666:GYG589671 HIC589666:HIC589671 HRY589666:HRY589671 IBU589666:IBU589671 ILQ589666:ILQ589671 IVM589666:IVM589671 JFI589666:JFI589671 JPE589666:JPE589671 JZA589666:JZA589671 KIW589666:KIW589671 KSS589666:KSS589671 LCO589666:LCO589671 LMK589666:LMK589671 LWG589666:LWG589671 MGC589666:MGC589671 MPY589666:MPY589671 MZU589666:MZU589671 NJQ589666:NJQ589671 NTM589666:NTM589671 ODI589666:ODI589671 ONE589666:ONE589671 OXA589666:OXA589671 PGW589666:PGW589671 PQS589666:PQS589671 QAO589666:QAO589671 QKK589666:QKK589671 QUG589666:QUG589671 REC589666:REC589671 RNY589666:RNY589671 RXU589666:RXU589671 SHQ589666:SHQ589671 SRM589666:SRM589671 TBI589666:TBI589671 TLE589666:TLE589671 TVA589666:TVA589671 UEW589666:UEW589671 UOS589666:UOS589671 UYO589666:UYO589671 VIK589666:VIK589671 VSG589666:VSG589671 WCC589666:WCC589671 WLY589666:WLY589671 WVU589666:WVU589671 S655202:S655207 JI655202:JI655207 TE655202:TE655207 ADA655202:ADA655207 AMW655202:AMW655207 AWS655202:AWS655207 BGO655202:BGO655207 BQK655202:BQK655207 CAG655202:CAG655207 CKC655202:CKC655207 CTY655202:CTY655207 DDU655202:DDU655207 DNQ655202:DNQ655207 DXM655202:DXM655207 EHI655202:EHI655207 ERE655202:ERE655207 FBA655202:FBA655207 FKW655202:FKW655207 FUS655202:FUS655207 GEO655202:GEO655207 GOK655202:GOK655207 GYG655202:GYG655207 HIC655202:HIC655207 HRY655202:HRY655207 IBU655202:IBU655207 ILQ655202:ILQ655207 IVM655202:IVM655207 JFI655202:JFI655207 JPE655202:JPE655207 JZA655202:JZA655207 KIW655202:KIW655207 KSS655202:KSS655207 LCO655202:LCO655207 LMK655202:LMK655207 LWG655202:LWG655207 MGC655202:MGC655207 MPY655202:MPY655207 MZU655202:MZU655207 NJQ655202:NJQ655207 NTM655202:NTM655207 ODI655202:ODI655207 ONE655202:ONE655207 OXA655202:OXA655207 PGW655202:PGW655207 PQS655202:PQS655207 QAO655202:QAO655207 QKK655202:QKK655207 QUG655202:QUG655207 REC655202:REC655207 RNY655202:RNY655207 RXU655202:RXU655207 SHQ655202:SHQ655207 SRM655202:SRM655207 TBI655202:TBI655207 TLE655202:TLE655207 TVA655202:TVA655207 UEW655202:UEW655207 UOS655202:UOS655207 UYO655202:UYO655207 VIK655202:VIK655207 VSG655202:VSG655207 WCC655202:WCC655207 WLY655202:WLY655207 WVU655202:WVU655207 S720738:S720743 JI720738:JI720743 TE720738:TE720743 ADA720738:ADA720743 AMW720738:AMW720743 AWS720738:AWS720743 BGO720738:BGO720743 BQK720738:BQK720743 CAG720738:CAG720743 CKC720738:CKC720743 CTY720738:CTY720743 DDU720738:DDU720743 DNQ720738:DNQ720743 DXM720738:DXM720743 EHI720738:EHI720743 ERE720738:ERE720743 FBA720738:FBA720743 FKW720738:FKW720743 FUS720738:FUS720743 GEO720738:GEO720743 GOK720738:GOK720743 GYG720738:GYG720743 HIC720738:HIC720743 HRY720738:HRY720743 IBU720738:IBU720743 ILQ720738:ILQ720743 IVM720738:IVM720743 JFI720738:JFI720743 JPE720738:JPE720743 JZA720738:JZA720743 KIW720738:KIW720743 KSS720738:KSS720743 LCO720738:LCO720743 LMK720738:LMK720743 LWG720738:LWG720743 MGC720738:MGC720743 MPY720738:MPY720743 MZU720738:MZU720743 NJQ720738:NJQ720743 NTM720738:NTM720743 ODI720738:ODI720743 ONE720738:ONE720743 OXA720738:OXA720743 PGW720738:PGW720743 PQS720738:PQS720743 QAO720738:QAO720743 QKK720738:QKK720743 QUG720738:QUG720743 REC720738:REC720743 RNY720738:RNY720743 RXU720738:RXU720743 SHQ720738:SHQ720743 SRM720738:SRM720743 TBI720738:TBI720743 TLE720738:TLE720743 TVA720738:TVA720743 UEW720738:UEW720743 UOS720738:UOS720743 UYO720738:UYO720743 VIK720738:VIK720743 VSG720738:VSG720743 WCC720738:WCC720743 WLY720738:WLY720743 WVU720738:WVU720743 S786274:S786279 JI786274:JI786279 TE786274:TE786279 ADA786274:ADA786279 AMW786274:AMW786279 AWS786274:AWS786279 BGO786274:BGO786279 BQK786274:BQK786279 CAG786274:CAG786279 CKC786274:CKC786279 CTY786274:CTY786279 DDU786274:DDU786279 DNQ786274:DNQ786279 DXM786274:DXM786279 EHI786274:EHI786279 ERE786274:ERE786279 FBA786274:FBA786279 FKW786274:FKW786279 FUS786274:FUS786279 GEO786274:GEO786279 GOK786274:GOK786279 GYG786274:GYG786279 HIC786274:HIC786279 HRY786274:HRY786279 IBU786274:IBU786279 ILQ786274:ILQ786279 IVM786274:IVM786279 JFI786274:JFI786279 JPE786274:JPE786279 JZA786274:JZA786279 KIW786274:KIW786279 KSS786274:KSS786279 LCO786274:LCO786279 LMK786274:LMK786279 LWG786274:LWG786279 MGC786274:MGC786279 MPY786274:MPY786279 MZU786274:MZU786279 NJQ786274:NJQ786279 NTM786274:NTM786279 ODI786274:ODI786279 ONE786274:ONE786279 OXA786274:OXA786279 PGW786274:PGW786279 PQS786274:PQS786279 QAO786274:QAO786279 QKK786274:QKK786279 QUG786274:QUG786279 REC786274:REC786279 RNY786274:RNY786279 RXU786274:RXU786279 SHQ786274:SHQ786279 SRM786274:SRM786279 TBI786274:TBI786279 TLE786274:TLE786279 TVA786274:TVA786279 UEW786274:UEW786279 UOS786274:UOS786279 UYO786274:UYO786279 VIK786274:VIK786279 VSG786274:VSG786279 WCC786274:WCC786279 WLY786274:WLY786279 WVU786274:WVU786279 S851810:S851815 JI851810:JI851815 TE851810:TE851815 ADA851810:ADA851815 AMW851810:AMW851815 AWS851810:AWS851815 BGO851810:BGO851815 BQK851810:BQK851815 CAG851810:CAG851815 CKC851810:CKC851815 CTY851810:CTY851815 DDU851810:DDU851815 DNQ851810:DNQ851815 DXM851810:DXM851815 EHI851810:EHI851815 ERE851810:ERE851815 FBA851810:FBA851815 FKW851810:FKW851815 FUS851810:FUS851815 GEO851810:GEO851815 GOK851810:GOK851815 GYG851810:GYG851815 HIC851810:HIC851815 HRY851810:HRY851815 IBU851810:IBU851815 ILQ851810:ILQ851815 IVM851810:IVM851815 JFI851810:JFI851815 JPE851810:JPE851815 JZA851810:JZA851815 KIW851810:KIW851815 KSS851810:KSS851815 LCO851810:LCO851815 LMK851810:LMK851815 LWG851810:LWG851815 MGC851810:MGC851815 MPY851810:MPY851815 MZU851810:MZU851815 NJQ851810:NJQ851815 NTM851810:NTM851815 ODI851810:ODI851815 ONE851810:ONE851815 OXA851810:OXA851815 PGW851810:PGW851815 PQS851810:PQS851815 QAO851810:QAO851815 QKK851810:QKK851815 QUG851810:QUG851815 REC851810:REC851815 RNY851810:RNY851815 RXU851810:RXU851815 SHQ851810:SHQ851815 SRM851810:SRM851815 TBI851810:TBI851815 TLE851810:TLE851815 TVA851810:TVA851815 UEW851810:UEW851815 UOS851810:UOS851815 UYO851810:UYO851815 VIK851810:VIK851815 VSG851810:VSG851815 WCC851810:WCC851815 WLY851810:WLY851815 WVU851810:WVU851815 S917346:S917351 JI917346:JI917351 TE917346:TE917351 ADA917346:ADA917351 AMW917346:AMW917351 AWS917346:AWS917351 BGO917346:BGO917351 BQK917346:BQK917351 CAG917346:CAG917351 CKC917346:CKC917351 CTY917346:CTY917351 DDU917346:DDU917351 DNQ917346:DNQ917351 DXM917346:DXM917351 EHI917346:EHI917351 ERE917346:ERE917351 FBA917346:FBA917351 FKW917346:FKW917351 FUS917346:FUS917351 GEO917346:GEO917351 GOK917346:GOK917351 GYG917346:GYG917351 HIC917346:HIC917351 HRY917346:HRY917351 IBU917346:IBU917351 ILQ917346:ILQ917351 IVM917346:IVM917351 JFI917346:JFI917351 JPE917346:JPE917351 JZA917346:JZA917351 KIW917346:KIW917351 KSS917346:KSS917351 LCO917346:LCO917351 LMK917346:LMK917351 LWG917346:LWG917351 MGC917346:MGC917351 MPY917346:MPY917351 MZU917346:MZU917351 NJQ917346:NJQ917351 NTM917346:NTM917351 ODI917346:ODI917351 ONE917346:ONE917351 OXA917346:OXA917351 PGW917346:PGW917351 PQS917346:PQS917351 QAO917346:QAO917351 QKK917346:QKK917351 QUG917346:QUG917351 REC917346:REC917351 RNY917346:RNY917351 RXU917346:RXU917351 SHQ917346:SHQ917351 SRM917346:SRM917351 TBI917346:TBI917351 TLE917346:TLE917351 TVA917346:TVA917351 UEW917346:UEW917351 UOS917346:UOS917351 UYO917346:UYO917351 VIK917346:VIK917351 VSG917346:VSG917351 WCC917346:WCC917351 WLY917346:WLY917351 WVU917346:WVU917351 S982882:S982887 JI982882:JI982887 TE982882:TE982887 ADA982882:ADA982887 AMW982882:AMW982887 AWS982882:AWS982887 BGO982882:BGO982887 BQK982882:BQK982887 CAG982882:CAG982887 CKC982882:CKC982887 CTY982882:CTY982887 DDU982882:DDU982887 DNQ982882:DNQ982887 DXM982882:DXM982887 EHI982882:EHI982887 ERE982882:ERE982887 FBA982882:FBA982887 FKW982882:FKW982887 FUS982882:FUS982887 GEO982882:GEO982887 GOK982882:GOK982887 GYG982882:GYG982887 HIC982882:HIC982887 HRY982882:HRY982887 IBU982882:IBU982887 ILQ982882:ILQ982887 IVM982882:IVM982887 JFI982882:JFI982887 JPE982882:JPE982887 JZA982882:JZA982887 KIW982882:KIW982887 KSS982882:KSS982887 LCO982882:LCO982887 LMK982882:LMK982887 LWG982882:LWG982887 MGC982882:MGC982887 MPY982882:MPY982887 MZU982882:MZU982887 NJQ982882:NJQ982887 NTM982882:NTM982887 ODI982882:ODI982887 ONE982882:ONE982887 OXA982882:OXA982887 PGW982882:PGW982887 PQS982882:PQS982887 QAO982882:QAO982887 QKK982882:QKK982887 QUG982882:QUG982887 REC982882:REC982887 RNY982882:RNY982887 RXU982882:RXU982887 SHQ982882:SHQ982887 SRM982882:SRM982887 TBI982882:TBI982887 TLE982882:TLE982887 TVA982882:TVA982887 UEW982882:UEW982887 UOS982882:UOS982887 UYO982882:UYO982887 VIK982882:VIK982887 VSG982882:VSG982887 WCC982882:WCC982887 WLY982882:WLY982887 WVU982882:WVU982887 S65418:S65423 JI65418:JI65423 TE65418:TE65423 ADA65418:ADA65423 AMW65418:AMW65423 AWS65418:AWS65423 BGO65418:BGO65423 BQK65418:BQK65423 CAG65418:CAG65423 CKC65418:CKC65423 CTY65418:CTY65423 DDU65418:DDU65423 DNQ65418:DNQ65423 DXM65418:DXM65423 EHI65418:EHI65423 ERE65418:ERE65423 FBA65418:FBA65423 FKW65418:FKW65423 FUS65418:FUS65423 GEO65418:GEO65423 GOK65418:GOK65423 GYG65418:GYG65423 HIC65418:HIC65423 HRY65418:HRY65423 IBU65418:IBU65423 ILQ65418:ILQ65423 IVM65418:IVM65423 JFI65418:JFI65423 JPE65418:JPE65423 JZA65418:JZA65423 KIW65418:KIW65423 KSS65418:KSS65423 LCO65418:LCO65423 LMK65418:LMK65423 LWG65418:LWG65423 MGC65418:MGC65423 MPY65418:MPY65423 MZU65418:MZU65423 NJQ65418:NJQ65423 NTM65418:NTM65423 ODI65418:ODI65423 ONE65418:ONE65423 OXA65418:OXA65423 PGW65418:PGW65423 PQS65418:PQS65423 QAO65418:QAO65423 QKK65418:QKK65423 QUG65418:QUG65423 REC65418:REC65423 RNY65418:RNY65423 RXU65418:RXU65423 SHQ65418:SHQ65423 SRM65418:SRM65423 TBI65418:TBI65423 TLE65418:TLE65423 TVA65418:TVA65423 UEW65418:UEW65423 UOS65418:UOS65423 UYO65418:UYO65423 VIK65418:VIK65423 VSG65418:VSG65423 WCC65418:WCC65423 WLY65418:WLY65423 WVU65418:WVU65423 S130954:S130959 JI130954:JI130959 TE130954:TE130959 ADA130954:ADA130959 AMW130954:AMW130959 AWS130954:AWS130959 BGO130954:BGO130959 BQK130954:BQK130959 CAG130954:CAG130959 CKC130954:CKC130959 CTY130954:CTY130959 DDU130954:DDU130959 DNQ130954:DNQ130959 DXM130954:DXM130959 EHI130954:EHI130959 ERE130954:ERE130959 FBA130954:FBA130959 FKW130954:FKW130959 FUS130954:FUS130959 GEO130954:GEO130959 GOK130954:GOK130959 GYG130954:GYG130959 HIC130954:HIC130959 HRY130954:HRY130959 IBU130954:IBU130959 ILQ130954:ILQ130959 IVM130954:IVM130959 JFI130954:JFI130959 JPE130954:JPE130959 JZA130954:JZA130959 KIW130954:KIW130959 KSS130954:KSS130959 LCO130954:LCO130959 LMK130954:LMK130959 LWG130954:LWG130959 MGC130954:MGC130959 MPY130954:MPY130959 MZU130954:MZU130959 NJQ130954:NJQ130959 NTM130954:NTM130959 ODI130954:ODI130959 ONE130954:ONE130959 OXA130954:OXA130959 PGW130954:PGW130959 PQS130954:PQS130959 QAO130954:QAO130959 QKK130954:QKK130959 QUG130954:QUG130959 REC130954:REC130959 RNY130954:RNY130959 RXU130954:RXU130959 SHQ130954:SHQ130959 SRM130954:SRM130959 TBI130954:TBI130959 TLE130954:TLE130959 TVA130954:TVA130959 UEW130954:UEW130959 UOS130954:UOS130959 UYO130954:UYO130959 VIK130954:VIK130959 VSG130954:VSG130959 WCC130954:WCC130959 WLY130954:WLY130959 WVU130954:WVU130959 S196490:S196495 JI196490:JI196495 TE196490:TE196495 ADA196490:ADA196495 AMW196490:AMW196495 AWS196490:AWS196495 BGO196490:BGO196495 BQK196490:BQK196495 CAG196490:CAG196495 CKC196490:CKC196495 CTY196490:CTY196495 DDU196490:DDU196495 DNQ196490:DNQ196495 DXM196490:DXM196495 EHI196490:EHI196495 ERE196490:ERE196495 FBA196490:FBA196495 FKW196490:FKW196495 FUS196490:FUS196495 GEO196490:GEO196495 GOK196490:GOK196495 GYG196490:GYG196495 HIC196490:HIC196495 HRY196490:HRY196495 IBU196490:IBU196495 ILQ196490:ILQ196495 IVM196490:IVM196495 JFI196490:JFI196495 JPE196490:JPE196495 JZA196490:JZA196495 KIW196490:KIW196495 KSS196490:KSS196495 LCO196490:LCO196495 LMK196490:LMK196495 LWG196490:LWG196495 MGC196490:MGC196495 MPY196490:MPY196495 MZU196490:MZU196495 NJQ196490:NJQ196495 NTM196490:NTM196495 ODI196490:ODI196495 ONE196490:ONE196495 OXA196490:OXA196495 PGW196490:PGW196495 PQS196490:PQS196495 QAO196490:QAO196495 QKK196490:QKK196495 QUG196490:QUG196495 REC196490:REC196495 RNY196490:RNY196495 RXU196490:RXU196495 SHQ196490:SHQ196495 SRM196490:SRM196495 TBI196490:TBI196495 TLE196490:TLE196495 TVA196490:TVA196495 UEW196490:UEW196495 UOS196490:UOS196495 UYO196490:UYO196495 VIK196490:VIK196495 VSG196490:VSG196495 WCC196490:WCC196495 WLY196490:WLY196495 WVU196490:WVU196495 S262026:S262031 JI262026:JI262031 TE262026:TE262031 ADA262026:ADA262031 AMW262026:AMW262031 AWS262026:AWS262031 BGO262026:BGO262031 BQK262026:BQK262031 CAG262026:CAG262031 CKC262026:CKC262031 CTY262026:CTY262031 DDU262026:DDU262031 DNQ262026:DNQ262031 DXM262026:DXM262031 EHI262026:EHI262031 ERE262026:ERE262031 FBA262026:FBA262031 FKW262026:FKW262031 FUS262026:FUS262031 GEO262026:GEO262031 GOK262026:GOK262031 GYG262026:GYG262031 HIC262026:HIC262031 HRY262026:HRY262031 IBU262026:IBU262031 ILQ262026:ILQ262031 IVM262026:IVM262031 JFI262026:JFI262031 JPE262026:JPE262031 JZA262026:JZA262031 KIW262026:KIW262031 KSS262026:KSS262031 LCO262026:LCO262031 LMK262026:LMK262031 LWG262026:LWG262031 MGC262026:MGC262031 MPY262026:MPY262031 MZU262026:MZU262031 NJQ262026:NJQ262031 NTM262026:NTM262031 ODI262026:ODI262031 ONE262026:ONE262031 OXA262026:OXA262031 PGW262026:PGW262031 PQS262026:PQS262031 QAO262026:QAO262031 QKK262026:QKK262031 QUG262026:QUG262031 REC262026:REC262031 RNY262026:RNY262031 RXU262026:RXU262031 SHQ262026:SHQ262031 SRM262026:SRM262031 TBI262026:TBI262031 TLE262026:TLE262031 TVA262026:TVA262031 UEW262026:UEW262031 UOS262026:UOS262031 UYO262026:UYO262031 VIK262026:VIK262031 VSG262026:VSG262031 WCC262026:WCC262031 WLY262026:WLY262031 WVU262026:WVU262031 S327562:S327567 JI327562:JI327567 TE327562:TE327567 ADA327562:ADA327567 AMW327562:AMW327567 AWS327562:AWS327567 BGO327562:BGO327567 BQK327562:BQK327567 CAG327562:CAG327567 CKC327562:CKC327567 CTY327562:CTY327567 DDU327562:DDU327567 DNQ327562:DNQ327567 DXM327562:DXM327567 EHI327562:EHI327567 ERE327562:ERE327567 FBA327562:FBA327567 FKW327562:FKW327567 FUS327562:FUS327567 GEO327562:GEO327567 GOK327562:GOK327567 GYG327562:GYG327567 HIC327562:HIC327567 HRY327562:HRY327567 IBU327562:IBU327567 ILQ327562:ILQ327567 IVM327562:IVM327567 JFI327562:JFI327567 JPE327562:JPE327567 JZA327562:JZA327567 KIW327562:KIW327567 KSS327562:KSS327567 LCO327562:LCO327567 LMK327562:LMK327567 LWG327562:LWG327567 MGC327562:MGC327567 MPY327562:MPY327567 MZU327562:MZU327567 NJQ327562:NJQ327567 NTM327562:NTM327567 ODI327562:ODI327567 ONE327562:ONE327567 OXA327562:OXA327567 PGW327562:PGW327567 PQS327562:PQS327567 QAO327562:QAO327567 QKK327562:QKK327567 QUG327562:QUG327567 REC327562:REC327567 RNY327562:RNY327567 RXU327562:RXU327567 SHQ327562:SHQ327567 SRM327562:SRM327567 TBI327562:TBI327567 TLE327562:TLE327567 TVA327562:TVA327567 UEW327562:UEW327567 UOS327562:UOS327567 UYO327562:UYO327567 VIK327562:VIK327567 VSG327562:VSG327567 WCC327562:WCC327567 WLY327562:WLY327567 WVU327562:WVU327567 S393098:S393103 JI393098:JI393103 TE393098:TE393103 ADA393098:ADA393103 AMW393098:AMW393103 AWS393098:AWS393103 BGO393098:BGO393103 BQK393098:BQK393103 CAG393098:CAG393103 CKC393098:CKC393103 CTY393098:CTY393103 DDU393098:DDU393103 DNQ393098:DNQ393103 DXM393098:DXM393103 EHI393098:EHI393103 ERE393098:ERE393103 FBA393098:FBA393103 FKW393098:FKW393103 FUS393098:FUS393103 GEO393098:GEO393103 GOK393098:GOK393103 GYG393098:GYG393103 HIC393098:HIC393103 HRY393098:HRY393103 IBU393098:IBU393103 ILQ393098:ILQ393103 IVM393098:IVM393103 JFI393098:JFI393103 JPE393098:JPE393103 JZA393098:JZA393103 KIW393098:KIW393103 KSS393098:KSS393103 LCO393098:LCO393103 LMK393098:LMK393103 LWG393098:LWG393103 MGC393098:MGC393103 MPY393098:MPY393103 MZU393098:MZU393103 NJQ393098:NJQ393103 NTM393098:NTM393103 ODI393098:ODI393103 ONE393098:ONE393103 OXA393098:OXA393103 PGW393098:PGW393103 PQS393098:PQS393103 QAO393098:QAO393103 QKK393098:QKK393103 QUG393098:QUG393103 REC393098:REC393103 RNY393098:RNY393103 RXU393098:RXU393103 SHQ393098:SHQ393103 SRM393098:SRM393103 TBI393098:TBI393103 TLE393098:TLE393103 TVA393098:TVA393103 UEW393098:UEW393103 UOS393098:UOS393103 UYO393098:UYO393103 VIK393098:VIK393103 VSG393098:VSG393103 WCC393098:WCC393103 WLY393098:WLY393103 WVU393098:WVU393103 S458634:S458639 JI458634:JI458639 TE458634:TE458639 ADA458634:ADA458639 AMW458634:AMW458639 AWS458634:AWS458639 BGO458634:BGO458639 BQK458634:BQK458639 CAG458634:CAG458639 CKC458634:CKC458639 CTY458634:CTY458639 DDU458634:DDU458639 DNQ458634:DNQ458639 DXM458634:DXM458639 EHI458634:EHI458639 ERE458634:ERE458639 FBA458634:FBA458639 FKW458634:FKW458639 FUS458634:FUS458639 GEO458634:GEO458639 GOK458634:GOK458639 GYG458634:GYG458639 HIC458634:HIC458639 HRY458634:HRY458639 IBU458634:IBU458639 ILQ458634:ILQ458639 IVM458634:IVM458639 JFI458634:JFI458639 JPE458634:JPE458639 JZA458634:JZA458639 KIW458634:KIW458639 KSS458634:KSS458639 LCO458634:LCO458639 LMK458634:LMK458639 LWG458634:LWG458639 MGC458634:MGC458639 MPY458634:MPY458639 MZU458634:MZU458639 NJQ458634:NJQ458639 NTM458634:NTM458639 ODI458634:ODI458639 ONE458634:ONE458639 OXA458634:OXA458639 PGW458634:PGW458639 PQS458634:PQS458639 QAO458634:QAO458639 QKK458634:QKK458639 QUG458634:QUG458639 REC458634:REC458639 RNY458634:RNY458639 RXU458634:RXU458639 SHQ458634:SHQ458639 SRM458634:SRM458639 TBI458634:TBI458639 TLE458634:TLE458639 TVA458634:TVA458639 UEW458634:UEW458639 UOS458634:UOS458639 UYO458634:UYO458639 VIK458634:VIK458639 VSG458634:VSG458639 WCC458634:WCC458639 WLY458634:WLY458639 WVU458634:WVU458639 S524170:S524175 JI524170:JI524175 TE524170:TE524175 ADA524170:ADA524175 AMW524170:AMW524175 AWS524170:AWS524175 BGO524170:BGO524175 BQK524170:BQK524175 CAG524170:CAG524175 CKC524170:CKC524175 CTY524170:CTY524175 DDU524170:DDU524175 DNQ524170:DNQ524175 DXM524170:DXM524175 EHI524170:EHI524175 ERE524170:ERE524175 FBA524170:FBA524175 FKW524170:FKW524175 FUS524170:FUS524175 GEO524170:GEO524175 GOK524170:GOK524175 GYG524170:GYG524175 HIC524170:HIC524175 HRY524170:HRY524175 IBU524170:IBU524175 ILQ524170:ILQ524175 IVM524170:IVM524175 JFI524170:JFI524175 JPE524170:JPE524175 JZA524170:JZA524175 KIW524170:KIW524175 KSS524170:KSS524175 LCO524170:LCO524175 LMK524170:LMK524175 LWG524170:LWG524175 MGC524170:MGC524175 MPY524170:MPY524175 MZU524170:MZU524175 NJQ524170:NJQ524175 NTM524170:NTM524175 ODI524170:ODI524175 ONE524170:ONE524175 OXA524170:OXA524175 PGW524170:PGW524175 PQS524170:PQS524175 QAO524170:QAO524175 QKK524170:QKK524175 QUG524170:QUG524175 REC524170:REC524175 RNY524170:RNY524175 RXU524170:RXU524175 SHQ524170:SHQ524175 SRM524170:SRM524175 TBI524170:TBI524175 TLE524170:TLE524175 TVA524170:TVA524175 UEW524170:UEW524175 UOS524170:UOS524175 UYO524170:UYO524175 VIK524170:VIK524175 VSG524170:VSG524175 WCC524170:WCC524175 WLY524170:WLY524175 WVU524170:WVU524175 S589706:S589711 JI589706:JI589711 TE589706:TE589711 ADA589706:ADA589711 AMW589706:AMW589711 AWS589706:AWS589711 BGO589706:BGO589711 BQK589706:BQK589711 CAG589706:CAG589711 CKC589706:CKC589711 CTY589706:CTY589711 DDU589706:DDU589711 DNQ589706:DNQ589711 DXM589706:DXM589711 EHI589706:EHI589711 ERE589706:ERE589711 FBA589706:FBA589711 FKW589706:FKW589711 FUS589706:FUS589711 GEO589706:GEO589711 GOK589706:GOK589711 GYG589706:GYG589711 HIC589706:HIC589711 HRY589706:HRY589711 IBU589706:IBU589711 ILQ589706:ILQ589711 IVM589706:IVM589711 JFI589706:JFI589711 JPE589706:JPE589711 JZA589706:JZA589711 KIW589706:KIW589711 KSS589706:KSS589711 LCO589706:LCO589711 LMK589706:LMK589711 LWG589706:LWG589711 MGC589706:MGC589711 MPY589706:MPY589711 MZU589706:MZU589711 NJQ589706:NJQ589711 NTM589706:NTM589711 ODI589706:ODI589711 ONE589706:ONE589711 OXA589706:OXA589711 PGW589706:PGW589711 PQS589706:PQS589711 QAO589706:QAO589711 QKK589706:QKK589711 QUG589706:QUG589711 REC589706:REC589711 RNY589706:RNY589711 RXU589706:RXU589711 SHQ589706:SHQ589711 SRM589706:SRM589711 TBI589706:TBI589711 TLE589706:TLE589711 TVA589706:TVA589711 UEW589706:UEW589711 UOS589706:UOS589711 UYO589706:UYO589711 VIK589706:VIK589711 VSG589706:VSG589711 WCC589706:WCC589711 WLY589706:WLY589711 WVU589706:WVU589711 S655242:S655247 JI655242:JI655247 TE655242:TE655247 ADA655242:ADA655247 AMW655242:AMW655247 AWS655242:AWS655247 BGO655242:BGO655247 BQK655242:BQK655247 CAG655242:CAG655247 CKC655242:CKC655247 CTY655242:CTY655247 DDU655242:DDU655247 DNQ655242:DNQ655247 DXM655242:DXM655247 EHI655242:EHI655247 ERE655242:ERE655247 FBA655242:FBA655247 FKW655242:FKW655247 FUS655242:FUS655247 GEO655242:GEO655247 GOK655242:GOK655247 GYG655242:GYG655247 HIC655242:HIC655247 HRY655242:HRY655247 IBU655242:IBU655247 ILQ655242:ILQ655247 IVM655242:IVM655247 JFI655242:JFI655247 JPE655242:JPE655247 JZA655242:JZA655247 KIW655242:KIW655247 KSS655242:KSS655247 LCO655242:LCO655247 LMK655242:LMK655247 LWG655242:LWG655247 MGC655242:MGC655247 MPY655242:MPY655247 MZU655242:MZU655247 NJQ655242:NJQ655247 NTM655242:NTM655247 ODI655242:ODI655247 ONE655242:ONE655247 OXA655242:OXA655247 PGW655242:PGW655247 PQS655242:PQS655247 QAO655242:QAO655247 QKK655242:QKK655247 QUG655242:QUG655247 REC655242:REC655247 RNY655242:RNY655247 RXU655242:RXU655247 SHQ655242:SHQ655247 SRM655242:SRM655247 TBI655242:TBI655247 TLE655242:TLE655247 TVA655242:TVA655247 UEW655242:UEW655247 UOS655242:UOS655247 UYO655242:UYO655247 VIK655242:VIK655247 VSG655242:VSG655247 WCC655242:WCC655247 WLY655242:WLY655247 WVU655242:WVU655247 S720778:S720783 JI720778:JI720783 TE720778:TE720783 ADA720778:ADA720783 AMW720778:AMW720783 AWS720778:AWS720783 BGO720778:BGO720783 BQK720778:BQK720783 CAG720778:CAG720783 CKC720778:CKC720783 CTY720778:CTY720783 DDU720778:DDU720783 DNQ720778:DNQ720783 DXM720778:DXM720783 EHI720778:EHI720783 ERE720778:ERE720783 FBA720778:FBA720783 FKW720778:FKW720783 FUS720778:FUS720783 GEO720778:GEO720783 GOK720778:GOK720783 GYG720778:GYG720783 HIC720778:HIC720783 HRY720778:HRY720783 IBU720778:IBU720783 ILQ720778:ILQ720783 IVM720778:IVM720783 JFI720778:JFI720783 JPE720778:JPE720783 JZA720778:JZA720783 KIW720778:KIW720783 KSS720778:KSS720783 LCO720778:LCO720783 LMK720778:LMK720783 LWG720778:LWG720783 MGC720778:MGC720783 MPY720778:MPY720783 MZU720778:MZU720783 NJQ720778:NJQ720783 NTM720778:NTM720783 ODI720778:ODI720783 ONE720778:ONE720783 OXA720778:OXA720783 PGW720778:PGW720783 PQS720778:PQS720783 QAO720778:QAO720783 QKK720778:QKK720783 QUG720778:QUG720783 REC720778:REC720783 RNY720778:RNY720783 RXU720778:RXU720783 SHQ720778:SHQ720783 SRM720778:SRM720783 TBI720778:TBI720783 TLE720778:TLE720783 TVA720778:TVA720783 UEW720778:UEW720783 UOS720778:UOS720783 UYO720778:UYO720783 VIK720778:VIK720783 VSG720778:VSG720783 WCC720778:WCC720783 WLY720778:WLY720783 WVU720778:WVU720783 S786314:S786319 JI786314:JI786319 TE786314:TE786319 ADA786314:ADA786319 AMW786314:AMW786319 AWS786314:AWS786319 BGO786314:BGO786319 BQK786314:BQK786319 CAG786314:CAG786319 CKC786314:CKC786319 CTY786314:CTY786319 DDU786314:DDU786319 DNQ786314:DNQ786319 DXM786314:DXM786319 EHI786314:EHI786319 ERE786314:ERE786319 FBA786314:FBA786319 FKW786314:FKW786319 FUS786314:FUS786319 GEO786314:GEO786319 GOK786314:GOK786319 GYG786314:GYG786319 HIC786314:HIC786319 HRY786314:HRY786319 IBU786314:IBU786319 ILQ786314:ILQ786319 IVM786314:IVM786319 JFI786314:JFI786319 JPE786314:JPE786319 JZA786314:JZA786319 KIW786314:KIW786319 KSS786314:KSS786319 LCO786314:LCO786319 LMK786314:LMK786319 LWG786314:LWG786319 MGC786314:MGC786319 MPY786314:MPY786319 MZU786314:MZU786319 NJQ786314:NJQ786319 NTM786314:NTM786319 ODI786314:ODI786319 ONE786314:ONE786319 OXA786314:OXA786319 PGW786314:PGW786319 PQS786314:PQS786319 QAO786314:QAO786319 QKK786314:QKK786319 QUG786314:QUG786319 REC786314:REC786319 RNY786314:RNY786319 RXU786314:RXU786319 SHQ786314:SHQ786319 SRM786314:SRM786319 TBI786314:TBI786319 TLE786314:TLE786319 TVA786314:TVA786319 UEW786314:UEW786319 UOS786314:UOS786319 UYO786314:UYO786319 VIK786314:VIK786319 VSG786314:VSG786319 WCC786314:WCC786319 WLY786314:WLY786319 WVU786314:WVU786319 S851850:S851855 JI851850:JI851855 TE851850:TE851855 ADA851850:ADA851855 AMW851850:AMW851855 AWS851850:AWS851855 BGO851850:BGO851855 BQK851850:BQK851855 CAG851850:CAG851855 CKC851850:CKC851855 CTY851850:CTY851855 DDU851850:DDU851855 DNQ851850:DNQ851855 DXM851850:DXM851855 EHI851850:EHI851855 ERE851850:ERE851855 FBA851850:FBA851855 FKW851850:FKW851855 FUS851850:FUS851855 GEO851850:GEO851855 GOK851850:GOK851855 GYG851850:GYG851855 HIC851850:HIC851855 HRY851850:HRY851855 IBU851850:IBU851855 ILQ851850:ILQ851855 IVM851850:IVM851855 JFI851850:JFI851855 JPE851850:JPE851855 JZA851850:JZA851855 KIW851850:KIW851855 KSS851850:KSS851855 LCO851850:LCO851855 LMK851850:LMK851855 LWG851850:LWG851855 MGC851850:MGC851855 MPY851850:MPY851855 MZU851850:MZU851855 NJQ851850:NJQ851855 NTM851850:NTM851855 ODI851850:ODI851855 ONE851850:ONE851855 OXA851850:OXA851855 PGW851850:PGW851855 PQS851850:PQS851855 QAO851850:QAO851855 QKK851850:QKK851855 QUG851850:QUG851855 REC851850:REC851855 RNY851850:RNY851855 RXU851850:RXU851855 SHQ851850:SHQ851855 SRM851850:SRM851855 TBI851850:TBI851855 TLE851850:TLE851855 TVA851850:TVA851855 UEW851850:UEW851855 UOS851850:UOS851855 UYO851850:UYO851855 VIK851850:VIK851855 VSG851850:VSG851855 WCC851850:WCC851855 WLY851850:WLY851855 WVU851850:WVU851855 S917386:S917391 JI917386:JI917391 TE917386:TE917391 ADA917386:ADA917391 AMW917386:AMW917391 AWS917386:AWS917391 BGO917386:BGO917391 BQK917386:BQK917391 CAG917386:CAG917391 CKC917386:CKC917391 CTY917386:CTY917391 DDU917386:DDU917391 DNQ917386:DNQ917391 DXM917386:DXM917391 EHI917386:EHI917391 ERE917386:ERE917391 FBA917386:FBA917391 FKW917386:FKW917391 FUS917386:FUS917391 GEO917386:GEO917391 GOK917386:GOK917391 GYG917386:GYG917391 HIC917386:HIC917391 HRY917386:HRY917391 IBU917386:IBU917391 ILQ917386:ILQ917391 IVM917386:IVM917391 JFI917386:JFI917391 JPE917386:JPE917391 JZA917386:JZA917391 KIW917386:KIW917391 KSS917386:KSS917391 LCO917386:LCO917391 LMK917386:LMK917391 LWG917386:LWG917391 MGC917386:MGC917391 MPY917386:MPY917391 MZU917386:MZU917391 NJQ917386:NJQ917391 NTM917386:NTM917391 ODI917386:ODI917391 ONE917386:ONE917391 OXA917386:OXA917391 PGW917386:PGW917391 PQS917386:PQS917391 QAO917386:QAO917391 QKK917386:QKK917391 QUG917386:QUG917391 REC917386:REC917391 RNY917386:RNY917391 RXU917386:RXU917391 SHQ917386:SHQ917391 SRM917386:SRM917391 TBI917386:TBI917391 TLE917386:TLE917391 TVA917386:TVA917391 UEW917386:UEW917391 UOS917386:UOS917391 UYO917386:UYO917391 VIK917386:VIK917391 VSG917386:VSG917391 WCC917386:WCC917391 WLY917386:WLY917391 WVU917386:WVU917391 S982922:S982927 JI982922:JI982927 TE982922:TE982927 ADA982922:ADA982927 AMW982922:AMW982927 AWS982922:AWS982927 BGO982922:BGO982927 BQK982922:BQK982927 CAG982922:CAG982927 CKC982922:CKC982927 CTY982922:CTY982927 DDU982922:DDU982927 DNQ982922:DNQ982927 DXM982922:DXM982927 EHI982922:EHI982927 ERE982922:ERE982927 FBA982922:FBA982927 FKW982922:FKW982927 FUS982922:FUS982927 GEO982922:GEO982927 GOK982922:GOK982927 GYG982922:GYG982927 HIC982922:HIC982927 HRY982922:HRY982927 IBU982922:IBU982927 ILQ982922:ILQ982927 IVM982922:IVM982927 JFI982922:JFI982927 JPE982922:JPE982927 JZA982922:JZA982927 KIW982922:KIW982927 KSS982922:KSS982927 LCO982922:LCO982927 LMK982922:LMK982927 LWG982922:LWG982927 MGC982922:MGC982927 MPY982922:MPY982927 MZU982922:MZU982927 NJQ982922:NJQ982927 NTM982922:NTM982927 ODI982922:ODI982927 ONE982922:ONE982927 OXA982922:OXA982927 PGW982922:PGW982927 PQS982922:PQS982927 QAO982922:QAO982927 QKK982922:QKK982927 QUG982922:QUG982927 REC982922:REC982927 RNY982922:RNY982927 RXU982922:RXU982927 SHQ982922:SHQ982927 SRM982922:SRM982927 TBI982922:TBI982927 TLE982922:TLE982927 TVA982922:TVA982927 UEW982922:UEW982927 UOS982922:UOS982927 UYO982922:UYO982927 VIK982922:VIK982927 VSG982922:VSG982927 WCC982922:WCC982927 WLY982922:WLY982927 WVU982922:WVU982927 S65458:S65463 JI65458:JI65463 TE65458:TE65463 ADA65458:ADA65463 AMW65458:AMW65463 AWS65458:AWS65463 BGO65458:BGO65463 BQK65458:BQK65463 CAG65458:CAG65463 CKC65458:CKC65463 CTY65458:CTY65463 DDU65458:DDU65463 DNQ65458:DNQ65463 DXM65458:DXM65463 EHI65458:EHI65463 ERE65458:ERE65463 FBA65458:FBA65463 FKW65458:FKW65463 FUS65458:FUS65463 GEO65458:GEO65463 GOK65458:GOK65463 GYG65458:GYG65463 HIC65458:HIC65463 HRY65458:HRY65463 IBU65458:IBU65463 ILQ65458:ILQ65463 IVM65458:IVM65463 JFI65458:JFI65463 JPE65458:JPE65463 JZA65458:JZA65463 KIW65458:KIW65463 KSS65458:KSS65463 LCO65458:LCO65463 LMK65458:LMK65463 LWG65458:LWG65463 MGC65458:MGC65463 MPY65458:MPY65463 MZU65458:MZU65463 NJQ65458:NJQ65463 NTM65458:NTM65463 ODI65458:ODI65463 ONE65458:ONE65463 OXA65458:OXA65463 PGW65458:PGW65463 PQS65458:PQS65463 QAO65458:QAO65463 QKK65458:QKK65463 QUG65458:QUG65463 REC65458:REC65463 RNY65458:RNY65463 RXU65458:RXU65463 SHQ65458:SHQ65463 SRM65458:SRM65463 TBI65458:TBI65463 TLE65458:TLE65463 TVA65458:TVA65463 UEW65458:UEW65463 UOS65458:UOS65463 UYO65458:UYO65463 VIK65458:VIK65463 VSG65458:VSG65463 WCC65458:WCC65463 WLY65458:WLY65463 WVU65458:WVU65463 S130994:S130999 JI130994:JI130999 TE130994:TE130999 ADA130994:ADA130999 AMW130994:AMW130999 AWS130994:AWS130999 BGO130994:BGO130999 BQK130994:BQK130999 CAG130994:CAG130999 CKC130994:CKC130999 CTY130994:CTY130999 DDU130994:DDU130999 DNQ130994:DNQ130999 DXM130994:DXM130999 EHI130994:EHI130999 ERE130994:ERE130999 FBA130994:FBA130999 FKW130994:FKW130999 FUS130994:FUS130999 GEO130994:GEO130999 GOK130994:GOK130999 GYG130994:GYG130999 HIC130994:HIC130999 HRY130994:HRY130999 IBU130994:IBU130999 ILQ130994:ILQ130999 IVM130994:IVM130999 JFI130994:JFI130999 JPE130994:JPE130999 JZA130994:JZA130999 KIW130994:KIW130999 KSS130994:KSS130999 LCO130994:LCO130999 LMK130994:LMK130999 LWG130994:LWG130999 MGC130994:MGC130999 MPY130994:MPY130999 MZU130994:MZU130999 NJQ130994:NJQ130999 NTM130994:NTM130999 ODI130994:ODI130999 ONE130994:ONE130999 OXA130994:OXA130999 PGW130994:PGW130999 PQS130994:PQS130999 QAO130994:QAO130999 QKK130994:QKK130999 QUG130994:QUG130999 REC130994:REC130999 RNY130994:RNY130999 RXU130994:RXU130999 SHQ130994:SHQ130999 SRM130994:SRM130999 TBI130994:TBI130999 TLE130994:TLE130999 TVA130994:TVA130999 UEW130994:UEW130999 UOS130994:UOS130999 UYO130994:UYO130999 VIK130994:VIK130999 VSG130994:VSG130999 WCC130994:WCC130999 WLY130994:WLY130999 WVU130994:WVU130999 S196530:S196535 JI196530:JI196535 TE196530:TE196535 ADA196530:ADA196535 AMW196530:AMW196535 AWS196530:AWS196535 BGO196530:BGO196535 BQK196530:BQK196535 CAG196530:CAG196535 CKC196530:CKC196535 CTY196530:CTY196535 DDU196530:DDU196535 DNQ196530:DNQ196535 DXM196530:DXM196535 EHI196530:EHI196535 ERE196530:ERE196535 FBA196530:FBA196535 FKW196530:FKW196535 FUS196530:FUS196535 GEO196530:GEO196535 GOK196530:GOK196535 GYG196530:GYG196535 HIC196530:HIC196535 HRY196530:HRY196535 IBU196530:IBU196535 ILQ196530:ILQ196535 IVM196530:IVM196535 JFI196530:JFI196535 JPE196530:JPE196535 JZA196530:JZA196535 KIW196530:KIW196535 KSS196530:KSS196535 LCO196530:LCO196535 LMK196530:LMK196535 LWG196530:LWG196535 MGC196530:MGC196535 MPY196530:MPY196535 MZU196530:MZU196535 NJQ196530:NJQ196535 NTM196530:NTM196535 ODI196530:ODI196535 ONE196530:ONE196535 OXA196530:OXA196535 PGW196530:PGW196535 PQS196530:PQS196535 QAO196530:QAO196535 QKK196530:QKK196535 QUG196530:QUG196535 REC196530:REC196535 RNY196530:RNY196535 RXU196530:RXU196535 SHQ196530:SHQ196535 SRM196530:SRM196535 TBI196530:TBI196535 TLE196530:TLE196535 TVA196530:TVA196535 UEW196530:UEW196535 UOS196530:UOS196535 UYO196530:UYO196535 VIK196530:VIK196535 VSG196530:VSG196535 WCC196530:WCC196535 WLY196530:WLY196535 WVU196530:WVU196535 S262066:S262071 JI262066:JI262071 TE262066:TE262071 ADA262066:ADA262071 AMW262066:AMW262071 AWS262066:AWS262071 BGO262066:BGO262071 BQK262066:BQK262071 CAG262066:CAG262071 CKC262066:CKC262071 CTY262066:CTY262071 DDU262066:DDU262071 DNQ262066:DNQ262071 DXM262066:DXM262071 EHI262066:EHI262071 ERE262066:ERE262071 FBA262066:FBA262071 FKW262066:FKW262071 FUS262066:FUS262071 GEO262066:GEO262071 GOK262066:GOK262071 GYG262066:GYG262071 HIC262066:HIC262071 HRY262066:HRY262071 IBU262066:IBU262071 ILQ262066:ILQ262071 IVM262066:IVM262071 JFI262066:JFI262071 JPE262066:JPE262071 JZA262066:JZA262071 KIW262066:KIW262071 KSS262066:KSS262071 LCO262066:LCO262071 LMK262066:LMK262071 LWG262066:LWG262071 MGC262066:MGC262071 MPY262066:MPY262071 MZU262066:MZU262071 NJQ262066:NJQ262071 NTM262066:NTM262071 ODI262066:ODI262071 ONE262066:ONE262071 OXA262066:OXA262071 PGW262066:PGW262071 PQS262066:PQS262071 QAO262066:QAO262071 QKK262066:QKK262071 QUG262066:QUG262071 REC262066:REC262071 RNY262066:RNY262071 RXU262066:RXU262071 SHQ262066:SHQ262071 SRM262066:SRM262071 TBI262066:TBI262071 TLE262066:TLE262071 TVA262066:TVA262071 UEW262066:UEW262071 UOS262066:UOS262071 UYO262066:UYO262071 VIK262066:VIK262071 VSG262066:VSG262071 WCC262066:WCC262071 WLY262066:WLY262071 WVU262066:WVU262071 S327602:S327607 JI327602:JI327607 TE327602:TE327607 ADA327602:ADA327607 AMW327602:AMW327607 AWS327602:AWS327607 BGO327602:BGO327607 BQK327602:BQK327607 CAG327602:CAG327607 CKC327602:CKC327607 CTY327602:CTY327607 DDU327602:DDU327607 DNQ327602:DNQ327607 DXM327602:DXM327607 EHI327602:EHI327607 ERE327602:ERE327607 FBA327602:FBA327607 FKW327602:FKW327607 FUS327602:FUS327607 GEO327602:GEO327607 GOK327602:GOK327607 GYG327602:GYG327607 HIC327602:HIC327607 HRY327602:HRY327607 IBU327602:IBU327607 ILQ327602:ILQ327607 IVM327602:IVM327607 JFI327602:JFI327607 JPE327602:JPE327607 JZA327602:JZA327607 KIW327602:KIW327607 KSS327602:KSS327607 LCO327602:LCO327607 LMK327602:LMK327607 LWG327602:LWG327607 MGC327602:MGC327607 MPY327602:MPY327607 MZU327602:MZU327607 NJQ327602:NJQ327607 NTM327602:NTM327607 ODI327602:ODI327607 ONE327602:ONE327607 OXA327602:OXA327607 PGW327602:PGW327607 PQS327602:PQS327607 QAO327602:QAO327607 QKK327602:QKK327607 QUG327602:QUG327607 REC327602:REC327607 RNY327602:RNY327607 RXU327602:RXU327607 SHQ327602:SHQ327607 SRM327602:SRM327607 TBI327602:TBI327607 TLE327602:TLE327607 TVA327602:TVA327607 UEW327602:UEW327607 UOS327602:UOS327607 UYO327602:UYO327607 VIK327602:VIK327607 VSG327602:VSG327607 WCC327602:WCC327607 WLY327602:WLY327607 WVU327602:WVU327607 S393138:S393143 JI393138:JI393143 TE393138:TE393143 ADA393138:ADA393143 AMW393138:AMW393143 AWS393138:AWS393143 BGO393138:BGO393143 BQK393138:BQK393143 CAG393138:CAG393143 CKC393138:CKC393143 CTY393138:CTY393143 DDU393138:DDU393143 DNQ393138:DNQ393143 DXM393138:DXM393143 EHI393138:EHI393143 ERE393138:ERE393143 FBA393138:FBA393143 FKW393138:FKW393143 FUS393138:FUS393143 GEO393138:GEO393143 GOK393138:GOK393143 GYG393138:GYG393143 HIC393138:HIC393143 HRY393138:HRY393143 IBU393138:IBU393143 ILQ393138:ILQ393143 IVM393138:IVM393143 JFI393138:JFI393143 JPE393138:JPE393143 JZA393138:JZA393143 KIW393138:KIW393143 KSS393138:KSS393143 LCO393138:LCO393143 LMK393138:LMK393143 LWG393138:LWG393143 MGC393138:MGC393143 MPY393138:MPY393143 MZU393138:MZU393143 NJQ393138:NJQ393143 NTM393138:NTM393143 ODI393138:ODI393143 ONE393138:ONE393143 OXA393138:OXA393143 PGW393138:PGW393143 PQS393138:PQS393143 QAO393138:QAO393143 QKK393138:QKK393143 QUG393138:QUG393143 REC393138:REC393143 RNY393138:RNY393143 RXU393138:RXU393143 SHQ393138:SHQ393143 SRM393138:SRM393143 TBI393138:TBI393143 TLE393138:TLE393143 TVA393138:TVA393143 UEW393138:UEW393143 UOS393138:UOS393143 UYO393138:UYO393143 VIK393138:VIK393143 VSG393138:VSG393143 WCC393138:WCC393143 WLY393138:WLY393143 WVU393138:WVU393143 S458674:S458679 JI458674:JI458679 TE458674:TE458679 ADA458674:ADA458679 AMW458674:AMW458679 AWS458674:AWS458679 BGO458674:BGO458679 BQK458674:BQK458679 CAG458674:CAG458679 CKC458674:CKC458679 CTY458674:CTY458679 DDU458674:DDU458679 DNQ458674:DNQ458679 DXM458674:DXM458679 EHI458674:EHI458679 ERE458674:ERE458679 FBA458674:FBA458679 FKW458674:FKW458679 FUS458674:FUS458679 GEO458674:GEO458679 GOK458674:GOK458679 GYG458674:GYG458679 HIC458674:HIC458679 HRY458674:HRY458679 IBU458674:IBU458679 ILQ458674:ILQ458679 IVM458674:IVM458679 JFI458674:JFI458679 JPE458674:JPE458679 JZA458674:JZA458679 KIW458674:KIW458679 KSS458674:KSS458679 LCO458674:LCO458679 LMK458674:LMK458679 LWG458674:LWG458679 MGC458674:MGC458679 MPY458674:MPY458679 MZU458674:MZU458679 NJQ458674:NJQ458679 NTM458674:NTM458679 ODI458674:ODI458679 ONE458674:ONE458679 OXA458674:OXA458679 PGW458674:PGW458679 PQS458674:PQS458679 QAO458674:QAO458679 QKK458674:QKK458679 QUG458674:QUG458679 REC458674:REC458679 RNY458674:RNY458679 RXU458674:RXU458679 SHQ458674:SHQ458679 SRM458674:SRM458679 TBI458674:TBI458679 TLE458674:TLE458679 TVA458674:TVA458679 UEW458674:UEW458679 UOS458674:UOS458679 UYO458674:UYO458679 VIK458674:VIK458679 VSG458674:VSG458679 WCC458674:WCC458679 WLY458674:WLY458679 WVU458674:WVU458679 S524210:S524215 JI524210:JI524215 TE524210:TE524215 ADA524210:ADA524215 AMW524210:AMW524215 AWS524210:AWS524215 BGO524210:BGO524215 BQK524210:BQK524215 CAG524210:CAG524215 CKC524210:CKC524215 CTY524210:CTY524215 DDU524210:DDU524215 DNQ524210:DNQ524215 DXM524210:DXM524215 EHI524210:EHI524215 ERE524210:ERE524215 FBA524210:FBA524215 FKW524210:FKW524215 FUS524210:FUS524215 GEO524210:GEO524215 GOK524210:GOK524215 GYG524210:GYG524215 HIC524210:HIC524215 HRY524210:HRY524215 IBU524210:IBU524215 ILQ524210:ILQ524215 IVM524210:IVM524215 JFI524210:JFI524215 JPE524210:JPE524215 JZA524210:JZA524215 KIW524210:KIW524215 KSS524210:KSS524215 LCO524210:LCO524215 LMK524210:LMK524215 LWG524210:LWG524215 MGC524210:MGC524215 MPY524210:MPY524215 MZU524210:MZU524215 NJQ524210:NJQ524215 NTM524210:NTM524215 ODI524210:ODI524215 ONE524210:ONE524215 OXA524210:OXA524215 PGW524210:PGW524215 PQS524210:PQS524215 QAO524210:QAO524215 QKK524210:QKK524215 QUG524210:QUG524215 REC524210:REC524215 RNY524210:RNY524215 RXU524210:RXU524215 SHQ524210:SHQ524215 SRM524210:SRM524215 TBI524210:TBI524215 TLE524210:TLE524215 TVA524210:TVA524215 UEW524210:UEW524215 UOS524210:UOS524215 UYO524210:UYO524215 VIK524210:VIK524215 VSG524210:VSG524215 WCC524210:WCC524215 WLY524210:WLY524215 WVU524210:WVU524215 S589746:S589751 JI589746:JI589751 TE589746:TE589751 ADA589746:ADA589751 AMW589746:AMW589751 AWS589746:AWS589751 BGO589746:BGO589751 BQK589746:BQK589751 CAG589746:CAG589751 CKC589746:CKC589751 CTY589746:CTY589751 DDU589746:DDU589751 DNQ589746:DNQ589751 DXM589746:DXM589751 EHI589746:EHI589751 ERE589746:ERE589751 FBA589746:FBA589751 FKW589746:FKW589751 FUS589746:FUS589751 GEO589746:GEO589751 GOK589746:GOK589751 GYG589746:GYG589751 HIC589746:HIC589751 HRY589746:HRY589751 IBU589746:IBU589751 ILQ589746:ILQ589751 IVM589746:IVM589751 JFI589746:JFI589751 JPE589746:JPE589751 JZA589746:JZA589751 KIW589746:KIW589751 KSS589746:KSS589751 LCO589746:LCO589751 LMK589746:LMK589751 LWG589746:LWG589751 MGC589746:MGC589751 MPY589746:MPY589751 MZU589746:MZU589751 NJQ589746:NJQ589751 NTM589746:NTM589751 ODI589746:ODI589751 ONE589746:ONE589751 OXA589746:OXA589751 PGW589746:PGW589751 PQS589746:PQS589751 QAO589746:QAO589751 QKK589746:QKK589751 QUG589746:QUG589751 REC589746:REC589751 RNY589746:RNY589751 RXU589746:RXU589751 SHQ589746:SHQ589751 SRM589746:SRM589751 TBI589746:TBI589751 TLE589746:TLE589751 TVA589746:TVA589751 UEW589746:UEW589751 UOS589746:UOS589751 UYO589746:UYO589751 VIK589746:VIK589751 VSG589746:VSG589751 WCC589746:WCC589751 WLY589746:WLY589751 WVU589746:WVU589751 S655282:S655287 JI655282:JI655287 TE655282:TE655287 ADA655282:ADA655287 AMW655282:AMW655287 AWS655282:AWS655287 BGO655282:BGO655287 BQK655282:BQK655287 CAG655282:CAG655287 CKC655282:CKC655287 CTY655282:CTY655287 DDU655282:DDU655287 DNQ655282:DNQ655287 DXM655282:DXM655287 EHI655282:EHI655287 ERE655282:ERE655287 FBA655282:FBA655287 FKW655282:FKW655287 FUS655282:FUS655287 GEO655282:GEO655287 GOK655282:GOK655287 GYG655282:GYG655287 HIC655282:HIC655287 HRY655282:HRY655287 IBU655282:IBU655287 ILQ655282:ILQ655287 IVM655282:IVM655287 JFI655282:JFI655287 JPE655282:JPE655287 JZA655282:JZA655287 KIW655282:KIW655287 KSS655282:KSS655287 LCO655282:LCO655287 LMK655282:LMK655287 LWG655282:LWG655287 MGC655282:MGC655287 MPY655282:MPY655287 MZU655282:MZU655287 NJQ655282:NJQ655287 NTM655282:NTM655287 ODI655282:ODI655287 ONE655282:ONE655287 OXA655282:OXA655287 PGW655282:PGW655287 PQS655282:PQS655287 QAO655282:QAO655287 QKK655282:QKK655287 QUG655282:QUG655287 REC655282:REC655287 RNY655282:RNY655287 RXU655282:RXU655287 SHQ655282:SHQ655287 SRM655282:SRM655287 TBI655282:TBI655287 TLE655282:TLE655287 TVA655282:TVA655287 UEW655282:UEW655287 UOS655282:UOS655287 UYO655282:UYO655287 VIK655282:VIK655287 VSG655282:VSG655287 WCC655282:WCC655287 WLY655282:WLY655287 WVU655282:WVU655287 S720818:S720823 JI720818:JI720823 TE720818:TE720823 ADA720818:ADA720823 AMW720818:AMW720823 AWS720818:AWS720823 BGO720818:BGO720823 BQK720818:BQK720823 CAG720818:CAG720823 CKC720818:CKC720823 CTY720818:CTY720823 DDU720818:DDU720823 DNQ720818:DNQ720823 DXM720818:DXM720823 EHI720818:EHI720823 ERE720818:ERE720823 FBA720818:FBA720823 FKW720818:FKW720823 FUS720818:FUS720823 GEO720818:GEO720823 GOK720818:GOK720823 GYG720818:GYG720823 HIC720818:HIC720823 HRY720818:HRY720823 IBU720818:IBU720823 ILQ720818:ILQ720823 IVM720818:IVM720823 JFI720818:JFI720823 JPE720818:JPE720823 JZA720818:JZA720823 KIW720818:KIW720823 KSS720818:KSS720823 LCO720818:LCO720823 LMK720818:LMK720823 LWG720818:LWG720823 MGC720818:MGC720823 MPY720818:MPY720823 MZU720818:MZU720823 NJQ720818:NJQ720823 NTM720818:NTM720823 ODI720818:ODI720823 ONE720818:ONE720823 OXA720818:OXA720823 PGW720818:PGW720823 PQS720818:PQS720823 QAO720818:QAO720823 QKK720818:QKK720823 QUG720818:QUG720823 REC720818:REC720823 RNY720818:RNY720823 RXU720818:RXU720823 SHQ720818:SHQ720823 SRM720818:SRM720823 TBI720818:TBI720823 TLE720818:TLE720823 TVA720818:TVA720823 UEW720818:UEW720823 UOS720818:UOS720823 UYO720818:UYO720823 VIK720818:VIK720823 VSG720818:VSG720823 WCC720818:WCC720823 WLY720818:WLY720823 WVU720818:WVU720823 S786354:S786359 JI786354:JI786359 TE786354:TE786359 ADA786354:ADA786359 AMW786354:AMW786359 AWS786354:AWS786359 BGO786354:BGO786359 BQK786354:BQK786359 CAG786354:CAG786359 CKC786354:CKC786359 CTY786354:CTY786359 DDU786354:DDU786359 DNQ786354:DNQ786359 DXM786354:DXM786359 EHI786354:EHI786359 ERE786354:ERE786359 FBA786354:FBA786359 FKW786354:FKW786359 FUS786354:FUS786359 GEO786354:GEO786359 GOK786354:GOK786359 GYG786354:GYG786359 HIC786354:HIC786359 HRY786354:HRY786359 IBU786354:IBU786359 ILQ786354:ILQ786359 IVM786354:IVM786359 JFI786354:JFI786359 JPE786354:JPE786359 JZA786354:JZA786359 KIW786354:KIW786359 KSS786354:KSS786359 LCO786354:LCO786359 LMK786354:LMK786359 LWG786354:LWG786359 MGC786354:MGC786359 MPY786354:MPY786359 MZU786354:MZU786359 NJQ786354:NJQ786359 NTM786354:NTM786359 ODI786354:ODI786359 ONE786354:ONE786359 OXA786354:OXA786359 PGW786354:PGW786359 PQS786354:PQS786359 QAO786354:QAO786359 QKK786354:QKK786359 QUG786354:QUG786359 REC786354:REC786359 RNY786354:RNY786359 RXU786354:RXU786359 SHQ786354:SHQ786359 SRM786354:SRM786359 TBI786354:TBI786359 TLE786354:TLE786359 TVA786354:TVA786359 UEW786354:UEW786359 UOS786354:UOS786359 UYO786354:UYO786359 VIK786354:VIK786359 VSG786354:VSG786359 WCC786354:WCC786359 WLY786354:WLY786359 WVU786354:WVU786359 S851890:S851895 JI851890:JI851895 TE851890:TE851895 ADA851890:ADA851895 AMW851890:AMW851895 AWS851890:AWS851895 BGO851890:BGO851895 BQK851890:BQK851895 CAG851890:CAG851895 CKC851890:CKC851895 CTY851890:CTY851895 DDU851890:DDU851895 DNQ851890:DNQ851895 DXM851890:DXM851895 EHI851890:EHI851895 ERE851890:ERE851895 FBA851890:FBA851895 FKW851890:FKW851895 FUS851890:FUS851895 GEO851890:GEO851895 GOK851890:GOK851895 GYG851890:GYG851895 HIC851890:HIC851895 HRY851890:HRY851895 IBU851890:IBU851895 ILQ851890:ILQ851895 IVM851890:IVM851895 JFI851890:JFI851895 JPE851890:JPE851895 JZA851890:JZA851895 KIW851890:KIW851895 KSS851890:KSS851895 LCO851890:LCO851895 LMK851890:LMK851895 LWG851890:LWG851895 MGC851890:MGC851895 MPY851890:MPY851895 MZU851890:MZU851895 NJQ851890:NJQ851895 NTM851890:NTM851895 ODI851890:ODI851895 ONE851890:ONE851895 OXA851890:OXA851895 PGW851890:PGW851895 PQS851890:PQS851895 QAO851890:QAO851895 QKK851890:QKK851895 QUG851890:QUG851895 REC851890:REC851895 RNY851890:RNY851895 RXU851890:RXU851895 SHQ851890:SHQ851895 SRM851890:SRM851895 TBI851890:TBI851895 TLE851890:TLE851895 TVA851890:TVA851895 UEW851890:UEW851895 UOS851890:UOS851895 UYO851890:UYO851895 VIK851890:VIK851895 VSG851890:VSG851895 WCC851890:WCC851895 WLY851890:WLY851895 WVU851890:WVU851895 S917426:S917431 JI917426:JI917431 TE917426:TE917431 ADA917426:ADA917431 AMW917426:AMW917431 AWS917426:AWS917431 BGO917426:BGO917431 BQK917426:BQK917431 CAG917426:CAG917431 CKC917426:CKC917431 CTY917426:CTY917431 DDU917426:DDU917431 DNQ917426:DNQ917431 DXM917426:DXM917431 EHI917426:EHI917431 ERE917426:ERE917431 FBA917426:FBA917431 FKW917426:FKW917431 FUS917426:FUS917431 GEO917426:GEO917431 GOK917426:GOK917431 GYG917426:GYG917431 HIC917426:HIC917431 HRY917426:HRY917431 IBU917426:IBU917431 ILQ917426:ILQ917431 IVM917426:IVM917431 JFI917426:JFI917431 JPE917426:JPE917431 JZA917426:JZA917431 KIW917426:KIW917431 KSS917426:KSS917431 LCO917426:LCO917431 LMK917426:LMK917431 LWG917426:LWG917431 MGC917426:MGC917431 MPY917426:MPY917431 MZU917426:MZU917431 NJQ917426:NJQ917431 NTM917426:NTM917431 ODI917426:ODI917431 ONE917426:ONE917431 OXA917426:OXA917431 PGW917426:PGW917431 PQS917426:PQS917431 QAO917426:QAO917431 QKK917426:QKK917431 QUG917426:QUG917431 REC917426:REC917431 RNY917426:RNY917431 RXU917426:RXU917431 SHQ917426:SHQ917431 SRM917426:SRM917431 TBI917426:TBI917431 TLE917426:TLE917431 TVA917426:TVA917431 UEW917426:UEW917431 UOS917426:UOS917431 UYO917426:UYO917431 VIK917426:VIK917431 VSG917426:VSG917431 WCC917426:WCC917431 WLY917426:WLY917431 WVU917426:WVU917431 S982962:S982967 JI982962:JI982967 TE982962:TE982967 ADA982962:ADA982967 AMW982962:AMW982967 AWS982962:AWS982967 BGO982962:BGO982967 BQK982962:BQK982967 CAG982962:CAG982967 CKC982962:CKC982967 CTY982962:CTY982967 DDU982962:DDU982967 DNQ982962:DNQ982967 DXM982962:DXM982967 EHI982962:EHI982967 ERE982962:ERE982967 FBA982962:FBA982967 FKW982962:FKW982967 FUS982962:FUS982967 GEO982962:GEO982967 GOK982962:GOK982967 GYG982962:GYG982967 HIC982962:HIC982967 HRY982962:HRY982967 IBU982962:IBU982967 ILQ982962:ILQ982967 IVM982962:IVM982967 JFI982962:JFI982967 JPE982962:JPE982967 JZA982962:JZA982967 KIW982962:KIW982967 KSS982962:KSS982967 LCO982962:LCO982967 LMK982962:LMK982967 LWG982962:LWG982967 MGC982962:MGC982967 MPY982962:MPY982967 MZU982962:MZU982967 NJQ982962:NJQ982967 NTM982962:NTM982967 ODI982962:ODI982967 ONE982962:ONE982967 OXA982962:OXA982967 PGW982962:PGW982967 PQS982962:PQS982967 QAO982962:QAO982967 QKK982962:QKK982967 QUG982962:QUG982967 REC982962:REC982967 RNY982962:RNY982967 RXU982962:RXU982967 SHQ982962:SHQ982967 SRM982962:SRM982967 TBI982962:TBI982967 TLE982962:TLE982967 TVA982962:TVA982967 UEW982962:UEW982967 UOS982962:UOS982967 UYO982962:UYO982967 VIK982962:VIK982967 VSG982962:VSG982967 WCC982962:WCC982967 WLY982962:WLY982967 WVU982962:WVU982967">
      <formula1>0</formula1>
      <formula2>1</formula2>
    </dataValidation>
  </dataValidations>
  <pageMargins left="0.51181102362204722" right="0.51181102362204722" top="2.1653543307086616" bottom="0.78740157480314965" header="0.31496062992125984" footer="0.31496062992125984"/>
  <pageSetup paperSize="9" scale="85" orientation="portrait" r:id="rId1"/>
  <headerFooter>
    <oddHeader>&amp;L&amp;G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44"/>
  <sheetViews>
    <sheetView tabSelected="1" view="pageBreakPreview" zoomScaleNormal="100" zoomScaleSheetLayoutView="100" workbookViewId="0">
      <selection activeCell="A7" sqref="A7:I7"/>
    </sheetView>
  </sheetViews>
  <sheetFormatPr defaultColWidth="8.25" defaultRowHeight="12.75" x14ac:dyDescent="0.2"/>
  <cols>
    <col min="1" max="1" width="13" style="33" customWidth="1"/>
    <col min="2" max="2" width="40.125" style="33" customWidth="1"/>
    <col min="3" max="3" width="8.75" style="33" bestFit="1" customWidth="1"/>
    <col min="4" max="4" width="11.75" style="33" bestFit="1" customWidth="1"/>
    <col min="5" max="5" width="8.75" style="33" bestFit="1" customWidth="1"/>
    <col min="6" max="6" width="12.125" style="33" bestFit="1" customWidth="1"/>
    <col min="7" max="16384" width="8.25" style="33"/>
  </cols>
  <sheetData>
    <row r="1" spans="1:10" x14ac:dyDescent="0.2">
      <c r="A1" s="64" t="str">
        <f>'PO-Sintético'!A1</f>
        <v>EMPREENDEDOR: PREFEITURA MUNICIPAL DE CENTRO DO GUILHERME-MA</v>
      </c>
      <c r="B1" s="65"/>
      <c r="C1" s="65"/>
      <c r="D1" s="65"/>
      <c r="E1" s="65"/>
      <c r="F1" s="66"/>
    </row>
    <row r="2" spans="1:10" x14ac:dyDescent="0.2">
      <c r="A2" s="64" t="str">
        <f>'PO-Sintético'!A2</f>
        <v>OBJETO : ESTRADAS VICINAIS-RECUPERAÇÃO</v>
      </c>
      <c r="F2" s="68"/>
    </row>
    <row r="3" spans="1:10" x14ac:dyDescent="0.2">
      <c r="A3" s="64" t="str">
        <f>'PO-Sintético'!A3</f>
        <v>LOCAL:   ESTRADA VICINAL 45 ASSENTAMENTO - CENTRO DO GUILHERME -MA-2,88 KM</v>
      </c>
      <c r="F3" s="68"/>
    </row>
    <row r="4" spans="1:10" x14ac:dyDescent="0.2">
      <c r="A4" s="67"/>
      <c r="B4" s="69"/>
      <c r="C4" s="69"/>
      <c r="D4" s="69"/>
      <c r="E4" s="69"/>
      <c r="F4" s="70"/>
    </row>
    <row r="5" spans="1:10" x14ac:dyDescent="0.2">
      <c r="A5" s="329" t="s">
        <v>222</v>
      </c>
      <c r="B5" s="330"/>
      <c r="C5" s="330"/>
      <c r="D5" s="330"/>
      <c r="E5" s="330"/>
      <c r="F5" s="331"/>
    </row>
    <row r="6" spans="1:10" x14ac:dyDescent="0.2">
      <c r="A6" s="187" t="s">
        <v>1399</v>
      </c>
      <c r="B6" s="188"/>
      <c r="C6" s="188"/>
      <c r="D6" s="189"/>
      <c r="E6" s="190"/>
    </row>
    <row r="7" spans="1:10" x14ac:dyDescent="0.2">
      <c r="A7" s="338" t="s">
        <v>1372</v>
      </c>
      <c r="B7" s="336"/>
      <c r="C7" s="336"/>
      <c r="D7" s="337"/>
      <c r="E7" s="188"/>
      <c r="F7" s="191"/>
      <c r="G7" s="191"/>
      <c r="H7" s="191"/>
      <c r="I7" s="191"/>
      <c r="J7" s="191"/>
    </row>
    <row r="8" spans="1:10" x14ac:dyDescent="0.2">
      <c r="A8" s="332" t="s">
        <v>223</v>
      </c>
      <c r="B8" s="334" t="s">
        <v>224</v>
      </c>
      <c r="C8" s="336" t="s">
        <v>1373</v>
      </c>
      <c r="D8" s="337"/>
      <c r="E8" s="192"/>
      <c r="F8" s="193"/>
      <c r="G8" s="191"/>
      <c r="H8" s="191"/>
      <c r="I8" s="191"/>
      <c r="J8" s="191"/>
    </row>
    <row r="9" spans="1:10" ht="25.5" x14ac:dyDescent="0.2">
      <c r="A9" s="333" t="s">
        <v>223</v>
      </c>
      <c r="B9" s="335" t="s">
        <v>224</v>
      </c>
      <c r="C9" s="194" t="s">
        <v>225</v>
      </c>
      <c r="D9" s="195" t="s">
        <v>226</v>
      </c>
      <c r="E9" s="196"/>
      <c r="F9" s="197"/>
      <c r="G9" s="191"/>
      <c r="H9" s="191"/>
      <c r="I9" s="191"/>
      <c r="J9" s="191"/>
    </row>
    <row r="10" spans="1:10" x14ac:dyDescent="0.2">
      <c r="A10" s="341" t="s">
        <v>227</v>
      </c>
      <c r="B10" s="342"/>
      <c r="C10" s="342"/>
      <c r="D10" s="343"/>
      <c r="E10" s="198"/>
      <c r="F10" s="191"/>
      <c r="G10" s="191"/>
      <c r="H10" s="191"/>
      <c r="I10" s="191"/>
      <c r="J10" s="191"/>
    </row>
    <row r="11" spans="1:10" x14ac:dyDescent="0.2">
      <c r="A11" s="199" t="s">
        <v>228</v>
      </c>
      <c r="B11" s="200" t="s">
        <v>229</v>
      </c>
      <c r="C11" s="201">
        <v>0.2</v>
      </c>
      <c r="D11" s="202">
        <v>0.2</v>
      </c>
      <c r="E11" s="203"/>
      <c r="F11" s="191"/>
      <c r="G11" s="191"/>
      <c r="H11" s="191"/>
      <c r="I11" s="191"/>
      <c r="J11" s="191"/>
    </row>
    <row r="12" spans="1:10" x14ac:dyDescent="0.2">
      <c r="A12" s="204" t="s">
        <v>230</v>
      </c>
      <c r="B12" s="205" t="s">
        <v>231</v>
      </c>
      <c r="C12" s="206">
        <v>1.4999999999999999E-2</v>
      </c>
      <c r="D12" s="207">
        <v>1.4999999999999999E-2</v>
      </c>
      <c r="E12" s="198"/>
      <c r="F12" s="197"/>
      <c r="G12" s="198"/>
      <c r="H12" s="208"/>
      <c r="I12" s="191"/>
      <c r="J12" s="191"/>
    </row>
    <row r="13" spans="1:10" x14ac:dyDescent="0.2">
      <c r="A13" s="209" t="s">
        <v>232</v>
      </c>
      <c r="B13" s="210" t="s">
        <v>233</v>
      </c>
      <c r="C13" s="211">
        <v>0.01</v>
      </c>
      <c r="D13" s="212">
        <v>0.01</v>
      </c>
      <c r="E13" s="203"/>
      <c r="F13" s="191"/>
      <c r="G13" s="191"/>
      <c r="H13" s="191"/>
      <c r="I13" s="191"/>
      <c r="J13" s="191"/>
    </row>
    <row r="14" spans="1:10" x14ac:dyDescent="0.2">
      <c r="A14" s="213" t="s">
        <v>234</v>
      </c>
      <c r="B14" s="214" t="s">
        <v>235</v>
      </c>
      <c r="C14" s="215">
        <v>2E-3</v>
      </c>
      <c r="D14" s="216">
        <v>2E-3</v>
      </c>
      <c r="E14" s="198"/>
      <c r="F14" s="197"/>
      <c r="G14" s="198"/>
      <c r="H14" s="208"/>
      <c r="I14" s="191"/>
      <c r="J14" s="191"/>
    </row>
    <row r="15" spans="1:10" x14ac:dyDescent="0.2">
      <c r="A15" s="209" t="s">
        <v>236</v>
      </c>
      <c r="B15" s="210" t="s">
        <v>237</v>
      </c>
      <c r="C15" s="211">
        <v>6.0000000000000001E-3</v>
      </c>
      <c r="D15" s="212">
        <v>6.0000000000000001E-3</v>
      </c>
      <c r="E15" s="203"/>
      <c r="F15" s="191"/>
      <c r="G15" s="191"/>
      <c r="H15" s="191"/>
      <c r="I15" s="191"/>
      <c r="J15" s="191"/>
    </row>
    <row r="16" spans="1:10" x14ac:dyDescent="0.2">
      <c r="A16" s="213" t="s">
        <v>238</v>
      </c>
      <c r="B16" s="214" t="s">
        <v>239</v>
      </c>
      <c r="C16" s="215">
        <v>2.5000000000000001E-2</v>
      </c>
      <c r="D16" s="216">
        <v>2.5000000000000001E-2</v>
      </c>
      <c r="E16" s="198"/>
      <c r="F16" s="197"/>
      <c r="G16" s="198"/>
      <c r="H16" s="208"/>
      <c r="I16" s="191"/>
      <c r="J16" s="191"/>
    </row>
    <row r="17" spans="1:23" x14ac:dyDescent="0.2">
      <c r="A17" s="209" t="s">
        <v>240</v>
      </c>
      <c r="B17" s="210" t="s">
        <v>241</v>
      </c>
      <c r="C17" s="211">
        <v>0.03</v>
      </c>
      <c r="D17" s="212">
        <v>0.03</v>
      </c>
      <c r="E17" s="203"/>
      <c r="F17" s="191"/>
      <c r="G17" s="191"/>
      <c r="H17" s="191"/>
      <c r="I17" s="191"/>
      <c r="J17" s="191"/>
    </row>
    <row r="18" spans="1:23" x14ac:dyDescent="0.2">
      <c r="A18" s="213" t="s">
        <v>242</v>
      </c>
      <c r="B18" s="214" t="s">
        <v>243</v>
      </c>
      <c r="C18" s="215">
        <v>0.08</v>
      </c>
      <c r="D18" s="216">
        <v>0.08</v>
      </c>
      <c r="E18" s="198"/>
      <c r="F18" s="197"/>
      <c r="G18" s="198"/>
      <c r="H18" s="208"/>
      <c r="I18" s="191"/>
      <c r="J18" s="191"/>
    </row>
    <row r="19" spans="1:23" x14ac:dyDescent="0.2">
      <c r="A19" s="209" t="s">
        <v>244</v>
      </c>
      <c r="B19" s="210" t="s">
        <v>245</v>
      </c>
      <c r="C19" s="211">
        <v>0.01</v>
      </c>
      <c r="D19" s="212">
        <v>0.01</v>
      </c>
      <c r="E19" s="203"/>
      <c r="F19" s="191"/>
      <c r="G19" s="191"/>
      <c r="H19" s="191"/>
      <c r="I19" s="191"/>
      <c r="J19" s="191"/>
    </row>
    <row r="20" spans="1:23" x14ac:dyDescent="0.2">
      <c r="A20" s="217" t="s">
        <v>123</v>
      </c>
      <c r="B20" s="218" t="s">
        <v>11</v>
      </c>
      <c r="C20" s="219">
        <f>SUM(C11:C19)</f>
        <v>0.37800000000000006</v>
      </c>
      <c r="D20" s="220">
        <f>SUM(D11:D19)</f>
        <v>0.37800000000000006</v>
      </c>
      <c r="E20" s="198"/>
      <c r="F20" s="197"/>
      <c r="G20" s="198"/>
      <c r="H20" s="198"/>
      <c r="I20" s="208"/>
      <c r="J20" s="208"/>
      <c r="K20" s="221"/>
      <c r="L20" s="221"/>
      <c r="M20" s="221"/>
      <c r="N20" s="221"/>
      <c r="O20" s="221"/>
      <c r="P20" s="221"/>
      <c r="Q20" s="221"/>
      <c r="R20" s="221"/>
      <c r="S20" s="221"/>
      <c r="T20" s="221"/>
      <c r="U20" s="221"/>
      <c r="V20" s="221"/>
      <c r="W20" s="221"/>
    </row>
    <row r="21" spans="1:23" x14ac:dyDescent="0.2">
      <c r="A21" s="338" t="s">
        <v>246</v>
      </c>
      <c r="B21" s="336"/>
      <c r="C21" s="336"/>
      <c r="D21" s="337"/>
      <c r="E21" s="198"/>
      <c r="F21" s="191"/>
      <c r="G21" s="191"/>
      <c r="H21" s="191"/>
      <c r="I21" s="191"/>
      <c r="J21" s="191"/>
    </row>
    <row r="22" spans="1:23" x14ac:dyDescent="0.2">
      <c r="A22" s="209" t="s">
        <v>247</v>
      </c>
      <c r="B22" s="210" t="s">
        <v>248</v>
      </c>
      <c r="C22" s="211">
        <v>0.17879999999999999</v>
      </c>
      <c r="D22" s="212" t="s">
        <v>249</v>
      </c>
      <c r="E22" s="203"/>
      <c r="F22" s="191"/>
      <c r="G22" s="191"/>
      <c r="H22" s="191"/>
      <c r="I22" s="191"/>
      <c r="J22" s="191"/>
    </row>
    <row r="23" spans="1:23" x14ac:dyDescent="0.2">
      <c r="A23" s="213" t="s">
        <v>250</v>
      </c>
      <c r="B23" s="214" t="s">
        <v>251</v>
      </c>
      <c r="C23" s="215">
        <v>3.95E-2</v>
      </c>
      <c r="D23" s="216" t="s">
        <v>249</v>
      </c>
      <c r="E23" s="198"/>
      <c r="F23" s="197"/>
      <c r="G23" s="198"/>
      <c r="H23" s="208"/>
      <c r="I23" s="191"/>
      <c r="J23" s="191"/>
    </row>
    <row r="24" spans="1:23" x14ac:dyDescent="0.2">
      <c r="A24" s="209" t="s">
        <v>252</v>
      </c>
      <c r="B24" s="210" t="s">
        <v>253</v>
      </c>
      <c r="C24" s="211">
        <v>8.6999999999999994E-3</v>
      </c>
      <c r="D24" s="212">
        <v>6.6E-3</v>
      </c>
      <c r="E24" s="203"/>
      <c r="F24" s="191"/>
      <c r="G24" s="191"/>
      <c r="H24" s="191"/>
      <c r="I24" s="191"/>
      <c r="J24" s="191"/>
    </row>
    <row r="25" spans="1:23" x14ac:dyDescent="0.2">
      <c r="A25" s="213" t="s">
        <v>254</v>
      </c>
      <c r="B25" s="214" t="s">
        <v>255</v>
      </c>
      <c r="C25" s="215">
        <v>0.1096</v>
      </c>
      <c r="D25" s="216">
        <v>8.3299999999999999E-2</v>
      </c>
      <c r="E25" s="198"/>
      <c r="F25" s="197"/>
      <c r="G25" s="198"/>
      <c r="H25" s="208"/>
      <c r="I25" s="191"/>
      <c r="J25" s="191"/>
    </row>
    <row r="26" spans="1:23" x14ac:dyDescent="0.2">
      <c r="A26" s="209" t="s">
        <v>256</v>
      </c>
      <c r="B26" s="210" t="s">
        <v>257</v>
      </c>
      <c r="C26" s="211">
        <v>6.9999999999999999E-4</v>
      </c>
      <c r="D26" s="212">
        <v>5.0000000000000001E-4</v>
      </c>
      <c r="E26" s="203"/>
      <c r="F26" s="191"/>
      <c r="G26" s="191"/>
      <c r="H26" s="191"/>
      <c r="I26" s="191"/>
      <c r="J26" s="191"/>
    </row>
    <row r="27" spans="1:23" x14ac:dyDescent="0.2">
      <c r="A27" s="213" t="s">
        <v>258</v>
      </c>
      <c r="B27" s="214" t="s">
        <v>259</v>
      </c>
      <c r="C27" s="215">
        <v>7.3000000000000001E-3</v>
      </c>
      <c r="D27" s="216">
        <v>5.5999999999999999E-3</v>
      </c>
      <c r="E27" s="198"/>
      <c r="F27" s="197"/>
      <c r="G27" s="198"/>
      <c r="H27" s="208"/>
      <c r="I27" s="191"/>
      <c r="J27" s="191"/>
    </row>
    <row r="28" spans="1:23" x14ac:dyDescent="0.2">
      <c r="A28" s="209" t="s">
        <v>260</v>
      </c>
      <c r="B28" s="210" t="s">
        <v>261</v>
      </c>
      <c r="C28" s="211">
        <v>1.4999999999999999E-2</v>
      </c>
      <c r="D28" s="212" t="s">
        <v>249</v>
      </c>
      <c r="E28" s="203"/>
      <c r="F28" s="191"/>
      <c r="G28" s="191"/>
      <c r="H28" s="191"/>
      <c r="I28" s="191"/>
      <c r="J28" s="191"/>
    </row>
    <row r="29" spans="1:23" x14ac:dyDescent="0.2">
      <c r="A29" s="213" t="s">
        <v>262</v>
      </c>
      <c r="B29" s="214" t="s">
        <v>263</v>
      </c>
      <c r="C29" s="215">
        <v>1.1000000000000001E-3</v>
      </c>
      <c r="D29" s="216">
        <v>8.0000000000000004E-4</v>
      </c>
      <c r="E29" s="198"/>
      <c r="F29" s="197"/>
      <c r="G29" s="198"/>
      <c r="H29" s="208"/>
      <c r="I29" s="191"/>
      <c r="J29" s="191"/>
    </row>
    <row r="30" spans="1:23" x14ac:dyDescent="0.2">
      <c r="A30" s="209" t="s">
        <v>264</v>
      </c>
      <c r="B30" s="210" t="s">
        <v>265</v>
      </c>
      <c r="C30" s="211">
        <v>0.1111</v>
      </c>
      <c r="D30" s="212">
        <v>8.4500000000000006E-2</v>
      </c>
      <c r="E30" s="203"/>
      <c r="F30" s="191"/>
      <c r="G30" s="191"/>
      <c r="H30" s="191"/>
      <c r="I30" s="191"/>
      <c r="J30" s="191"/>
    </row>
    <row r="31" spans="1:23" x14ac:dyDescent="0.2">
      <c r="A31" s="213" t="s">
        <v>266</v>
      </c>
      <c r="B31" s="214" t="s">
        <v>267</v>
      </c>
      <c r="C31" s="215">
        <v>4.0000000000000002E-4</v>
      </c>
      <c r="D31" s="216">
        <v>2.9999999999999997E-4</v>
      </c>
      <c r="E31" s="198"/>
      <c r="F31" s="197"/>
      <c r="G31" s="198"/>
      <c r="H31" s="208"/>
      <c r="I31" s="191"/>
      <c r="J31" s="191"/>
    </row>
    <row r="32" spans="1:23" x14ac:dyDescent="0.2">
      <c r="A32" s="217" t="s">
        <v>129</v>
      </c>
      <c r="B32" s="218" t="s">
        <v>11</v>
      </c>
      <c r="C32" s="219">
        <f>SUM(C22:C31)</f>
        <v>0.47220000000000001</v>
      </c>
      <c r="D32" s="220">
        <f>D31+D30+D29+D27+D26+D25+D24</f>
        <v>0.18159999999999998</v>
      </c>
      <c r="E32" s="198"/>
      <c r="F32" s="197"/>
      <c r="G32" s="198"/>
      <c r="H32" s="198"/>
      <c r="I32" s="208"/>
      <c r="J32" s="208"/>
      <c r="K32" s="221"/>
      <c r="L32" s="221"/>
      <c r="M32" s="221"/>
      <c r="N32" s="221"/>
      <c r="O32" s="221"/>
      <c r="P32" s="221"/>
      <c r="Q32" s="221"/>
      <c r="R32" s="221"/>
      <c r="S32" s="221"/>
      <c r="T32" s="221"/>
      <c r="U32" s="221"/>
      <c r="V32" s="221"/>
      <c r="W32" s="221"/>
    </row>
    <row r="33" spans="1:23" x14ac:dyDescent="0.2">
      <c r="A33" s="338" t="s">
        <v>268</v>
      </c>
      <c r="B33" s="336"/>
      <c r="C33" s="336"/>
      <c r="D33" s="337"/>
      <c r="E33" s="198"/>
      <c r="F33" s="191"/>
      <c r="G33" s="191"/>
      <c r="H33" s="191"/>
      <c r="I33" s="191"/>
      <c r="J33" s="191"/>
    </row>
    <row r="34" spans="1:23" x14ac:dyDescent="0.2">
      <c r="A34" s="209" t="s">
        <v>269</v>
      </c>
      <c r="B34" s="210" t="s">
        <v>270</v>
      </c>
      <c r="C34" s="211">
        <v>4.5499999999999999E-2</v>
      </c>
      <c r="D34" s="212">
        <v>3.4599999999999999E-2</v>
      </c>
      <c r="E34" s="203"/>
      <c r="F34" s="191"/>
      <c r="G34" s="191"/>
      <c r="H34" s="191"/>
      <c r="I34" s="191"/>
      <c r="J34" s="191"/>
    </row>
    <row r="35" spans="1:23" x14ac:dyDescent="0.2">
      <c r="A35" s="213" t="s">
        <v>271</v>
      </c>
      <c r="B35" s="214" t="s">
        <v>272</v>
      </c>
      <c r="C35" s="215">
        <v>1.1000000000000001E-3</v>
      </c>
      <c r="D35" s="216">
        <v>8.0000000000000004E-4</v>
      </c>
      <c r="E35" s="198"/>
      <c r="F35" s="197"/>
      <c r="G35" s="198"/>
      <c r="H35" s="208"/>
      <c r="I35" s="191"/>
      <c r="J35" s="191"/>
    </row>
    <row r="36" spans="1:23" x14ac:dyDescent="0.2">
      <c r="A36" s="209" t="s">
        <v>273</v>
      </c>
      <c r="B36" s="210" t="s">
        <v>274</v>
      </c>
      <c r="C36" s="211">
        <v>3.15E-2</v>
      </c>
      <c r="D36" s="212">
        <v>2.4E-2</v>
      </c>
      <c r="E36" s="203"/>
      <c r="F36" s="191"/>
      <c r="G36" s="191"/>
      <c r="H36" s="191"/>
      <c r="I36" s="191"/>
      <c r="J36" s="191"/>
    </row>
    <row r="37" spans="1:23" x14ac:dyDescent="0.2">
      <c r="A37" s="213" t="s">
        <v>275</v>
      </c>
      <c r="B37" s="214" t="s">
        <v>276</v>
      </c>
      <c r="C37" s="215">
        <v>2.6100000000000002E-2</v>
      </c>
      <c r="D37" s="216">
        <v>1.9900000000000001E-2</v>
      </c>
      <c r="E37" s="198"/>
      <c r="F37" s="197"/>
      <c r="G37" s="198"/>
      <c r="H37" s="208"/>
      <c r="I37" s="191"/>
      <c r="J37" s="191"/>
    </row>
    <row r="38" spans="1:23" x14ac:dyDescent="0.2">
      <c r="A38" s="209" t="s">
        <v>277</v>
      </c>
      <c r="B38" s="210" t="s">
        <v>278</v>
      </c>
      <c r="C38" s="211">
        <v>3.8E-3</v>
      </c>
      <c r="D38" s="212">
        <v>2.8999999999999998E-3</v>
      </c>
      <c r="E38" s="203"/>
      <c r="F38" s="191"/>
      <c r="G38" s="191"/>
      <c r="H38" s="191"/>
      <c r="I38" s="191"/>
      <c r="J38" s="191"/>
    </row>
    <row r="39" spans="1:23" x14ac:dyDescent="0.2">
      <c r="A39" s="217" t="s">
        <v>134</v>
      </c>
      <c r="B39" s="218" t="s">
        <v>11</v>
      </c>
      <c r="C39" s="219">
        <f>SUM(C34:C38)</f>
        <v>0.108</v>
      </c>
      <c r="D39" s="220">
        <f>SUM(D34:D38)</f>
        <v>8.2200000000000009E-2</v>
      </c>
      <c r="E39" s="198"/>
      <c r="F39" s="197"/>
      <c r="G39" s="198"/>
      <c r="H39" s="198"/>
      <c r="I39" s="208"/>
      <c r="J39" s="208"/>
      <c r="K39" s="221"/>
      <c r="L39" s="221"/>
      <c r="M39" s="221"/>
      <c r="N39" s="221"/>
      <c r="O39" s="221"/>
      <c r="P39" s="221"/>
      <c r="Q39" s="221"/>
      <c r="R39" s="221"/>
      <c r="S39" s="221"/>
      <c r="T39" s="221"/>
      <c r="U39" s="221"/>
      <c r="V39" s="221"/>
      <c r="W39" s="221"/>
    </row>
    <row r="40" spans="1:23" s="226" customFormat="1" x14ac:dyDescent="0.2">
      <c r="A40" s="338"/>
      <c r="B40" s="336"/>
      <c r="C40" s="336"/>
      <c r="D40" s="337"/>
      <c r="E40" s="222"/>
      <c r="F40" s="223"/>
      <c r="G40" s="224"/>
      <c r="H40" s="225"/>
      <c r="I40" s="225"/>
      <c r="J40" s="225"/>
    </row>
    <row r="41" spans="1:23" s="226" customFormat="1" x14ac:dyDescent="0.2">
      <c r="A41" s="209" t="s">
        <v>279</v>
      </c>
      <c r="B41" s="210" t="s">
        <v>280</v>
      </c>
      <c r="C41" s="211">
        <v>0.17849999999999999</v>
      </c>
      <c r="D41" s="212">
        <v>6.8599999999999994E-2</v>
      </c>
      <c r="E41" s="227"/>
      <c r="F41" s="223"/>
      <c r="G41" s="224"/>
      <c r="H41" s="225"/>
      <c r="I41" s="225"/>
      <c r="J41" s="225"/>
    </row>
    <row r="42" spans="1:23" ht="38.25" x14ac:dyDescent="0.2">
      <c r="A42" s="213" t="s">
        <v>281</v>
      </c>
      <c r="B42" s="228" t="s">
        <v>282</v>
      </c>
      <c r="C42" s="215">
        <v>4.1000000000000003E-3</v>
      </c>
      <c r="D42" s="216">
        <v>3.0999999999999999E-3</v>
      </c>
      <c r="E42" s="198"/>
      <c r="F42" s="197"/>
      <c r="G42" s="198"/>
      <c r="H42" s="208"/>
      <c r="I42" s="191"/>
      <c r="J42" s="191"/>
    </row>
    <row r="43" spans="1:23" x14ac:dyDescent="0.2">
      <c r="A43" s="229" t="s">
        <v>169</v>
      </c>
      <c r="B43" s="230" t="s">
        <v>11</v>
      </c>
      <c r="C43" s="231">
        <f>SUM(C41:C42)</f>
        <v>0.18259999999999998</v>
      </c>
      <c r="D43" s="232">
        <f>SUM(D41:D42)</f>
        <v>7.17E-2</v>
      </c>
      <c r="E43" s="198"/>
      <c r="F43" s="197"/>
      <c r="G43" s="198"/>
      <c r="H43" s="198"/>
      <c r="I43" s="208"/>
      <c r="J43" s="208"/>
      <c r="K43" s="221"/>
      <c r="L43" s="221"/>
      <c r="M43" s="221"/>
      <c r="N43" s="221"/>
      <c r="O43" s="221"/>
      <c r="P43" s="221"/>
      <c r="Q43" s="221"/>
      <c r="R43" s="221"/>
      <c r="S43" s="221"/>
      <c r="T43" s="221"/>
      <c r="U43" s="221"/>
      <c r="V43" s="221"/>
      <c r="W43" s="221"/>
    </row>
    <row r="44" spans="1:23" s="226" customFormat="1" ht="13.5" thickBot="1" x14ac:dyDescent="0.25">
      <c r="A44" s="339" t="s">
        <v>283</v>
      </c>
      <c r="B44" s="340"/>
      <c r="C44" s="233">
        <f>C43+C39+C32+C20</f>
        <v>1.1408</v>
      </c>
      <c r="D44" s="234">
        <f>D43+D39+D32+D20</f>
        <v>0.71350000000000002</v>
      </c>
      <c r="E44" s="235"/>
      <c r="F44" s="223"/>
      <c r="G44" s="224"/>
      <c r="H44" s="225"/>
      <c r="I44" s="225"/>
      <c r="J44" s="225"/>
    </row>
  </sheetData>
  <mergeCells count="10">
    <mergeCell ref="A44:B44"/>
    <mergeCell ref="A10:D10"/>
    <mergeCell ref="A21:D21"/>
    <mergeCell ref="A33:D33"/>
    <mergeCell ref="A40:D40"/>
    <mergeCell ref="A5:F5"/>
    <mergeCell ref="A8:A9"/>
    <mergeCell ref="B8:B9"/>
    <mergeCell ref="C8:D8"/>
    <mergeCell ref="A7:D7"/>
  </mergeCells>
  <pageMargins left="0.51181102362204722" right="0.51181102362204722" top="1.9685039370078741" bottom="0.78740157480314965" header="0.31496062992125984" footer="0.31496062992125984"/>
  <pageSetup paperSize="9" scale="88" orientation="portrait"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12</vt:i4>
      </vt:variant>
    </vt:vector>
  </HeadingPairs>
  <TitlesOfParts>
    <vt:vector size="23" baseType="lpstr">
      <vt:lpstr>Resumo do Orçamento</vt:lpstr>
      <vt:lpstr>PO-Sintético</vt:lpstr>
      <vt:lpstr>COMP</vt:lpstr>
      <vt:lpstr>comp pontes</vt:lpstr>
      <vt:lpstr>Curva ABC Serviços</vt:lpstr>
      <vt:lpstr>Cronograma</vt:lpstr>
      <vt:lpstr>Memoria de Calculo</vt:lpstr>
      <vt:lpstr>PO-Analítica</vt:lpstr>
      <vt:lpstr>Curva ABC Insumo</vt:lpstr>
      <vt:lpstr>BDI</vt:lpstr>
      <vt:lpstr>Encargos</vt:lpstr>
      <vt:lpstr>BDI!Area_de_impressao</vt:lpstr>
      <vt:lpstr>COMP!Area_de_impressao</vt:lpstr>
      <vt:lpstr>'comp pontes'!Area_de_impressao</vt:lpstr>
      <vt:lpstr>Cronograma!Area_de_impressao</vt:lpstr>
      <vt:lpstr>'Curva ABC Insumo'!Area_de_impressao</vt:lpstr>
      <vt:lpstr>'Curva ABC Serviços'!Area_de_impressao</vt:lpstr>
      <vt:lpstr>Encargos!Area_de_impressao</vt:lpstr>
      <vt:lpstr>'Memoria de Calculo'!Area_de_impressao</vt:lpstr>
      <vt:lpstr>'PO-Analítica'!Area_de_impressao</vt:lpstr>
      <vt:lpstr>'PO-Sintético'!Area_de_impressao</vt:lpstr>
      <vt:lpstr>'Resumo do Orçamento'!Area_de_impressao</vt:lpstr>
      <vt:lpstr>'PO-Sintético'!Titulos_de_impressao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cp:lastPrinted>2023-12-13T12:37:24Z</cp:lastPrinted>
  <dcterms:created xsi:type="dcterms:W3CDTF">2021-10-14T14:13:06Z</dcterms:created>
  <dcterms:modified xsi:type="dcterms:W3CDTF">2023-12-13T12:37:31Z</dcterms:modified>
</cp:coreProperties>
</file>