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05-02-2026\PREFEITURA DO RETIRO\2026\CONCORRENCIA\02 - recapeamento pavimentação asfaltica\"/>
    </mc:Choice>
  </mc:AlternateContent>
  <bookViews>
    <workbookView xWindow="0" yWindow="0" windowWidth="20490" windowHeight="7650"/>
  </bookViews>
  <sheets>
    <sheet name="ORÇAMENTO" sheetId="12" r:id="rId1"/>
    <sheet name="COMP" sheetId="15" r:id="rId2"/>
    <sheet name="CRONOGRAMA" sheetId="9" r:id="rId3"/>
    <sheet name="MEMORIAL DE CÁLCULO" sheetId="14" r:id="rId4"/>
    <sheet name="QUADRO DE ÁREAS" sheetId="13" r:id="rId5"/>
  </sheets>
  <externalReferences>
    <externalReference r:id="rId6"/>
  </externalReferences>
  <definedNames>
    <definedName name="_xlnm.Print_Area" localSheetId="1">COMP!$A$1:$G$38</definedName>
    <definedName name="_xlnm.Print_Area" localSheetId="2">CRONOGRAMA!$A$1:$K$22</definedName>
    <definedName name="_xlnm.Print_Area" localSheetId="3">'MEMORIAL DE CÁLCULO'!$A$1:$E$45</definedName>
    <definedName name="_xlnm.Print_Area" localSheetId="0">ORÇAMENTO!$A$1:$I$36</definedName>
    <definedName name="_xlnm.Print_Area" localSheetId="4">'QUADRO DE ÁREAS'!$A$1:$G$14</definedName>
    <definedName name="Print_Area" localSheetId="0">ORÇAMENTO!$A$1:$I$37</definedName>
  </definedNames>
  <calcPr calcId="162913"/>
</workbook>
</file>

<file path=xl/calcChain.xml><?xml version="1.0" encoding="utf-8"?>
<calcChain xmlns="http://schemas.openxmlformats.org/spreadsheetml/2006/main">
  <c r="H20" i="12" l="1"/>
  <c r="F20" i="12"/>
  <c r="G14" i="13" l="1"/>
  <c r="F7" i="13" l="1"/>
  <c r="F9" i="13" l="1"/>
  <c r="F6" i="13"/>
  <c r="D9" i="13"/>
  <c r="B9" i="13"/>
  <c r="D7" i="13"/>
  <c r="D5" i="13" l="1"/>
  <c r="D4" i="13"/>
  <c r="B4" i="13"/>
  <c r="E21" i="15" l="1"/>
  <c r="G20" i="12" s="1"/>
  <c r="E4" i="13"/>
  <c r="G4" i="13" s="1"/>
  <c r="E9" i="13" l="1"/>
  <c r="G9" i="13" s="1"/>
  <c r="H9" i="13" s="1"/>
  <c r="E8" i="13"/>
  <c r="G8" i="13" s="1"/>
  <c r="H8" i="13" s="1"/>
  <c r="E7" i="13"/>
  <c r="G7" i="13" s="1"/>
  <c r="H7" i="13" s="1"/>
  <c r="E6" i="13"/>
  <c r="G6" i="13" s="1"/>
  <c r="H6" i="13" s="1"/>
  <c r="E5" i="13"/>
  <c r="G5" i="13" s="1"/>
  <c r="H5" i="13" s="1"/>
  <c r="H4" i="13"/>
  <c r="E14" i="13" l="1"/>
  <c r="H14" i="13"/>
  <c r="G19" i="12"/>
  <c r="G13" i="15"/>
  <c r="G8" i="15"/>
  <c r="G5" i="15"/>
  <c r="B6" i="15" s="1"/>
  <c r="B9" i="15" s="1"/>
  <c r="B10" i="15" s="1"/>
  <c r="G14" i="15" s="1"/>
  <c r="G4" i="15"/>
  <c r="I6" i="9" l="1"/>
  <c r="C15" i="9"/>
  <c r="C13" i="9"/>
  <c r="C11" i="9"/>
  <c r="F15" i="12"/>
  <c r="D10" i="14"/>
  <c r="G12" i="13"/>
  <c r="G11" i="13"/>
  <c r="H26" i="12"/>
  <c r="H25" i="12"/>
  <c r="H24" i="12"/>
  <c r="H23" i="12"/>
  <c r="H22" i="12"/>
  <c r="I22" i="12" s="1"/>
  <c r="H19" i="12"/>
  <c r="H16" i="12"/>
  <c r="H15" i="12"/>
  <c r="I14" i="12"/>
  <c r="G10" i="13" l="1"/>
  <c r="D13" i="14" s="1"/>
  <c r="B14" i="13"/>
  <c r="F14" i="13"/>
  <c r="G13" i="13"/>
  <c r="I15" i="12"/>
  <c r="D15" i="14" l="1"/>
  <c r="D16" i="14" s="1"/>
  <c r="F16" i="12"/>
  <c r="I16" i="12" s="1"/>
  <c r="I17" i="12" s="1"/>
  <c r="E12" i="9" s="1"/>
  <c r="D20" i="14" l="1"/>
  <c r="D27" i="14" s="1"/>
  <c r="D17" i="14"/>
  <c r="D22" i="14" s="1"/>
  <c r="D25" i="14" s="1"/>
  <c r="F19" i="12" l="1"/>
  <c r="I19" i="12" s="1"/>
  <c r="I21" i="12" l="1"/>
  <c r="E14" i="9" s="1"/>
  <c r="F23" i="12"/>
  <c r="I23" i="12" s="1"/>
  <c r="D32" i="14"/>
  <c r="D34" i="14" s="1"/>
  <c r="D28" i="14"/>
  <c r="D29" i="14" s="1"/>
  <c r="D33" i="14"/>
  <c r="D35" i="14" s="1"/>
  <c r="D36" i="14" l="1"/>
  <c r="F25" i="12" s="1"/>
  <c r="I25" i="12" s="1"/>
  <c r="D30" i="14"/>
  <c r="F24" i="12" s="1"/>
  <c r="I24" i="12" s="1"/>
  <c r="F12" i="9"/>
  <c r="I26" i="12" l="1"/>
  <c r="E16" i="9" s="1"/>
  <c r="F16" i="9" s="1"/>
  <c r="F14" i="9"/>
  <c r="F13" i="12" l="1"/>
  <c r="I13" i="12" s="1"/>
  <c r="E10" i="9" s="1"/>
  <c r="E18" i="9" s="1"/>
  <c r="F10" i="9" l="1"/>
  <c r="F18" i="9" s="1"/>
  <c r="F17" i="9" s="1"/>
  <c r="I27" i="12"/>
  <c r="E13" i="9"/>
  <c r="E11" i="9"/>
  <c r="E15" i="9"/>
  <c r="E9" i="9"/>
  <c r="J28" i="12" l="1"/>
  <c r="J27" i="12"/>
  <c r="E17" i="9"/>
</calcChain>
</file>

<file path=xl/sharedStrings.xml><?xml version="1.0" encoding="utf-8"?>
<sst xmlns="http://schemas.openxmlformats.org/spreadsheetml/2006/main" count="239" uniqueCount="176">
  <si>
    <t>ITEM</t>
  </si>
  <si>
    <t>DESCRIÇÃO</t>
  </si>
  <si>
    <t>QUANTIDADE</t>
  </si>
  <si>
    <t>UNIDADE</t>
  </si>
  <si>
    <t>PLANILHA ORÇAMENTÁRIA DE CUSTOS</t>
  </si>
  <si>
    <t>CÓDIGO</t>
  </si>
  <si>
    <t>DIRETA</t>
  </si>
  <si>
    <t>INDIRETA</t>
  </si>
  <si>
    <t>(    )</t>
  </si>
  <si>
    <t>LDI</t>
  </si>
  <si>
    <t>PREÇO TOTAL</t>
  </si>
  <si>
    <t xml:space="preserve">FORMA DE EXECUÇÃO: </t>
  </si>
  <si>
    <t>PREÇO UNITÁRIO S/ LDI</t>
  </si>
  <si>
    <t>PREÇO UNITÁRIO C/ LDI</t>
  </si>
  <si>
    <t>2.1</t>
  </si>
  <si>
    <t>2.2</t>
  </si>
  <si>
    <t>TOTAL GERAL DA OBRA</t>
  </si>
  <si>
    <t>PREFEITURA: PREFEITURA MUNICIPAL DE SANTO ANTÔNIO DO RETIRO</t>
  </si>
  <si>
    <t>(X)</t>
  </si>
  <si>
    <t>FOLHA Nº: 01/01</t>
  </si>
  <si>
    <r>
      <rPr>
        <b/>
        <sz val="10"/>
        <color indexed="8"/>
        <rFont val="Arial"/>
        <family val="2"/>
      </rPr>
      <t>MUNICIPIO DE SANTO ANTÔNIO DO RETIRO</t>
    </r>
    <r>
      <rPr>
        <sz val="10"/>
        <color indexed="8"/>
        <rFont val="Arial"/>
        <family val="2"/>
      </rPr>
      <t xml:space="preserve">
ESTADO DE MINAS GERAIS – CNPJ: 01.612.484/0001-92
Rua Jacob Fernandes, 83 - Centro - Santo Antônio do Retiro - MG, CEP: 39.538-000
Site: https://santoantoniodoretiro.mg.gov.br 
E-mail: dmec@santoantoniodoretiro.mg.gov.br – fone (038) 3824-8110
</t>
    </r>
  </si>
  <si>
    <t>1.0</t>
  </si>
  <si>
    <t>2.0</t>
  </si>
  <si>
    <t>3.0</t>
  </si>
  <si>
    <t>5.0</t>
  </si>
  <si>
    <t>ALVENARIA E PINTURA</t>
  </si>
  <si>
    <r>
      <rPr>
        <b/>
        <sz val="10"/>
        <color indexed="8"/>
        <rFont val="Arial"/>
        <family val="2"/>
      </rPr>
      <t>MUNICIPIO DE SANTO ANTÔNIO DO RETIRO</t>
    </r>
    <r>
      <rPr>
        <sz val="10"/>
        <color indexed="8"/>
        <rFont val="Arial"/>
        <family val="2"/>
      </rPr>
      <t xml:space="preserve">
ESTADO DE MINAS GERAIS – CNPJ: 01.612.484/0001-92
Rua Jacob Fernandes, 83 - Centro - Santo Antônio do Retiro - MG, CEP: 39.538-000
Site: https://santoantoniodoretiro.mg.gov.br 
E-mail: dmec@santoantoniodoretiro.mg.gov.br – fone (038) 3824-8110
</t>
    </r>
  </si>
  <si>
    <t>CRONOGRAMA FÍSICO-FINANCEIRO</t>
  </si>
  <si>
    <t>ETAPAS/DESCRIÇÃO</t>
  </si>
  <si>
    <t>FÍSICO/ FINANCEIRO</t>
  </si>
  <si>
    <t>TOTAL  ETAPAS</t>
  </si>
  <si>
    <t>MÊS 1</t>
  </si>
  <si>
    <t>Físico %</t>
  </si>
  <si>
    <t>Financeiro</t>
  </si>
  <si>
    <t>TOTAL</t>
  </si>
  <si>
    <t>Sub-total ----&gt;</t>
  </si>
  <si>
    <t>M2</t>
  </si>
  <si>
    <t>TXKM</t>
  </si>
  <si>
    <t>PINTURA DE LIGAÇÃO (EXECUÇÃO E FORNECIMENTO DO MATERIAL BETUMINOSO, EXCLUSIVE TRANSPORTE DO MATERIAL BETUMINOSO)</t>
  </si>
  <si>
    <t>OBRA: RECAPEAMENTO DE RUAS NA SEDE</t>
  </si>
  <si>
    <t>VARREDURA DE SUPERFÍCIE PARA EXECUÇÃO DE REVESTIMENTO ASFÁLTICO</t>
  </si>
  <si>
    <t>M²</t>
  </si>
  <si>
    <t>M³</t>
  </si>
  <si>
    <t>LOCAL: RUAS DIVERSAS - CENTRO</t>
  </si>
  <si>
    <t>REPERFILAMENTO E RECAPEAMENTO</t>
  </si>
  <si>
    <t>TRANSPORTE</t>
  </si>
  <si>
    <t>SERVIÇOS PRELIMINARES</t>
  </si>
  <si>
    <t>3.1</t>
  </si>
  <si>
    <t>3.2</t>
  </si>
  <si>
    <t>LOCAL:  RUAS DIVERSAS - CENTRO</t>
  </si>
  <si>
    <t>ED-16660</t>
  </si>
  <si>
    <t>_______________________________________
Ivo Fernandes Silva
CPF 067.325.836-03
Prefeito Municipal</t>
  </si>
  <si>
    <t>4.0</t>
  </si>
  <si>
    <t>4.1</t>
  </si>
  <si>
    <t>ED-50393</t>
  </si>
  <si>
    <t>MOBILIZAÇÃO E DESMOBILIZAÇÃO DE OBRA EM CENTRO URBANO
OU REGIÃO LIMÍTROFE COM VALOR ENTRE 1.000.000,01 E 3.000.
000,00</t>
  </si>
  <si>
    <t>4.2</t>
  </si>
  <si>
    <t>%</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</si>
  <si>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 (2,40x1,20M)</t>
  </si>
  <si>
    <t>MOBILIZAÇÃO E DESMOBILIZAÇÃO</t>
  </si>
  <si>
    <t>FONTE</t>
  </si>
  <si>
    <t>SETOP</t>
  </si>
  <si>
    <t>4.3</t>
  </si>
  <si>
    <t>MEMÓRIA DE CÁLCULO</t>
  </si>
  <si>
    <t>Obra:</t>
  </si>
  <si>
    <t>Recapeamento em PMF</t>
  </si>
  <si>
    <t>Local :</t>
  </si>
  <si>
    <t>Rua Diversas Centro</t>
  </si>
  <si>
    <t>Data:</t>
  </si>
  <si>
    <t>Item</t>
  </si>
  <si>
    <t>Descrição Serviços/Cálculos</t>
  </si>
  <si>
    <t>Quant.</t>
  </si>
  <si>
    <t>Unid. Med.</t>
  </si>
  <si>
    <t>1.0 - Serviços Preliminares:</t>
  </si>
  <si>
    <t>1.1</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</si>
  <si>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 (2,40 X 1,20 M)</t>
  </si>
  <si>
    <t>Cálculo:</t>
  </si>
  <si>
    <t>2,40 X 1,20 =</t>
  </si>
  <si>
    <t>m²</t>
  </si>
  <si>
    <t>1.2</t>
  </si>
  <si>
    <t>CONFORME QUADRO DE ÁREAS DISPOSTO NO MEMORIAL DESCRITIVO</t>
  </si>
  <si>
    <r>
      <t xml:space="preserve">Pintura de ligação RR-2C para reperfilamento e recapeamento, área total conforme quadro de áreas: </t>
    </r>
    <r>
      <rPr>
        <b/>
        <sz val="10"/>
        <rFont val="Arial"/>
        <family val="2"/>
      </rPr>
      <t xml:space="preserve"> </t>
    </r>
  </si>
  <si>
    <r>
      <t xml:space="preserve">Massa asfaltica  RR-2C para reperfilamento , área total conforme quadro de áreas: </t>
    </r>
    <r>
      <rPr>
        <b/>
        <sz val="10"/>
        <rFont val="Arial"/>
        <family val="2"/>
      </rPr>
      <t xml:space="preserve"> </t>
    </r>
  </si>
  <si>
    <t>m³</t>
  </si>
  <si>
    <r>
      <t xml:space="preserve">Massa asfaltica RR-2C  recapeamento, área total conforme quadro de áreas: </t>
    </r>
    <r>
      <rPr>
        <b/>
        <sz val="10"/>
        <rFont val="Arial"/>
        <family val="2"/>
      </rPr>
      <t xml:space="preserve"> </t>
    </r>
  </si>
  <si>
    <t>2.0 - Reperfilamento e Recapeamento</t>
  </si>
  <si>
    <t>3.0 - Transportes:</t>
  </si>
  <si>
    <t>t</t>
  </si>
  <si>
    <t>Total</t>
  </si>
  <si>
    <t>txkm</t>
  </si>
  <si>
    <t>Total DMT Agregado</t>
  </si>
  <si>
    <t>_______________________________
Ivo Fernandes Silva
CPF 067.325.836-03
Prefeito Municipal</t>
  </si>
  <si>
    <t>RELAÇÃO DE RUAS PARA RECAPEAMENTO</t>
  </si>
  <si>
    <t>LOGRADOURO</t>
  </si>
  <si>
    <t>COMPRIMENTO (M)</t>
  </si>
  <si>
    <t>COORDENADAS</t>
  </si>
  <si>
    <t>15°20'34"S 42°37'28"O</t>
  </si>
  <si>
    <t>15°20'36"S 42°37'27"O</t>
  </si>
  <si>
    <t>15°20'37"S 42°37'23"O</t>
  </si>
  <si>
    <t>15°20'28"S 42°37'19"O</t>
  </si>
  <si>
    <t>15°20'36"S 42°37'21"O</t>
  </si>
  <si>
    <t>15°20'37"S 42°37'29"O</t>
  </si>
  <si>
    <t>PAVIMENTAÇÃO EM PMF</t>
  </si>
  <si>
    <t>LIMPA RODAS (M²)</t>
  </si>
  <si>
    <t>ÁREA PMF TOTAL</t>
  </si>
  <si>
    <t>LARGURA 
DA VIA (M)</t>
  </si>
  <si>
    <t>ÁREA (M²)</t>
  </si>
  <si>
    <t xml:space="preserve">_______________________________                                   
MARCELO DE OLIVEIRA LEMOS DA SILVA                                                                                                                                          
CREA-MG 427.111                                                                   
Engenheiro Civil                                                                     </t>
  </si>
  <si>
    <t xml:space="preserve">____________________________________
MARCELO DE OLIVEIRA LEMOS DA SILVA                                                                                                                                          
CREA-MG 427.111                                                                   
Engenheiro Civil     </t>
  </si>
  <si>
    <t>Pré-misturado a frio - PMF (Execução, incluindo usinagem, aplicação, espalhamento e compactação, fornecimento dos agregados e material betuminoso, exclui transporte dos agregados e do material betuminoso até usina e da massa pronta até a pista)</t>
  </si>
  <si>
    <t>COMP</t>
  </si>
  <si>
    <t>SICRO</t>
  </si>
  <si>
    <t>REGIÃO/MÊS DE REFERÊNCIA:  SETOP NORTE 01/2026 - SINAPI 01/2026 SICRO 01/2026 DESONERADO</t>
  </si>
  <si>
    <t>DATA: 04/05/2026</t>
  </si>
  <si>
    <t>COMP 01</t>
  </si>
  <si>
    <t>COMP 02</t>
  </si>
  <si>
    <t>Transporte com caminhão basculante de 14 m³ - rodovia pavimentada (USINA)</t>
  </si>
  <si>
    <t>Transporte com caminhão basculante de 14 m³ - rodovia pavimentada (MATERIAL BETUMINOSO ATÉ A USINA)</t>
  </si>
  <si>
    <t>Transporte com caminhão basculante de 14 m³ - rodovia pavimentada (AGREGADO ATÉ A USINA)</t>
  </si>
  <si>
    <t xml:space="preserve">Transporte com caminhão basculante de 14 m³ - rodovia pavimentada (AGREGADO ATÉ A USINA) </t>
  </si>
  <si>
    <t>Pintura de Ligação Base SICRO e DER 012026</t>
  </si>
  <si>
    <t>FIC</t>
  </si>
  <si>
    <t>Produção da equipe 1.500,00 m²</t>
  </si>
  <si>
    <t>COEFICIENTE</t>
  </si>
  <si>
    <t>CUSTO UNITÁRIO</t>
  </si>
  <si>
    <t>CUSTO TOTAL</t>
  </si>
  <si>
    <t>EQUIPAMENTOS</t>
  </si>
  <si>
    <t>Quant</t>
  </si>
  <si>
    <t>Utilização operativa</t>
  </si>
  <si>
    <t>Custo h produtivo</t>
  </si>
  <si>
    <t>Custo h improdutivo</t>
  </si>
  <si>
    <t>Custo horario total</t>
  </si>
  <si>
    <t>E9509 Caminhão tanque distribuidor de asfalto com capacidade de 6.000 l - 7 kW/136 kW</t>
  </si>
  <si>
    <t>ORSE</t>
  </si>
  <si>
    <t>EMULSÃO RL-1C 18%</t>
  </si>
  <si>
    <t>T</t>
  </si>
  <si>
    <t>E9558 Tanque de estocagem de asfalto com capacidade de 30.000 l</t>
  </si>
  <si>
    <t>Custo horário total de equipamentos</t>
  </si>
  <si>
    <t>MÃO DE OBRA</t>
  </si>
  <si>
    <t>Unidade</t>
  </si>
  <si>
    <t>Custo horário</t>
  </si>
  <si>
    <t>Custo horário Total</t>
  </si>
  <si>
    <t>P9824 Servente</t>
  </si>
  <si>
    <t>h</t>
  </si>
  <si>
    <t>Custo horário total de execução</t>
  </si>
  <si>
    <t>Custo unitário de execução</t>
  </si>
  <si>
    <t>Custo do FIC</t>
  </si>
  <si>
    <t>MATERIAL</t>
  </si>
  <si>
    <t>Preço Unitário</t>
  </si>
  <si>
    <t>Custo Unitário</t>
  </si>
  <si>
    <t>Emulsão asfáltica - RR-1C - Ata de registro de preços do DER</t>
  </si>
  <si>
    <t>Subtotal</t>
  </si>
  <si>
    <t>Custo unitário direto total</t>
  </si>
  <si>
    <t>RO-00448</t>
  </si>
  <si>
    <t>Pré-misturado a frio - faixa C - areia e brita comerciais (Execução,
incluindo o fornecimento e carga da areia e da brita, exclui o transporte
da areia e da brita e o fornecimento e transporte do material betuminoso
até a obra)</t>
  </si>
  <si>
    <t>SETOP out/2024</t>
  </si>
  <si>
    <t xml:space="preserve">PRAÇA DA BÍBLIA </t>
  </si>
  <si>
    <t xml:space="preserve">RUA TENTENA </t>
  </si>
  <si>
    <t>RUA ANIZIO PARDINHO</t>
  </si>
  <si>
    <t>RUA JOVELINO PINHEIRO</t>
  </si>
  <si>
    <t xml:space="preserve">RUA AZELI SILVA COSTA </t>
  </si>
  <si>
    <t xml:space="preserve">RUA ANGELINA ANTUNES SILVA </t>
  </si>
  <si>
    <t>ÁREA PMF M³</t>
  </si>
  <si>
    <t>PRAZO DA OBRA: 1 MESES</t>
  </si>
  <si>
    <t>Transporte com caminhão basculante de 14 m³ - rodovia pavimentada (USINA ATÉ A PISTA)</t>
  </si>
  <si>
    <t>PRAZO DE EXECUÇÃO: 30 DIAS</t>
  </si>
  <si>
    <t>Cálculo: 7.043,26</t>
  </si>
  <si>
    <t>Cálculo: 140,87+211,30</t>
  </si>
  <si>
    <t>Cálculo: m³ PMF x KM x Densidade do PMF 
352,16x2x1,7</t>
  </si>
  <si>
    <t>Cálculo: Pintura de ligação RR-2C
0,0005 x 7043,26 =</t>
  </si>
  <si>
    <t xml:space="preserve">PMF RL-1C
0,17 x 352,16= </t>
  </si>
  <si>
    <t xml:space="preserve">DMT (676km) 
676 x 63,39 = </t>
  </si>
  <si>
    <t xml:space="preserve">Areia:
t/m³ (coeficiente SEINFRA) x m³ PMF
0,0919 x 352,16= </t>
  </si>
  <si>
    <t xml:space="preserve">Brita:
t/m³ (coeficiente SEINFRA) x m³ PMF
0,5557 x 352,16= </t>
  </si>
  <si>
    <t>DMT Areia (5,09km)
32,36X5,09</t>
  </si>
  <si>
    <t>DMT Brita (121km)
121 x 195,70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</si>
</sst>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R$&quot;\ * #,##0.00_-;\-&quot;R$&quot;\ * #,##0.00_-;_-&quot;R$&quot;\ * &quot;-&quot;??_-;_-@_-"/>
    <numFmt numFmtId="164" formatCode="_(* #,##0.00_);_(* \(#,##0.00\);_(* &quot;-&quot;??_);_(@_)"/>
    <numFmt numFmtId="165" formatCode="&quot;R$ &quot;#,##0.00"/>
    <numFmt numFmtId="166" formatCode="_-* #,##0.00_-;[Red]\-* #,##0.00_-;_-* &quot;-&quot;??_-;_-@_-"/>
  </numFmts>
  <fonts count="26" x14ac:knownFonts="1">
    <font>
      <sz val="10"/>
      <name val="Arial"/>
    </font>
    <font>
      <sz val="10"/>
      <name val="Arial"/>
      <family val="2"/>
    </font>
    <font>
      <sz val="8"/>
      <name val="Arial"/>
      <family val="2"/>
    </font>
    <font>
      <sz val="8"/>
      <color indexed="8"/>
      <name val="Arial"/>
      <family val="2"/>
    </font>
    <font>
      <sz val="10"/>
      <color indexed="8"/>
      <name val="Arial"/>
      <family val="2"/>
    </font>
    <font>
      <sz val="8"/>
      <color indexed="12"/>
      <name val="Arial"/>
      <family val="2"/>
    </font>
    <font>
      <b/>
      <sz val="10"/>
      <color indexed="8"/>
      <name val="Arial"/>
      <family val="2"/>
    </font>
    <font>
      <b/>
      <sz val="8"/>
      <color indexed="8"/>
      <name val="Arial"/>
      <family val="2"/>
    </font>
    <font>
      <sz val="8"/>
      <color indexed="8"/>
      <name val="Arial"/>
      <family val="2"/>
    </font>
    <font>
      <b/>
      <sz val="10"/>
      <color indexed="8"/>
      <name val="Arial"/>
      <family val="2"/>
    </font>
    <font>
      <sz val="10"/>
      <color indexed="8"/>
      <name val="Arial"/>
      <family val="2"/>
    </font>
    <font>
      <b/>
      <sz val="8"/>
      <color indexed="8"/>
      <name val="Arial"/>
      <family val="2"/>
    </font>
    <font>
      <b/>
      <sz val="10"/>
      <name val="Arial"/>
      <family val="2"/>
    </font>
    <font>
      <sz val="9"/>
      <color indexed="8"/>
      <name val="Arial"/>
      <family val="2"/>
    </font>
    <font>
      <sz val="9"/>
      <color theme="1"/>
      <name val="Arial"/>
      <family val="2"/>
    </font>
    <font>
      <b/>
      <sz val="9"/>
      <color indexed="8"/>
      <name val="Arial"/>
      <family val="2"/>
    </font>
    <font>
      <sz val="10"/>
      <name val="Arial"/>
      <family val="2"/>
    </font>
    <font>
      <b/>
      <sz val="8"/>
      <name val="Arial"/>
      <family val="2"/>
    </font>
    <font>
      <b/>
      <sz val="11"/>
      <color theme="1"/>
      <name val="Calibri"/>
      <family val="2"/>
      <scheme val="minor"/>
    </font>
    <font>
      <i/>
      <sz val="11"/>
      <color theme="1"/>
      <name val="Calibri"/>
      <family val="2"/>
      <scheme val="minor"/>
    </font>
    <font>
      <b/>
      <sz val="12"/>
      <color theme="1"/>
      <name val="Arial"/>
      <family val="2"/>
    </font>
    <font>
      <sz val="12"/>
      <color theme="1"/>
      <name val="Arial"/>
      <family val="2"/>
    </font>
    <font>
      <sz val="12"/>
      <name val="Arial"/>
      <family val="2"/>
    </font>
    <font>
      <b/>
      <sz val="12"/>
      <name val="Arial"/>
      <family val="2"/>
    </font>
    <font>
      <sz val="9"/>
      <name val="Arial"/>
      <family val="2"/>
    </font>
    <font>
      <sz val="10"/>
      <name val="Arial"/>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499984740745262"/>
        <bgColor indexed="64"/>
      </patternFill>
    </fill>
  </fills>
  <borders count="79">
    <border>
      <left/>
      <right/>
      <top/>
      <bottom/>
      <diagonal/>
    </border>
    <border>
      <left style="thin">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hair">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medium">
        <color indexed="64"/>
      </left>
      <right style="medium">
        <color indexed="64"/>
      </right>
      <top/>
      <bottom style="medium">
        <color indexed="64"/>
      </bottom>
      <diagonal/>
    </border>
    <border>
      <left style="medium">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style="hair">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thin">
        <color indexed="64"/>
      </left>
      <right style="medium">
        <color indexed="64"/>
      </right>
      <top style="thin">
        <color indexed="64"/>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16" fillId="0" borderId="0"/>
    <xf numFmtId="44" fontId="25" fillId="0" borderId="0" applyFont="0" applyFill="0" applyBorder="0" applyAlignment="0" applyProtection="0"/>
  </cellStyleXfs>
  <cellXfs count="294">
    <xf numFmtId="0" fontId="0" fillId="0" borderId="0" xfId="0"/>
    <xf numFmtId="0" fontId="4" fillId="0" borderId="0" xfId="0" applyFont="1"/>
    <xf numFmtId="4" fontId="5" fillId="0" borderId="7" xfId="0" applyNumberFormat="1" applyFont="1" applyBorder="1" applyAlignment="1">
      <alignment horizontal="center" vertical="center" wrapText="1"/>
    </xf>
    <xf numFmtId="4" fontId="5" fillId="0" borderId="8" xfId="0" applyNumberFormat="1" applyFont="1" applyBorder="1" applyAlignment="1">
      <alignment horizontal="center" vertical="center" wrapText="1"/>
    </xf>
    <xf numFmtId="0" fontId="6" fillId="0" borderId="4" xfId="0" applyFont="1" applyFill="1" applyBorder="1" applyAlignment="1">
      <alignment horizontal="center" vertical="center"/>
    </xf>
    <xf numFmtId="0" fontId="6" fillId="0" borderId="2" xfId="0" applyFont="1" applyFill="1" applyBorder="1" applyAlignment="1">
      <alignment horizontal="left" vertical="center"/>
    </xf>
    <xf numFmtId="0" fontId="6" fillId="0" borderId="5" xfId="0" applyFont="1" applyFill="1" applyBorder="1" applyAlignment="1">
      <alignment horizontal="center" vertical="center"/>
    </xf>
    <xf numFmtId="0" fontId="4" fillId="0" borderId="0" xfId="0" applyFont="1" applyBorder="1" applyAlignment="1">
      <alignment vertical="center"/>
    </xf>
    <xf numFmtId="10" fontId="6" fillId="0" borderId="9" xfId="1" applyNumberFormat="1" applyFont="1" applyFill="1" applyBorder="1" applyAlignment="1">
      <alignment horizontal="center" vertical="center"/>
    </xf>
    <xf numFmtId="0" fontId="3" fillId="0" borderId="6" xfId="0" applyFont="1" applyBorder="1" applyAlignment="1">
      <alignment horizontal="center" vertical="center" wrapText="1"/>
    </xf>
    <xf numFmtId="4" fontId="3" fillId="0" borderId="7" xfId="0" applyNumberFormat="1" applyFont="1" applyBorder="1" applyAlignment="1">
      <alignment horizontal="center" vertical="center" wrapText="1"/>
    </xf>
    <xf numFmtId="0" fontId="12" fillId="2" borderId="39" xfId="0" applyFont="1" applyFill="1" applyBorder="1" applyAlignment="1">
      <alignment horizontal="center" vertical="center"/>
    </xf>
    <xf numFmtId="0" fontId="12" fillId="2" borderId="26" xfId="0" applyFont="1" applyFill="1" applyBorder="1" applyAlignment="1">
      <alignment horizontal="center" vertical="center"/>
    </xf>
    <xf numFmtId="0" fontId="12" fillId="2" borderId="26" xfId="0" applyFont="1" applyFill="1" applyBorder="1" applyAlignment="1">
      <alignment horizontal="center" vertical="center" wrapText="1"/>
    </xf>
    <xf numFmtId="0" fontId="12" fillId="2" borderId="28" xfId="0" applyFont="1" applyFill="1" applyBorder="1" applyAlignment="1">
      <alignment horizontal="center" vertical="center"/>
    </xf>
    <xf numFmtId="10" fontId="13" fillId="3" borderId="40" xfId="0" applyNumberFormat="1" applyFont="1" applyFill="1" applyBorder="1" applyAlignment="1">
      <alignment vertical="top" wrapText="1"/>
    </xf>
    <xf numFmtId="49" fontId="13" fillId="3" borderId="42" xfId="0" applyNumberFormat="1" applyFont="1" applyFill="1" applyBorder="1" applyAlignment="1">
      <alignment horizontal="center" vertical="top" wrapText="1"/>
    </xf>
    <xf numFmtId="49" fontId="13" fillId="2" borderId="42" xfId="0" applyNumberFormat="1" applyFont="1" applyFill="1" applyBorder="1" applyAlignment="1">
      <alignment horizontal="center" vertical="top" wrapText="1"/>
    </xf>
    <xf numFmtId="4" fontId="13" fillId="2" borderId="42" xfId="0" applyNumberFormat="1" applyFont="1" applyFill="1" applyBorder="1" applyAlignment="1">
      <alignment vertical="top" wrapText="1"/>
    </xf>
    <xf numFmtId="4" fontId="13" fillId="2" borderId="43" xfId="0" applyNumberFormat="1" applyFont="1" applyFill="1" applyBorder="1" applyAlignment="1">
      <alignment vertical="top" wrapText="1"/>
    </xf>
    <xf numFmtId="4" fontId="14" fillId="2" borderId="42" xfId="0" applyNumberFormat="1" applyFont="1" applyFill="1" applyBorder="1" applyAlignment="1">
      <alignment vertical="top" wrapText="1"/>
    </xf>
    <xf numFmtId="49" fontId="15" fillId="4" borderId="45" xfId="0" applyNumberFormat="1" applyFont="1" applyFill="1" applyBorder="1" applyAlignment="1">
      <alignment horizontal="center" vertical="top" wrapText="1"/>
    </xf>
    <xf numFmtId="10" fontId="15" fillId="4" borderId="45" xfId="0" applyNumberFormat="1" applyFont="1" applyFill="1" applyBorder="1" applyAlignment="1">
      <alignment vertical="top" wrapText="1"/>
    </xf>
    <xf numFmtId="10" fontId="15" fillId="4" borderId="46" xfId="0" applyNumberFormat="1" applyFont="1" applyFill="1" applyBorder="1" applyAlignment="1">
      <alignment vertical="top" wrapText="1"/>
    </xf>
    <xf numFmtId="49" fontId="15" fillId="4" borderId="47" xfId="0" applyNumberFormat="1" applyFont="1" applyFill="1" applyBorder="1" applyAlignment="1">
      <alignment horizontal="center" vertical="top" wrapText="1"/>
    </xf>
    <xf numFmtId="165" fontId="15" fillId="4" borderId="47" xfId="0" applyNumberFormat="1" applyFont="1" applyFill="1" applyBorder="1" applyAlignment="1">
      <alignment vertical="top" wrapText="1"/>
    </xf>
    <xf numFmtId="165" fontId="15" fillId="4" borderId="48" xfId="0" applyNumberFormat="1" applyFont="1" applyFill="1" applyBorder="1" applyAlignment="1">
      <alignment vertical="top" wrapText="1"/>
    </xf>
    <xf numFmtId="0" fontId="0" fillId="2" borderId="0" xfId="0" applyFill="1" applyBorder="1" applyAlignment="1">
      <alignment vertical="center"/>
    </xf>
    <xf numFmtId="0" fontId="0" fillId="2" borderId="0" xfId="0" applyFill="1" applyBorder="1" applyAlignment="1">
      <alignment vertical="center" wrapText="1"/>
    </xf>
    <xf numFmtId="0" fontId="12" fillId="2" borderId="23" xfId="0" applyFont="1" applyFill="1" applyBorder="1" applyAlignment="1">
      <alignment wrapText="1"/>
    </xf>
    <xf numFmtId="0" fontId="12" fillId="2" borderId="24" xfId="0" applyFont="1" applyFill="1" applyBorder="1" applyAlignment="1">
      <alignment wrapText="1"/>
    </xf>
    <xf numFmtId="0" fontId="0" fillId="2" borderId="24" xfId="0" applyFill="1" applyBorder="1"/>
    <xf numFmtId="0" fontId="0" fillId="2" borderId="25" xfId="0" applyFill="1" applyBorder="1"/>
    <xf numFmtId="0" fontId="4" fillId="2" borderId="49" xfId="0" applyFont="1" applyFill="1" applyBorder="1" applyAlignment="1">
      <alignment vertical="center"/>
    </xf>
    <xf numFmtId="0" fontId="8" fillId="2" borderId="49" xfId="0" applyFont="1" applyFill="1" applyBorder="1" applyAlignment="1">
      <alignment vertical="center"/>
    </xf>
    <xf numFmtId="0" fontId="4" fillId="2" borderId="49" xfId="0" applyFont="1" applyFill="1" applyBorder="1"/>
    <xf numFmtId="0" fontId="12" fillId="2" borderId="53" xfId="0" applyFont="1" applyFill="1" applyBorder="1" applyAlignment="1">
      <alignment horizontal="center" vertical="center"/>
    </xf>
    <xf numFmtId="0" fontId="3" fillId="2" borderId="6" xfId="0" applyFont="1" applyFill="1" applyBorder="1" applyAlignment="1">
      <alignment horizontal="center" vertical="center" wrapText="1"/>
    </xf>
    <xf numFmtId="2" fontId="3" fillId="2" borderId="7" xfId="2" applyNumberFormat="1" applyFont="1" applyFill="1" applyBorder="1" applyAlignment="1">
      <alignment horizontal="center" vertical="center" wrapText="1"/>
    </xf>
    <xf numFmtId="4" fontId="3" fillId="2" borderId="7" xfId="0" applyNumberFormat="1" applyFont="1" applyFill="1" applyBorder="1" applyAlignment="1">
      <alignment horizontal="center" vertical="center" wrapText="1"/>
    </xf>
    <xf numFmtId="4" fontId="5" fillId="2" borderId="7" xfId="0" applyNumberFormat="1" applyFont="1" applyFill="1" applyBorder="1" applyAlignment="1">
      <alignment horizontal="center" vertical="center" wrapText="1"/>
    </xf>
    <xf numFmtId="4" fontId="5" fillId="2" borderId="8" xfId="0" applyNumberFormat="1" applyFont="1" applyFill="1" applyBorder="1" applyAlignment="1">
      <alignment horizontal="center" vertical="center" wrapText="1"/>
    </xf>
    <xf numFmtId="0" fontId="4" fillId="2" borderId="0" xfId="0" applyFont="1" applyFill="1"/>
    <xf numFmtId="0" fontId="3" fillId="0" borderId="0" xfId="0" applyFont="1" applyBorder="1" applyAlignment="1">
      <alignment horizontal="center" vertical="center" wrapText="1"/>
    </xf>
    <xf numFmtId="0" fontId="12" fillId="0" borderId="0" xfId="0" applyFont="1" applyAlignment="1">
      <alignment horizontal="left"/>
    </xf>
    <xf numFmtId="14" fontId="12" fillId="0" borderId="0" xfId="0" applyNumberFormat="1" applyFont="1" applyAlignment="1">
      <alignment horizontal="left"/>
    </xf>
    <xf numFmtId="0" fontId="12" fillId="0" borderId="0" xfId="0" applyFont="1" applyFill="1" applyBorder="1"/>
    <xf numFmtId="0" fontId="12" fillId="0" borderId="0" xfId="0" applyFont="1" applyFill="1" applyAlignment="1">
      <alignment horizontal="left"/>
    </xf>
    <xf numFmtId="0" fontId="17" fillId="0" borderId="0" xfId="0" applyFont="1" applyAlignment="1">
      <alignment horizontal="center"/>
    </xf>
    <xf numFmtId="0" fontId="17" fillId="0" borderId="0" xfId="0" applyFont="1" applyFill="1" applyAlignment="1">
      <alignment horizontal="center"/>
    </xf>
    <xf numFmtId="0" fontId="12" fillId="0" borderId="0" xfId="0" applyFont="1"/>
    <xf numFmtId="0" fontId="1" fillId="0" borderId="0" xfId="0" applyFont="1"/>
    <xf numFmtId="4" fontId="18" fillId="0" borderId="0" xfId="0" applyNumberFormat="1" applyFont="1"/>
    <xf numFmtId="4" fontId="0" fillId="0" borderId="0" xfId="0" applyNumberFormat="1"/>
    <xf numFmtId="0" fontId="1" fillId="0" borderId="0" xfId="0" applyFont="1" applyAlignment="1">
      <alignment horizontal="center"/>
    </xf>
    <xf numFmtId="0" fontId="0" fillId="0" borderId="0" xfId="0" applyAlignment="1">
      <alignment horizontal="center"/>
    </xf>
    <xf numFmtId="0" fontId="1" fillId="0" borderId="0" xfId="0" applyFont="1" applyFill="1" applyBorder="1"/>
    <xf numFmtId="0" fontId="1" fillId="0" borderId="0" xfId="0" applyFont="1" applyFill="1" applyBorder="1" applyAlignment="1">
      <alignment vertical="center"/>
    </xf>
    <xf numFmtId="0" fontId="1" fillId="0" borderId="0" xfId="0" applyFont="1" applyAlignment="1">
      <alignment vertical="top"/>
    </xf>
    <xf numFmtId="4" fontId="0" fillId="0" borderId="0" xfId="0" applyNumberFormat="1" applyAlignment="1">
      <alignment vertical="top"/>
    </xf>
    <xf numFmtId="0" fontId="0" fillId="0" borderId="0" xfId="0" applyAlignment="1">
      <alignment vertical="top"/>
    </xf>
    <xf numFmtId="0" fontId="18" fillId="0" borderId="0" xfId="0" applyFont="1" applyAlignment="1">
      <alignment horizontal="center"/>
    </xf>
    <xf numFmtId="4" fontId="12" fillId="0" borderId="0" xfId="0" applyNumberFormat="1" applyFont="1"/>
    <xf numFmtId="0" fontId="1" fillId="0" borderId="0" xfId="0" applyFont="1" applyFill="1" applyBorder="1" applyAlignment="1">
      <alignment wrapText="1"/>
    </xf>
    <xf numFmtId="4" fontId="1" fillId="0" borderId="0" xfId="0" applyNumberFormat="1" applyFont="1"/>
    <xf numFmtId="0" fontId="1" fillId="0" borderId="0" xfId="0" applyFont="1" applyFill="1" applyBorder="1" applyAlignment="1">
      <alignment horizontal="right"/>
    </xf>
    <xf numFmtId="0" fontId="0" fillId="0" borderId="0" xfId="0" applyFill="1"/>
    <xf numFmtId="4" fontId="19" fillId="0" borderId="0" xfId="0" applyNumberFormat="1" applyFont="1"/>
    <xf numFmtId="0" fontId="0" fillId="0" borderId="0" xfId="0" applyFill="1" applyAlignment="1">
      <alignment horizontal="right"/>
    </xf>
    <xf numFmtId="0" fontId="1" fillId="0" borderId="0" xfId="0" applyFont="1" applyFill="1" applyBorder="1" applyAlignment="1">
      <alignment horizontal="left"/>
    </xf>
    <xf numFmtId="0" fontId="4" fillId="0" borderId="0" xfId="0" applyFont="1" applyBorder="1" applyAlignment="1">
      <alignment vertical="center" wrapText="1"/>
    </xf>
    <xf numFmtId="0" fontId="20" fillId="0" borderId="1" xfId="0" applyFont="1" applyBorder="1" applyAlignment="1">
      <alignment horizontal="center" vertical="center"/>
    </xf>
    <xf numFmtId="0" fontId="21" fillId="4" borderId="55" xfId="0" applyFont="1" applyFill="1" applyBorder="1"/>
    <xf numFmtId="2" fontId="21" fillId="4" borderId="15" xfId="0" applyNumberFormat="1" applyFont="1" applyFill="1" applyBorder="1" applyAlignment="1">
      <alignment horizontal="center" vertical="center"/>
    </xf>
    <xf numFmtId="0" fontId="20" fillId="0" borderId="56" xfId="0" applyFont="1" applyFill="1" applyBorder="1"/>
    <xf numFmtId="2" fontId="20" fillId="0" borderId="57" xfId="0" applyNumberFormat="1" applyFont="1" applyFill="1" applyBorder="1" applyAlignment="1">
      <alignment horizontal="center" vertical="center"/>
    </xf>
    <xf numFmtId="0" fontId="22" fillId="0" borderId="0" xfId="0" applyFont="1"/>
    <xf numFmtId="0" fontId="20" fillId="0" borderId="1" xfId="0" applyFont="1" applyBorder="1" applyAlignment="1">
      <alignment horizontal="center" vertical="center" wrapText="1"/>
    </xf>
    <xf numFmtId="2" fontId="22" fillId="4" borderId="15" xfId="0" applyNumberFormat="1" applyFont="1" applyFill="1" applyBorder="1" applyAlignment="1">
      <alignment horizontal="center" vertical="center"/>
    </xf>
    <xf numFmtId="2" fontId="23" fillId="0" borderId="57" xfId="0" applyNumberFormat="1" applyFont="1" applyFill="1" applyBorder="1" applyAlignment="1">
      <alignment horizontal="center" vertical="center"/>
    </xf>
    <xf numFmtId="0" fontId="2" fillId="0" borderId="0" xfId="3" applyFont="1" applyFill="1" applyBorder="1" applyAlignment="1">
      <alignment horizontal="center" vertical="center" wrapText="1"/>
    </xf>
    <xf numFmtId="0" fontId="2" fillId="0" borderId="61" xfId="3" applyFont="1" applyFill="1" applyBorder="1" applyAlignment="1">
      <alignment horizontal="center" vertical="center" wrapText="1"/>
    </xf>
    <xf numFmtId="0" fontId="2" fillId="2" borderId="61" xfId="3" applyFont="1" applyFill="1" applyBorder="1" applyAlignment="1">
      <alignment horizontal="center" vertical="center" wrapText="1"/>
    </xf>
    <xf numFmtId="0" fontId="2" fillId="0" borderId="61" xfId="3" applyNumberFormat="1" applyFont="1" applyFill="1" applyBorder="1" applyAlignment="1">
      <alignment horizontal="left" vertical="center" wrapText="1"/>
    </xf>
    <xf numFmtId="166" fontId="2" fillId="2" borderId="61" xfId="3" applyNumberFormat="1" applyFont="1" applyFill="1" applyBorder="1" applyAlignment="1">
      <alignment horizontal="left" vertical="center" wrapText="1"/>
    </xf>
    <xf numFmtId="4" fontId="3" fillId="0" borderId="60" xfId="0" applyNumberFormat="1" applyFont="1" applyBorder="1" applyAlignment="1">
      <alignment horizontal="center" vertical="center" wrapText="1"/>
    </xf>
    <xf numFmtId="2" fontId="3" fillId="2" borderId="61" xfId="2" applyNumberFormat="1" applyFont="1" applyFill="1" applyBorder="1" applyAlignment="1">
      <alignment horizontal="center" vertical="center" wrapText="1"/>
    </xf>
    <xf numFmtId="4" fontId="3" fillId="0" borderId="61" xfId="0" applyNumberFormat="1" applyFont="1" applyBorder="1" applyAlignment="1">
      <alignment horizontal="center" vertical="center" wrapText="1"/>
    </xf>
    <xf numFmtId="4" fontId="3" fillId="2" borderId="61" xfId="0" applyNumberFormat="1" applyFont="1" applyFill="1" applyBorder="1" applyAlignment="1">
      <alignment horizontal="center" vertical="center" wrapText="1"/>
    </xf>
    <xf numFmtId="2" fontId="3" fillId="0" borderId="58" xfId="2" applyNumberFormat="1" applyFont="1" applyFill="1" applyBorder="1" applyAlignment="1">
      <alignment horizontal="center" vertical="center" wrapText="1"/>
    </xf>
    <xf numFmtId="4" fontId="3" fillId="0" borderId="58" xfId="0" applyNumberFormat="1" applyFont="1" applyBorder="1" applyAlignment="1">
      <alignment horizontal="center" vertical="center" wrapText="1"/>
    </xf>
    <xf numFmtId="4" fontId="5" fillId="2" borderId="61" xfId="0" applyNumberFormat="1" applyFont="1" applyFill="1" applyBorder="1" applyAlignment="1">
      <alignment horizontal="center" vertical="center" wrapText="1"/>
    </xf>
    <xf numFmtId="4" fontId="5" fillId="0" borderId="58" xfId="0" applyNumberFormat="1" applyFont="1" applyBorder="1" applyAlignment="1">
      <alignment horizontal="center" vertical="center" wrapText="1"/>
    </xf>
    <xf numFmtId="4" fontId="5" fillId="0" borderId="60" xfId="0" applyNumberFormat="1" applyFont="1" applyBorder="1" applyAlignment="1">
      <alignment horizontal="center" vertical="center" wrapText="1"/>
    </xf>
    <xf numFmtId="0" fontId="2" fillId="0" borderId="7" xfId="3" applyFont="1" applyFill="1" applyBorder="1" applyAlignment="1">
      <alignment horizontal="center" vertical="center" wrapText="1"/>
    </xf>
    <xf numFmtId="0" fontId="3" fillId="0" borderId="7" xfId="0" applyFont="1" applyBorder="1" applyAlignment="1">
      <alignment horizontal="center" vertical="center" wrapText="1"/>
    </xf>
    <xf numFmtId="0" fontId="2" fillId="0" borderId="58" xfId="3" applyFont="1" applyFill="1" applyBorder="1" applyAlignment="1">
      <alignment horizontal="center" vertical="center" wrapText="1"/>
    </xf>
    <xf numFmtId="0" fontId="2" fillId="0" borderId="58" xfId="3" applyNumberFormat="1" applyFont="1" applyFill="1" applyBorder="1" applyAlignment="1">
      <alignment horizontal="left" vertical="center" wrapText="1"/>
    </xf>
    <xf numFmtId="0" fontId="9" fillId="0" borderId="15" xfId="0" applyFont="1" applyFill="1" applyBorder="1" applyAlignment="1">
      <alignment horizontal="center" vertical="center"/>
    </xf>
    <xf numFmtId="0" fontId="6" fillId="0" borderId="15" xfId="0" applyFont="1" applyFill="1" applyBorder="1" applyAlignment="1">
      <alignment horizontal="center" vertical="center"/>
    </xf>
    <xf numFmtId="0" fontId="9" fillId="0" borderId="15" xfId="0" applyFont="1" applyFill="1" applyBorder="1" applyAlignment="1">
      <alignment horizontal="center" vertical="center" wrapText="1"/>
    </xf>
    <xf numFmtId="2" fontId="3" fillId="0" borderId="61" xfId="2" applyNumberFormat="1" applyFont="1" applyFill="1" applyBorder="1" applyAlignment="1">
      <alignment horizontal="left" vertical="center" wrapText="1"/>
    </xf>
    <xf numFmtId="10" fontId="5" fillId="0" borderId="61" xfId="1" applyNumberFormat="1" applyFont="1" applyBorder="1" applyAlignment="1">
      <alignment horizontal="center" vertical="center" wrapText="1"/>
    </xf>
    <xf numFmtId="0" fontId="3" fillId="0" borderId="58" xfId="0" applyFont="1" applyBorder="1" applyAlignment="1">
      <alignment horizontal="center" vertical="center" wrapText="1"/>
    </xf>
    <xf numFmtId="166" fontId="2" fillId="0" borderId="58" xfId="3" applyNumberFormat="1" applyFont="1" applyFill="1" applyBorder="1" applyAlignment="1">
      <alignment horizontal="left" vertical="center" wrapText="1"/>
    </xf>
    <xf numFmtId="0" fontId="3" fillId="5" borderId="3" xfId="0" applyFont="1" applyFill="1" applyBorder="1" applyAlignment="1">
      <alignment horizontal="center" vertical="center" wrapText="1"/>
    </xf>
    <xf numFmtId="0" fontId="2" fillId="5" borderId="3" xfId="3" applyFont="1" applyFill="1" applyBorder="1" applyAlignment="1">
      <alignment horizontal="center" vertical="center" wrapText="1"/>
    </xf>
    <xf numFmtId="166" fontId="17" fillId="5" borderId="3" xfId="3" applyNumberFormat="1" applyFont="1" applyFill="1" applyBorder="1" applyAlignment="1">
      <alignment horizontal="left" vertical="center" wrapText="1"/>
    </xf>
    <xf numFmtId="2" fontId="3" fillId="5" borderId="3" xfId="2" applyNumberFormat="1" applyFont="1" applyFill="1" applyBorder="1" applyAlignment="1">
      <alignment horizontal="center" vertical="center" wrapText="1"/>
    </xf>
    <xf numFmtId="4" fontId="3" fillId="5" borderId="3" xfId="0" applyNumberFormat="1" applyFont="1" applyFill="1" applyBorder="1" applyAlignment="1">
      <alignment horizontal="center" vertical="center" wrapText="1"/>
    </xf>
    <xf numFmtId="4" fontId="5" fillId="5" borderId="3" xfId="0" applyNumberFormat="1" applyFont="1" applyFill="1" applyBorder="1" applyAlignment="1">
      <alignment horizontal="center" vertical="center" wrapText="1"/>
    </xf>
    <xf numFmtId="2" fontId="3" fillId="0" borderId="60" xfId="2" applyNumberFormat="1" applyFont="1" applyFill="1" applyBorder="1" applyAlignment="1">
      <alignment horizontal="center" vertical="center" wrapText="1"/>
    </xf>
    <xf numFmtId="166" fontId="2" fillId="0" borderId="60" xfId="3" applyNumberFormat="1" applyFont="1" applyFill="1" applyBorder="1" applyAlignment="1">
      <alignment horizontal="left" vertical="center" wrapText="1"/>
    </xf>
    <xf numFmtId="166" fontId="2" fillId="4" borderId="13" xfId="3" applyNumberFormat="1" applyFont="1" applyFill="1" applyBorder="1" applyAlignment="1">
      <alignment horizontal="right" vertical="center" wrapText="1"/>
    </xf>
    <xf numFmtId="2" fontId="3" fillId="4" borderId="30" xfId="2" applyNumberFormat="1" applyFont="1" applyFill="1" applyBorder="1" applyAlignment="1">
      <alignment horizontal="center" vertical="center" wrapText="1"/>
    </xf>
    <xf numFmtId="4" fontId="3" fillId="4" borderId="30" xfId="0" applyNumberFormat="1" applyFont="1" applyFill="1" applyBorder="1" applyAlignment="1">
      <alignment horizontal="center" vertical="center" wrapText="1"/>
    </xf>
    <xf numFmtId="4" fontId="5" fillId="4" borderId="30" xfId="0" applyNumberFormat="1" applyFont="1" applyFill="1" applyBorder="1" applyAlignment="1">
      <alignment horizontal="center" vertical="center" wrapText="1"/>
    </xf>
    <xf numFmtId="4" fontId="11" fillId="0" borderId="62" xfId="0" applyNumberFormat="1" applyFont="1" applyBorder="1" applyAlignment="1">
      <alignment horizontal="center" vertical="center" wrapText="1"/>
    </xf>
    <xf numFmtId="0" fontId="6" fillId="0" borderId="10" xfId="0" applyFont="1" applyFill="1" applyBorder="1" applyAlignment="1">
      <alignment horizontal="center" vertical="center"/>
    </xf>
    <xf numFmtId="0" fontId="6" fillId="0" borderId="32"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17" xfId="0" applyFont="1" applyFill="1" applyBorder="1" applyAlignment="1">
      <alignment horizontal="center" vertical="center" wrapText="1"/>
    </xf>
    <xf numFmtId="0" fontId="2" fillId="0" borderId="63" xfId="3" applyFont="1" applyFill="1" applyBorder="1" applyAlignment="1">
      <alignment horizontal="center" vertical="center" wrapText="1"/>
    </xf>
    <xf numFmtId="4" fontId="5" fillId="0" borderId="64" xfId="0" applyNumberFormat="1" applyFont="1" applyBorder="1" applyAlignment="1">
      <alignment horizontal="center" vertical="center" wrapText="1"/>
    </xf>
    <xf numFmtId="0" fontId="3" fillId="5" borderId="21" xfId="0" applyFont="1" applyFill="1" applyBorder="1" applyAlignment="1">
      <alignment horizontal="center" vertical="center" wrapText="1"/>
    </xf>
    <xf numFmtId="4" fontId="5" fillId="5" borderId="2" xfId="0" applyNumberFormat="1" applyFont="1" applyFill="1" applyBorder="1" applyAlignment="1">
      <alignment horizontal="center" vertical="center" wrapText="1"/>
    </xf>
    <xf numFmtId="0" fontId="3" fillId="0" borderId="54" xfId="0" applyFont="1" applyBorder="1" applyAlignment="1">
      <alignment horizontal="center" vertical="center" wrapText="1"/>
    </xf>
    <xf numFmtId="4" fontId="5" fillId="0" borderId="59" xfId="0" applyNumberFormat="1" applyFont="1" applyBorder="1" applyAlignment="1">
      <alignment horizontal="center" vertical="center" wrapText="1"/>
    </xf>
    <xf numFmtId="4" fontId="5" fillId="0" borderId="65" xfId="0" applyNumberFormat="1" applyFont="1" applyBorder="1" applyAlignment="1">
      <alignment horizontal="center" vertical="center" wrapText="1"/>
    </xf>
    <xf numFmtId="0" fontId="3" fillId="0" borderId="49" xfId="0" applyFont="1" applyBorder="1" applyAlignment="1">
      <alignment horizontal="center" vertical="center" wrapText="1"/>
    </xf>
    <xf numFmtId="4" fontId="5" fillId="4" borderId="17" xfId="0" applyNumberFormat="1" applyFont="1" applyFill="1" applyBorder="1" applyAlignment="1">
      <alignment horizontal="center" vertical="center" wrapText="1"/>
    </xf>
    <xf numFmtId="0" fontId="3" fillId="2" borderId="63" xfId="0" applyFont="1" applyFill="1" applyBorder="1" applyAlignment="1">
      <alignment horizontal="center" vertical="center" wrapText="1"/>
    </xf>
    <xf numFmtId="4" fontId="5" fillId="2" borderId="64" xfId="0" applyNumberFormat="1" applyFont="1" applyFill="1" applyBorder="1" applyAlignment="1">
      <alignment horizontal="center" vertical="center" wrapText="1"/>
    </xf>
    <xf numFmtId="0" fontId="4" fillId="0" borderId="0" xfId="0" applyFont="1" applyBorder="1" applyAlignment="1">
      <alignment horizontal="center" vertical="center"/>
    </xf>
    <xf numFmtId="0" fontId="6" fillId="0" borderId="3" xfId="0" applyFont="1" applyFill="1" applyBorder="1" applyAlignment="1">
      <alignment horizontal="center" vertical="center"/>
    </xf>
    <xf numFmtId="0" fontId="4" fillId="0" borderId="0" xfId="0" applyFont="1" applyBorder="1" applyAlignment="1">
      <alignment horizontal="left" vertical="center" wrapText="1"/>
    </xf>
    <xf numFmtId="0" fontId="12" fillId="0" borderId="0" xfId="0" applyFont="1" applyAlignment="1">
      <alignment horizontal="center"/>
    </xf>
    <xf numFmtId="0" fontId="21" fillId="2" borderId="55" xfId="0" applyFont="1" applyFill="1" applyBorder="1"/>
    <xf numFmtId="2" fontId="21" fillId="2" borderId="15" xfId="0" applyNumberFormat="1" applyFont="1" applyFill="1" applyBorder="1" applyAlignment="1">
      <alignment horizontal="center" vertical="center"/>
    </xf>
    <xf numFmtId="0" fontId="22" fillId="2" borderId="16" xfId="0" applyFont="1" applyFill="1" applyBorder="1" applyAlignment="1">
      <alignment horizontal="center"/>
    </xf>
    <xf numFmtId="2" fontId="22" fillId="4" borderId="68" xfId="0" applyNumberFormat="1" applyFont="1" applyFill="1" applyBorder="1" applyAlignment="1">
      <alignment horizontal="center" vertical="center"/>
    </xf>
    <xf numFmtId="2" fontId="22" fillId="4" borderId="66" xfId="0" applyNumberFormat="1" applyFont="1" applyFill="1" applyBorder="1" applyAlignment="1">
      <alignment horizontal="center" vertical="center"/>
    </xf>
    <xf numFmtId="0" fontId="20" fillId="0" borderId="67" xfId="0" applyFont="1" applyBorder="1" applyAlignment="1">
      <alignment horizontal="center" vertical="center" wrapText="1"/>
    </xf>
    <xf numFmtId="0" fontId="20" fillId="0" borderId="70" xfId="0" applyFont="1" applyBorder="1" applyAlignment="1">
      <alignment horizontal="center" vertical="center"/>
    </xf>
    <xf numFmtId="0" fontId="20" fillId="0" borderId="67" xfId="0" applyFont="1" applyBorder="1" applyAlignment="1">
      <alignment horizontal="center" vertical="center"/>
    </xf>
    <xf numFmtId="2" fontId="23" fillId="0" borderId="38" xfId="0" applyNumberFormat="1" applyFont="1" applyBorder="1" applyAlignment="1">
      <alignment horizontal="center"/>
    </xf>
    <xf numFmtId="0" fontId="4" fillId="2" borderId="49" xfId="0" applyFont="1" applyFill="1" applyBorder="1" applyAlignment="1">
      <alignment wrapText="1"/>
    </xf>
    <xf numFmtId="0" fontId="4" fillId="2" borderId="0" xfId="0" applyFont="1" applyFill="1" applyBorder="1" applyAlignment="1">
      <alignment wrapText="1"/>
    </xf>
    <xf numFmtId="0" fontId="4" fillId="2" borderId="50" xfId="0" applyFont="1" applyFill="1" applyBorder="1" applyAlignment="1">
      <alignment wrapText="1"/>
    </xf>
    <xf numFmtId="0" fontId="4" fillId="2" borderId="31" xfId="0" applyFont="1" applyFill="1" applyBorder="1" applyAlignment="1">
      <alignment wrapText="1"/>
    </xf>
    <xf numFmtId="0" fontId="4" fillId="2" borderId="29" xfId="0" applyFont="1" applyFill="1" applyBorder="1" applyAlignment="1">
      <alignment wrapText="1"/>
    </xf>
    <xf numFmtId="0" fontId="4" fillId="2" borderId="52" xfId="0" applyFont="1" applyFill="1" applyBorder="1" applyAlignment="1">
      <alignment wrapText="1"/>
    </xf>
    <xf numFmtId="2" fontId="23" fillId="0" borderId="69" xfId="0" applyNumberFormat="1" applyFont="1" applyBorder="1" applyAlignment="1">
      <alignment horizontal="center"/>
    </xf>
    <xf numFmtId="2" fontId="22" fillId="4" borderId="71" xfId="0" applyNumberFormat="1" applyFont="1" applyFill="1" applyBorder="1" applyAlignment="1">
      <alignment horizontal="center" vertical="center"/>
    </xf>
    <xf numFmtId="0" fontId="0" fillId="0" borderId="0" xfId="0" applyBorder="1"/>
    <xf numFmtId="0" fontId="12" fillId="0" borderId="0" xfId="0" applyFont="1" applyAlignment="1">
      <alignment horizontal="center"/>
    </xf>
    <xf numFmtId="166" fontId="2" fillId="0" borderId="58" xfId="3" applyNumberFormat="1" applyFont="1" applyFill="1" applyBorder="1" applyAlignment="1">
      <alignment horizontal="center" vertical="center" wrapText="1"/>
    </xf>
    <xf numFmtId="0" fontId="1" fillId="0" borderId="0" xfId="0" applyFont="1" applyAlignment="1">
      <alignment wrapText="1"/>
    </xf>
    <xf numFmtId="4" fontId="5" fillId="4" borderId="11" xfId="0" applyNumberFormat="1" applyFont="1" applyFill="1" applyBorder="1" applyAlignment="1">
      <alignment horizontal="center" vertical="center" wrapText="1"/>
    </xf>
    <xf numFmtId="0" fontId="0" fillId="0" borderId="72" xfId="0" applyBorder="1"/>
    <xf numFmtId="0" fontId="0" fillId="0" borderId="50" xfId="0" applyBorder="1"/>
    <xf numFmtId="0" fontId="6" fillId="0" borderId="73"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0" fillId="0" borderId="55" xfId="0" applyBorder="1" applyAlignment="1">
      <alignment vertical="center"/>
    </xf>
    <xf numFmtId="0" fontId="0" fillId="0" borderId="15" xfId="0"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vertical="center"/>
    </xf>
    <xf numFmtId="0" fontId="0" fillId="0" borderId="17" xfId="0" applyBorder="1" applyAlignment="1">
      <alignment horizontal="center" vertical="center" wrapText="1"/>
    </xf>
    <xf numFmtId="0" fontId="0" fillId="0" borderId="0" xfId="0" applyAlignment="1">
      <alignment vertical="center"/>
    </xf>
    <xf numFmtId="0" fontId="3" fillId="0" borderId="15" xfId="0" applyFont="1" applyBorder="1" applyAlignment="1">
      <alignment horizontal="center" vertical="center" wrapText="1"/>
    </xf>
    <xf numFmtId="0" fontId="2" fillId="0" borderId="76" xfId="3" applyFont="1" applyFill="1" applyBorder="1" applyAlignment="1">
      <alignment horizontal="center" vertical="center" wrapText="1"/>
    </xf>
    <xf numFmtId="0" fontId="2" fillId="0" borderId="77" xfId="3" applyNumberFormat="1" applyFont="1" applyFill="1" applyBorder="1" applyAlignment="1">
      <alignment horizontal="left" vertical="center" wrapText="1"/>
    </xf>
    <xf numFmtId="2" fontId="3" fillId="0" borderId="15" xfId="2" applyNumberFormat="1" applyFont="1" applyFill="1" applyBorder="1" applyAlignment="1">
      <alignment horizontal="center" vertical="center" wrapText="1"/>
    </xf>
    <xf numFmtId="4" fontId="3" fillId="0" borderId="15" xfId="0" applyNumberFormat="1" applyFont="1" applyBorder="1" applyAlignment="1">
      <alignment horizontal="center" vertical="center" wrapText="1"/>
    </xf>
    <xf numFmtId="4" fontId="5" fillId="0" borderId="17" xfId="0" applyNumberFormat="1" applyFont="1" applyBorder="1" applyAlignment="1">
      <alignment horizontal="center" vertical="center" wrapText="1"/>
    </xf>
    <xf numFmtId="0" fontId="0" fillId="0" borderId="55" xfId="0" applyBorder="1"/>
    <xf numFmtId="0" fontId="0" fillId="0" borderId="15" xfId="0" applyBorder="1" applyAlignment="1">
      <alignment horizontal="center"/>
    </xf>
    <xf numFmtId="0" fontId="0" fillId="0" borderId="15" xfId="0" applyBorder="1"/>
    <xf numFmtId="0" fontId="0" fillId="0" borderId="17" xfId="0" applyBorder="1"/>
    <xf numFmtId="0" fontId="2" fillId="0" borderId="15" xfId="3" applyFont="1" applyFill="1" applyBorder="1" applyAlignment="1">
      <alignment horizontal="center" vertical="center" wrapText="1"/>
    </xf>
    <xf numFmtId="49" fontId="24" fillId="0" borderId="15" xfId="3" applyNumberFormat="1" applyFont="1" applyFill="1" applyBorder="1" applyAlignment="1">
      <alignment horizontal="left" vertical="center" wrapText="1"/>
    </xf>
    <xf numFmtId="0" fontId="7" fillId="0" borderId="29" xfId="0" applyFont="1" applyBorder="1" applyAlignment="1">
      <alignment vertical="center" wrapText="1"/>
    </xf>
    <xf numFmtId="4" fontId="7" fillId="0" borderId="52" xfId="0" applyNumberFormat="1" applyFont="1" applyBorder="1" applyAlignment="1">
      <alignment vertical="center" wrapText="1"/>
    </xf>
    <xf numFmtId="0" fontId="0" fillId="0" borderId="55" xfId="0" applyBorder="1" applyAlignment="1">
      <alignment horizontal="right"/>
    </xf>
    <xf numFmtId="0" fontId="0" fillId="0" borderId="15" xfId="0" applyBorder="1" applyAlignment="1">
      <alignment horizontal="center" wrapText="1"/>
    </xf>
    <xf numFmtId="0" fontId="0" fillId="0" borderId="17" xfId="0" applyBorder="1" applyAlignment="1">
      <alignment horizontal="center" wrapText="1"/>
    </xf>
    <xf numFmtId="0" fontId="0" fillId="0" borderId="56" xfId="0" applyBorder="1" applyAlignment="1">
      <alignment horizontal="right"/>
    </xf>
    <xf numFmtId="0" fontId="0" fillId="0" borderId="57" xfId="0" applyBorder="1" applyAlignment="1">
      <alignment horizontal="center"/>
    </xf>
    <xf numFmtId="0" fontId="0" fillId="0" borderId="57" xfId="0" applyBorder="1"/>
    <xf numFmtId="2" fontId="12" fillId="0" borderId="78" xfId="0" applyNumberFormat="1" applyFont="1" applyBorder="1"/>
    <xf numFmtId="0" fontId="23" fillId="0" borderId="0" xfId="0" applyFont="1" applyAlignment="1">
      <alignment horizontal="center" wrapText="1"/>
    </xf>
    <xf numFmtId="2" fontId="23" fillId="0" borderId="0" xfId="0" applyNumberFormat="1" applyFont="1"/>
    <xf numFmtId="0" fontId="0" fillId="0" borderId="0" xfId="0" applyBorder="1" applyAlignment="1">
      <alignment horizontal="right"/>
    </xf>
    <xf numFmtId="0" fontId="0" fillId="0" borderId="0" xfId="0" applyBorder="1" applyAlignment="1">
      <alignment horizontal="center"/>
    </xf>
    <xf numFmtId="2" fontId="12" fillId="0" borderId="0" xfId="0" applyNumberFormat="1" applyFont="1" applyBorder="1"/>
    <xf numFmtId="44" fontId="4" fillId="0" borderId="0" xfId="4" applyFont="1"/>
    <xf numFmtId="0" fontId="6" fillId="0" borderId="21" xfId="0" applyFont="1" applyFill="1" applyBorder="1" applyAlignment="1">
      <alignment horizontal="left" vertical="top"/>
    </xf>
    <xf numFmtId="0" fontId="6" fillId="0" borderId="3" xfId="0" applyFont="1" applyFill="1" applyBorder="1" applyAlignment="1">
      <alignment horizontal="left" vertical="top"/>
    </xf>
    <xf numFmtId="0" fontId="6" fillId="0" borderId="22" xfId="0" applyFont="1" applyFill="1" applyBorder="1" applyAlignment="1">
      <alignment horizontal="left" vertical="top"/>
    </xf>
    <xf numFmtId="0" fontId="6" fillId="0" borderId="15" xfId="0" applyFont="1" applyFill="1" applyBorder="1" applyAlignment="1">
      <alignment horizontal="left" vertical="center"/>
    </xf>
    <xf numFmtId="0" fontId="6" fillId="0" borderId="16" xfId="0" applyFont="1" applyFill="1" applyBorder="1" applyAlignment="1">
      <alignment horizontal="left" vertical="center"/>
    </xf>
    <xf numFmtId="0" fontId="6" fillId="0" borderId="17" xfId="0" applyFont="1" applyFill="1" applyBorder="1" applyAlignment="1">
      <alignment horizontal="left" vertical="center"/>
    </xf>
    <xf numFmtId="0" fontId="4"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Border="1" applyAlignment="1">
      <alignment horizontal="center" vertical="center"/>
    </xf>
    <xf numFmtId="0" fontId="4" fillId="0" borderId="50" xfId="0" applyFont="1" applyBorder="1" applyAlignment="1">
      <alignment horizontal="center" vertical="center"/>
    </xf>
    <xf numFmtId="0" fontId="4" fillId="0" borderId="31" xfId="0" applyFont="1" applyFill="1" applyBorder="1" applyAlignment="1">
      <alignment horizontal="center"/>
    </xf>
    <xf numFmtId="0" fontId="4" fillId="0" borderId="29" xfId="0" applyFont="1" applyFill="1" applyBorder="1" applyAlignment="1">
      <alignment horizontal="center"/>
    </xf>
    <xf numFmtId="0" fontId="4" fillId="0" borderId="52" xfId="0" applyFont="1" applyFill="1" applyBorder="1" applyAlignment="1">
      <alignment horizontal="center"/>
    </xf>
    <xf numFmtId="0" fontId="6" fillId="0" borderId="23"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18" xfId="0" applyFont="1" applyFill="1" applyBorder="1" applyAlignment="1">
      <alignment horizontal="left" vertical="top"/>
    </xf>
    <xf numFmtId="0" fontId="6" fillId="0" borderId="19" xfId="0" applyFont="1" applyFill="1" applyBorder="1" applyAlignment="1">
      <alignment horizontal="left" vertical="top"/>
    </xf>
    <xf numFmtId="0" fontId="6" fillId="0" borderId="20" xfId="0" applyFont="1" applyFill="1" applyBorder="1" applyAlignment="1">
      <alignment horizontal="left" vertical="top"/>
    </xf>
    <xf numFmtId="0" fontId="6" fillId="0" borderId="26" xfId="0" applyFont="1" applyFill="1" applyBorder="1" applyAlignment="1">
      <alignment horizontal="left" vertical="center"/>
    </xf>
    <xf numFmtId="0" fontId="6" fillId="0" borderId="27" xfId="0" applyFont="1" applyFill="1" applyBorder="1" applyAlignment="1">
      <alignment horizontal="left" vertical="center"/>
    </xf>
    <xf numFmtId="0" fontId="6" fillId="0" borderId="28" xfId="0" applyFont="1" applyFill="1" applyBorder="1" applyAlignment="1">
      <alignment horizontal="left" vertical="center"/>
    </xf>
    <xf numFmtId="0" fontId="6" fillId="0" borderId="21" xfId="0" applyFont="1" applyFill="1" applyBorder="1" applyAlignment="1">
      <alignment horizontal="left" vertical="center"/>
    </xf>
    <xf numFmtId="0" fontId="6" fillId="0" borderId="3" xfId="0" applyFont="1" applyFill="1" applyBorder="1" applyAlignment="1">
      <alignment horizontal="left" vertical="center"/>
    </xf>
    <xf numFmtId="0" fontId="6" fillId="0" borderId="22" xfId="0" applyFont="1" applyFill="1" applyBorder="1" applyAlignment="1">
      <alignment horizontal="left" vertical="center"/>
    </xf>
    <xf numFmtId="0" fontId="6" fillId="0" borderId="16"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1" xfId="0" applyFont="1" applyFill="1" applyBorder="1" applyAlignment="1">
      <alignment horizontal="left" vertical="center"/>
    </xf>
    <xf numFmtId="0" fontId="6" fillId="0" borderId="12" xfId="0" applyFont="1" applyFill="1" applyBorder="1" applyAlignment="1">
      <alignment horizontal="left" vertical="center"/>
    </xf>
    <xf numFmtId="0" fontId="6" fillId="0" borderId="31" xfId="0" applyFont="1" applyFill="1" applyBorder="1" applyAlignment="1">
      <alignment horizontal="left" vertical="center" wrapText="1"/>
    </xf>
    <xf numFmtId="0" fontId="6" fillId="0" borderId="29"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49"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50" xfId="0" applyFont="1" applyFill="1" applyBorder="1" applyAlignment="1">
      <alignment horizontal="center" vertical="center" wrapText="1"/>
    </xf>
    <xf numFmtId="0" fontId="11" fillId="0" borderId="10" xfId="0" applyFont="1" applyBorder="1" applyAlignment="1">
      <alignment horizontal="right" vertical="center" wrapText="1"/>
    </xf>
    <xf numFmtId="0" fontId="11" fillId="0" borderId="4" xfId="0" applyFont="1" applyBorder="1" applyAlignment="1">
      <alignment horizontal="right" vertical="center" wrapText="1"/>
    </xf>
    <xf numFmtId="0" fontId="11" fillId="0" borderId="32" xfId="0" applyFont="1" applyBorder="1" applyAlignment="1">
      <alignment horizontal="right" vertical="center" wrapText="1"/>
    </xf>
    <xf numFmtId="0" fontId="7" fillId="0" borderId="10" xfId="0" applyFont="1" applyBorder="1" applyAlignment="1">
      <alignment horizontal="left" vertical="center" wrapText="1"/>
    </xf>
    <xf numFmtId="0" fontId="7" fillId="0" borderId="4" xfId="0" applyFont="1" applyBorder="1" applyAlignment="1">
      <alignment horizontal="left" vertical="center" wrapText="1"/>
    </xf>
    <xf numFmtId="0" fontId="7" fillId="0" borderId="32" xfId="0" applyFont="1" applyBorder="1" applyAlignment="1">
      <alignment horizontal="left"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center" vertical="center"/>
    </xf>
    <xf numFmtId="0" fontId="4" fillId="2" borderId="50" xfId="0" applyFont="1" applyFill="1" applyBorder="1" applyAlignment="1">
      <alignment horizontal="center" vertical="center" wrapText="1"/>
    </xf>
    <xf numFmtId="0" fontId="0" fillId="0" borderId="10" xfId="0" applyBorder="1" applyAlignment="1">
      <alignment horizontal="center"/>
    </xf>
    <xf numFmtId="0" fontId="0" fillId="0" borderId="4" xfId="0" applyBorder="1" applyAlignment="1">
      <alignment horizontal="center"/>
    </xf>
    <xf numFmtId="0" fontId="0" fillId="0" borderId="32" xfId="0" applyBorder="1" applyAlignment="1">
      <alignment horizontal="center"/>
    </xf>
    <xf numFmtId="0" fontId="0" fillId="0" borderId="16" xfId="0" applyBorder="1" applyAlignment="1">
      <alignment horizontal="right"/>
    </xf>
    <xf numFmtId="0" fontId="0" fillId="0" borderId="3" xfId="0" applyBorder="1" applyAlignment="1">
      <alignment horizontal="right"/>
    </xf>
    <xf numFmtId="0" fontId="0" fillId="0" borderId="2" xfId="0" applyBorder="1" applyAlignment="1">
      <alignment horizontal="right"/>
    </xf>
    <xf numFmtId="0" fontId="12" fillId="2" borderId="5" xfId="0" applyFont="1" applyFill="1" applyBorder="1" applyAlignment="1">
      <alignment horizontal="left" vertical="center"/>
    </xf>
    <xf numFmtId="0" fontId="1" fillId="2" borderId="41" xfId="0" applyFont="1" applyFill="1" applyBorder="1" applyAlignment="1">
      <alignment vertical="top" wrapText="1"/>
    </xf>
    <xf numFmtId="0" fontId="0" fillId="2" borderId="41" xfId="0" applyFill="1" applyBorder="1" applyAlignment="1">
      <alignment vertical="top" wrapText="1"/>
    </xf>
    <xf numFmtId="0" fontId="1" fillId="2" borderId="42" xfId="0" applyFont="1" applyFill="1" applyBorder="1" applyAlignment="1">
      <alignment vertical="top" wrapText="1"/>
    </xf>
    <xf numFmtId="0" fontId="0" fillId="2" borderId="42" xfId="0" applyFill="1" applyBorder="1" applyAlignment="1">
      <alignment vertical="top" wrapText="1"/>
    </xf>
    <xf numFmtId="0" fontId="12" fillId="2" borderId="38" xfId="0" applyFont="1" applyFill="1" applyBorder="1" applyAlignment="1">
      <alignment horizontal="left" vertical="center"/>
    </xf>
    <xf numFmtId="0" fontId="12" fillId="2" borderId="9" xfId="0" applyFont="1" applyFill="1" applyBorder="1" applyAlignment="1">
      <alignment horizontal="left" vertical="center"/>
    </xf>
    <xf numFmtId="0" fontId="10" fillId="0" borderId="23"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50" xfId="0" applyFont="1" applyBorder="1" applyAlignment="1">
      <alignment horizontal="center" vertical="center" wrapText="1"/>
    </xf>
    <xf numFmtId="0" fontId="12" fillId="4" borderId="44"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2" borderId="33" xfId="0" applyFont="1" applyFill="1" applyBorder="1" applyAlignment="1">
      <alignment horizontal="center" vertical="center"/>
    </xf>
    <xf numFmtId="0" fontId="12" fillId="2" borderId="34" xfId="0" applyFont="1" applyFill="1" applyBorder="1" applyAlignment="1">
      <alignment horizontal="center" vertical="center"/>
    </xf>
    <xf numFmtId="0" fontId="12" fillId="2" borderId="35" xfId="0" applyFont="1" applyFill="1" applyBorder="1" applyAlignment="1">
      <alignment horizontal="center" vertical="center"/>
    </xf>
    <xf numFmtId="0" fontId="12" fillId="2" borderId="18" xfId="0" applyFont="1" applyFill="1" applyBorder="1" applyAlignment="1">
      <alignment horizontal="left" vertical="center"/>
    </xf>
    <xf numFmtId="0" fontId="12" fillId="2" borderId="19" xfId="0" applyFont="1" applyFill="1" applyBorder="1" applyAlignment="1">
      <alignment horizontal="left" vertical="center"/>
    </xf>
    <xf numFmtId="0" fontId="12" fillId="2" borderId="20" xfId="0" applyFont="1" applyFill="1" applyBorder="1" applyAlignment="1">
      <alignment horizontal="left" vertical="center"/>
    </xf>
    <xf numFmtId="0" fontId="12" fillId="2" borderId="27" xfId="0" applyFont="1" applyFill="1" applyBorder="1" applyAlignment="1">
      <alignment horizontal="left" vertical="center"/>
    </xf>
    <xf numFmtId="0" fontId="12" fillId="2" borderId="51" xfId="0" applyFont="1" applyFill="1" applyBorder="1" applyAlignment="1">
      <alignment horizontal="left" vertical="center"/>
    </xf>
    <xf numFmtId="0" fontId="12" fillId="2" borderId="36" xfId="0" applyFont="1" applyFill="1" applyBorder="1" applyAlignment="1">
      <alignment horizontal="left" vertical="center"/>
    </xf>
    <xf numFmtId="0" fontId="12" fillId="2" borderId="37" xfId="0" applyFont="1" applyFill="1" applyBorder="1" applyAlignment="1">
      <alignment horizontal="left" vertical="center"/>
    </xf>
    <xf numFmtId="0" fontId="1" fillId="0" borderId="0" xfId="0" applyFont="1" applyFill="1" applyBorder="1" applyAlignment="1">
      <alignment horizontal="left" vertical="top" wrapText="1"/>
    </xf>
    <xf numFmtId="0" fontId="12" fillId="0" borderId="0" xfId="0" applyFont="1" applyAlignment="1">
      <alignment horizontal="center"/>
    </xf>
    <xf numFmtId="0" fontId="12" fillId="0" borderId="0" xfId="0" applyFont="1" applyFill="1" applyAlignment="1">
      <alignment horizontal="center"/>
    </xf>
    <xf numFmtId="0" fontId="1" fillId="0" borderId="0" xfId="0" applyFont="1" applyAlignment="1">
      <alignment horizontal="left" wrapText="1"/>
    </xf>
    <xf numFmtId="0" fontId="1" fillId="0" borderId="0" xfId="0" applyFont="1" applyBorder="1" applyAlignment="1">
      <alignment horizontal="left" vertical="top" wrapText="1"/>
    </xf>
    <xf numFmtId="0" fontId="1" fillId="0" borderId="0" xfId="0" applyFont="1" applyFill="1" applyBorder="1" applyAlignment="1">
      <alignment horizontal="left"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wrapText="1"/>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32" xfId="0" applyFont="1" applyBorder="1" applyAlignment="1">
      <alignment horizontal="center" vertical="center"/>
    </xf>
  </cellXfs>
  <cellStyles count="5">
    <cellStyle name="Moeda" xfId="4" builtinId="4"/>
    <cellStyle name="Normal" xfId="0" builtinId="0"/>
    <cellStyle name="Normal 3" xfId="3"/>
    <cellStyle name="Porcentagem" xfId="1" builtinId="5"/>
    <cellStyle name="Vírgula" xfId="2" builtinId="3"/>
  </cellStyles>
  <dxfs count="19">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85725</xdr:rowOff>
    </xdr:from>
    <xdr:to>
      <xdr:col>1</xdr:col>
      <xdr:colOff>619125</xdr:colOff>
      <xdr:row>1</xdr:row>
      <xdr:rowOff>184150</xdr:rowOff>
    </xdr:to>
    <xdr:pic>
      <xdr:nvPicPr>
        <xdr:cNvPr id="2" name="Imagem 1" descr="brasao"/>
        <xdr:cNvPicPr/>
      </xdr:nvPicPr>
      <xdr:blipFill rotWithShape="1">
        <a:blip xmlns:r="http://schemas.openxmlformats.org/officeDocument/2006/relationships" r:embed="rId1"/>
        <a:srcRect t="7118" r="-685"/>
        <a:stretch/>
      </xdr:blipFill>
      <xdr:spPr bwMode="auto">
        <a:xfrm>
          <a:off x="95250" y="85725"/>
          <a:ext cx="933450" cy="869950"/>
        </a:xfrm>
        <a:prstGeom prst="rect">
          <a:avLst/>
        </a:prstGeom>
        <a:noFill/>
        <a:ln w="9525">
          <a:noFill/>
          <a:miter lim="800000"/>
          <a:headEnd/>
          <a:tailEnd/>
        </a:ln>
      </xdr:spPr>
    </xdr:pic>
    <xdr:clientData/>
  </xdr:twoCellAnchor>
  <xdr:twoCellAnchor editAs="oneCell">
    <xdr:from>
      <xdr:col>7</xdr:col>
      <xdr:colOff>352425</xdr:colOff>
      <xdr:row>0</xdr:row>
      <xdr:rowOff>76200</xdr:rowOff>
    </xdr:from>
    <xdr:to>
      <xdr:col>8</xdr:col>
      <xdr:colOff>619125</xdr:colOff>
      <xdr:row>1</xdr:row>
      <xdr:rowOff>123825</xdr:rowOff>
    </xdr:to>
    <xdr:pic>
      <xdr:nvPicPr>
        <xdr:cNvPr id="3" name="Espaço Reservado para Conteúdo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67675" y="76200"/>
          <a:ext cx="1085850" cy="819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352424</xdr:colOff>
      <xdr:row>0</xdr:row>
      <xdr:rowOff>107156</xdr:rowOff>
    </xdr:from>
    <xdr:to>
      <xdr:col>2</xdr:col>
      <xdr:colOff>355599</xdr:colOff>
      <xdr:row>3</xdr:row>
      <xdr:rowOff>148431</xdr:rowOff>
    </xdr:to>
    <xdr:pic>
      <xdr:nvPicPr>
        <xdr:cNvPr id="5" name="Imagem 4" descr="brasao"/>
        <xdr:cNvPicPr/>
      </xdr:nvPicPr>
      <xdr:blipFill>
        <a:blip xmlns:r="http://schemas.openxmlformats.org/officeDocument/2006/relationships" r:embed="rId1"/>
        <a:srcRect/>
        <a:stretch>
          <a:fillRect/>
        </a:stretch>
      </xdr:blipFill>
      <xdr:spPr bwMode="auto">
        <a:xfrm>
          <a:off x="352424" y="107156"/>
          <a:ext cx="919956" cy="969963"/>
        </a:xfrm>
        <a:prstGeom prst="rect">
          <a:avLst/>
        </a:prstGeom>
        <a:noFill/>
        <a:ln w="9525">
          <a:noFill/>
          <a:miter lim="800000"/>
          <a:headEnd/>
          <a:tailEnd/>
        </a:ln>
      </xdr:spPr>
    </xdr:pic>
    <xdr:clientData/>
  </xdr:twoCellAnchor>
  <xdr:twoCellAnchor editAs="oneCell">
    <xdr:from>
      <xdr:col>8</xdr:col>
      <xdr:colOff>333375</xdr:colOff>
      <xdr:row>0</xdr:row>
      <xdr:rowOff>95250</xdr:rowOff>
    </xdr:from>
    <xdr:to>
      <xdr:col>10</xdr:col>
      <xdr:colOff>200025</xdr:colOff>
      <xdr:row>3</xdr:row>
      <xdr:rowOff>19050</xdr:rowOff>
    </xdr:to>
    <xdr:pic>
      <xdr:nvPicPr>
        <xdr:cNvPr id="6" name="Espaço Reservado para Conteúdo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96100" y="95250"/>
          <a:ext cx="1085850"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_lenovo\Public\ENGENHARIA%20CIVIL%202021-2024\RECAPEAMENTO%20SEDE\Planilha%20Or&#231;ament&#225;ria%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oria de calculo BM"/>
      <sheetName val="orçamento BH"/>
      <sheetName val="memorial rua BH"/>
      <sheetName val="CRONOGRAMA"/>
      <sheetName val="composição pmf"/>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showGridLines="0" showZeros="0" tabSelected="1" view="pageBreakPreview" topLeftCell="A7" zoomScaleNormal="100" zoomScaleSheetLayoutView="93" workbookViewId="0">
      <selection activeCell="I24" sqref="I24"/>
    </sheetView>
  </sheetViews>
  <sheetFormatPr defaultRowHeight="12.75" x14ac:dyDescent="0.2"/>
  <cols>
    <col min="1" max="1" width="6.140625" style="1" bestFit="1" customWidth="1"/>
    <col min="2" max="2" width="10.140625" style="1" customWidth="1"/>
    <col min="3" max="3" width="10.7109375" style="1" bestFit="1" customWidth="1"/>
    <col min="4" max="4" width="55.7109375" style="1" customWidth="1"/>
    <col min="5" max="5" width="10" style="1" customWidth="1"/>
    <col min="6" max="6" width="12.85546875" style="1" customWidth="1"/>
    <col min="7" max="7" width="10.140625" style="1" customWidth="1"/>
    <col min="8" max="8" width="12.28515625" style="1" customWidth="1"/>
    <col min="9" max="9" width="10.85546875" style="1" customWidth="1"/>
    <col min="10" max="10" width="14.28515625" style="1" bestFit="1" customWidth="1"/>
    <col min="11" max="16384" width="9.140625" style="1"/>
  </cols>
  <sheetData>
    <row r="1" spans="1:9" ht="60.75" customHeight="1" x14ac:dyDescent="0.2">
      <c r="A1" s="205" t="s">
        <v>20</v>
      </c>
      <c r="B1" s="206"/>
      <c r="C1" s="207"/>
      <c r="D1" s="207"/>
      <c r="E1" s="207"/>
      <c r="F1" s="207"/>
      <c r="G1" s="207"/>
      <c r="H1" s="207"/>
      <c r="I1" s="208"/>
    </row>
    <row r="2" spans="1:9" ht="30.75" customHeight="1" x14ac:dyDescent="0.2">
      <c r="A2" s="209"/>
      <c r="B2" s="210"/>
      <c r="C2" s="210"/>
      <c r="D2" s="210"/>
      <c r="E2" s="210"/>
      <c r="F2" s="210"/>
      <c r="G2" s="210"/>
      <c r="H2" s="210"/>
      <c r="I2" s="211"/>
    </row>
    <row r="3" spans="1:9" ht="3.75" customHeight="1" thickBot="1" x14ac:dyDescent="0.25">
      <c r="A3" s="212"/>
      <c r="B3" s="213"/>
      <c r="C3" s="213"/>
      <c r="D3" s="213"/>
      <c r="E3" s="213"/>
      <c r="F3" s="213"/>
      <c r="G3" s="213"/>
      <c r="H3" s="213"/>
      <c r="I3" s="214"/>
    </row>
    <row r="4" spans="1:9" ht="20.100000000000001" customHeight="1" thickBot="1" x14ac:dyDescent="0.25">
      <c r="A4" s="215" t="s">
        <v>4</v>
      </c>
      <c r="B4" s="216"/>
      <c r="C4" s="216"/>
      <c r="D4" s="216"/>
      <c r="E4" s="216"/>
      <c r="F4" s="216"/>
      <c r="G4" s="216"/>
      <c r="H4" s="216"/>
      <c r="I4" s="217"/>
    </row>
    <row r="5" spans="1:9" ht="3.75" customHeight="1" thickBot="1" x14ac:dyDescent="0.25">
      <c r="A5" s="118"/>
      <c r="B5" s="4"/>
      <c r="C5" s="4"/>
      <c r="D5" s="4"/>
      <c r="E5" s="4"/>
      <c r="F5" s="4"/>
      <c r="G5" s="4"/>
      <c r="H5" s="4"/>
      <c r="I5" s="119"/>
    </row>
    <row r="6" spans="1:9" x14ac:dyDescent="0.2">
      <c r="A6" s="218" t="s">
        <v>17</v>
      </c>
      <c r="B6" s="219"/>
      <c r="C6" s="219"/>
      <c r="D6" s="219"/>
      <c r="E6" s="219"/>
      <c r="F6" s="220"/>
      <c r="G6" s="221" t="s">
        <v>19</v>
      </c>
      <c r="H6" s="222"/>
      <c r="I6" s="223"/>
    </row>
    <row r="7" spans="1:9" x14ac:dyDescent="0.2">
      <c r="A7" s="199" t="s">
        <v>39</v>
      </c>
      <c r="B7" s="200"/>
      <c r="C7" s="200"/>
      <c r="D7" s="200"/>
      <c r="E7" s="200"/>
      <c r="F7" s="201"/>
      <c r="G7" s="202" t="s">
        <v>113</v>
      </c>
      <c r="H7" s="203"/>
      <c r="I7" s="204"/>
    </row>
    <row r="8" spans="1:9" x14ac:dyDescent="0.2">
      <c r="A8" s="224" t="s">
        <v>43</v>
      </c>
      <c r="B8" s="225"/>
      <c r="C8" s="225"/>
      <c r="D8" s="225"/>
      <c r="E8" s="226"/>
      <c r="F8" s="227" t="s">
        <v>11</v>
      </c>
      <c r="G8" s="228"/>
      <c r="H8" s="228"/>
      <c r="I8" s="229"/>
    </row>
    <row r="9" spans="1:9" x14ac:dyDescent="0.2">
      <c r="A9" s="224" t="s">
        <v>112</v>
      </c>
      <c r="B9" s="225"/>
      <c r="C9" s="225"/>
      <c r="D9" s="225"/>
      <c r="E9" s="226"/>
      <c r="F9" s="230" t="s">
        <v>8</v>
      </c>
      <c r="G9" s="232" t="s">
        <v>6</v>
      </c>
      <c r="H9" s="134" t="s">
        <v>18</v>
      </c>
      <c r="I9" s="5" t="s">
        <v>7</v>
      </c>
    </row>
    <row r="10" spans="1:9" ht="13.5" thickBot="1" x14ac:dyDescent="0.25">
      <c r="A10" s="234" t="s">
        <v>165</v>
      </c>
      <c r="B10" s="235"/>
      <c r="C10" s="235"/>
      <c r="D10" s="235"/>
      <c r="E10" s="236"/>
      <c r="F10" s="231"/>
      <c r="G10" s="233"/>
      <c r="H10" s="6" t="s">
        <v>9</v>
      </c>
      <c r="I10" s="8">
        <v>0.23380000000000001</v>
      </c>
    </row>
    <row r="11" spans="1:9" ht="3.75" customHeight="1" x14ac:dyDescent="0.2">
      <c r="A11" s="237"/>
      <c r="B11" s="238"/>
      <c r="C11" s="238"/>
      <c r="D11" s="238"/>
      <c r="E11" s="238"/>
      <c r="F11" s="238"/>
      <c r="G11" s="238"/>
      <c r="H11" s="238"/>
      <c r="I11" s="239"/>
    </row>
    <row r="12" spans="1:9" ht="38.25" x14ac:dyDescent="0.2">
      <c r="A12" s="120" t="s">
        <v>0</v>
      </c>
      <c r="B12" s="99" t="s">
        <v>60</v>
      </c>
      <c r="C12" s="98" t="s">
        <v>5</v>
      </c>
      <c r="D12" s="98" t="s">
        <v>1</v>
      </c>
      <c r="E12" s="98" t="s">
        <v>3</v>
      </c>
      <c r="F12" s="98" t="s">
        <v>2</v>
      </c>
      <c r="G12" s="100" t="s">
        <v>12</v>
      </c>
      <c r="H12" s="100" t="s">
        <v>13</v>
      </c>
      <c r="I12" s="121" t="s">
        <v>10</v>
      </c>
    </row>
    <row r="13" spans="1:9" ht="33.75" x14ac:dyDescent="0.2">
      <c r="A13" s="122" t="s">
        <v>21</v>
      </c>
      <c r="B13" s="81" t="s">
        <v>61</v>
      </c>
      <c r="C13" s="83" t="s">
        <v>54</v>
      </c>
      <c r="D13" s="101" t="s">
        <v>55</v>
      </c>
      <c r="E13" s="87" t="s">
        <v>57</v>
      </c>
      <c r="F13" s="87">
        <f>SUM(I17+I21+I26)</f>
        <v>539496.07000000007</v>
      </c>
      <c r="G13" s="102">
        <v>3.0000000000000001E-3</v>
      </c>
      <c r="H13" s="102">
        <v>3.7000000000000002E-3</v>
      </c>
      <c r="I13" s="123">
        <f>ROUND((F13*H13),2)</f>
        <v>1996.14</v>
      </c>
    </row>
    <row r="14" spans="1:9" ht="14.25" customHeight="1" x14ac:dyDescent="0.2">
      <c r="A14" s="124" t="s">
        <v>22</v>
      </c>
      <c r="B14" s="105"/>
      <c r="C14" s="106"/>
      <c r="D14" s="107" t="s">
        <v>46</v>
      </c>
      <c r="E14" s="108"/>
      <c r="F14" s="109"/>
      <c r="G14" s="109"/>
      <c r="H14" s="110"/>
      <c r="I14" s="125">
        <f t="shared" ref="I14:I22" si="0">ROUND((F14*H14),2)</f>
        <v>0</v>
      </c>
    </row>
    <row r="15" spans="1:9" ht="71.25" customHeight="1" x14ac:dyDescent="0.2">
      <c r="A15" s="126" t="s">
        <v>14</v>
      </c>
      <c r="B15" s="103" t="s">
        <v>61</v>
      </c>
      <c r="C15" s="96" t="s">
        <v>50</v>
      </c>
      <c r="D15" s="97" t="s">
        <v>58</v>
      </c>
      <c r="E15" s="89" t="s">
        <v>41</v>
      </c>
      <c r="F15" s="90">
        <f>'MEMORIAL DE CÁLCULO'!D10</f>
        <v>2.88</v>
      </c>
      <c r="G15" s="90">
        <v>263.8</v>
      </c>
      <c r="H15" s="92">
        <f>ROUND(G15+(G15*$I$10),2)</f>
        <v>325.48</v>
      </c>
      <c r="I15" s="127">
        <f>ROUND((F15*H15),2)</f>
        <v>937.38</v>
      </c>
    </row>
    <row r="16" spans="1:9" ht="22.5" x14ac:dyDescent="0.2">
      <c r="A16" s="9" t="s">
        <v>15</v>
      </c>
      <c r="B16" s="95" t="s">
        <v>111</v>
      </c>
      <c r="C16" s="94">
        <v>4011212</v>
      </c>
      <c r="D16" s="112" t="s">
        <v>40</v>
      </c>
      <c r="E16" s="111" t="s">
        <v>41</v>
      </c>
      <c r="F16" s="85">
        <f>'QUADRO DE ÁREAS'!G14</f>
        <v>7043.26</v>
      </c>
      <c r="G16" s="85">
        <v>0.08</v>
      </c>
      <c r="H16" s="93">
        <f>ROUND(G16+(G16*$I$10),2)</f>
        <v>0.1</v>
      </c>
      <c r="I16" s="128">
        <f>ROUND((F16*H16),2)</f>
        <v>704.33</v>
      </c>
    </row>
    <row r="17" spans="1:10" x14ac:dyDescent="0.2">
      <c r="A17" s="129"/>
      <c r="B17" s="43"/>
      <c r="C17" s="80"/>
      <c r="D17" s="113" t="s">
        <v>35</v>
      </c>
      <c r="E17" s="114"/>
      <c r="F17" s="115"/>
      <c r="G17" s="115"/>
      <c r="H17" s="116"/>
      <c r="I17" s="130">
        <f>SUM(I15:I16)</f>
        <v>1641.71</v>
      </c>
    </row>
    <row r="18" spans="1:10" x14ac:dyDescent="0.2">
      <c r="A18" s="124" t="s">
        <v>23</v>
      </c>
      <c r="B18" s="105"/>
      <c r="C18" s="106"/>
      <c r="D18" s="107" t="s">
        <v>44</v>
      </c>
      <c r="E18" s="108"/>
      <c r="F18" s="109"/>
      <c r="G18" s="109"/>
      <c r="H18" s="110"/>
      <c r="I18" s="125"/>
    </row>
    <row r="19" spans="1:10" ht="33" customHeight="1" x14ac:dyDescent="0.2">
      <c r="A19" s="126" t="s">
        <v>47</v>
      </c>
      <c r="B19" s="96" t="s">
        <v>110</v>
      </c>
      <c r="C19" s="156" t="s">
        <v>114</v>
      </c>
      <c r="D19" s="104" t="s">
        <v>38</v>
      </c>
      <c r="E19" s="89" t="s">
        <v>36</v>
      </c>
      <c r="F19" s="90">
        <f>+'MEMORIAL DE CÁLCULO'!D20</f>
        <v>7043.26</v>
      </c>
      <c r="G19" s="90">
        <f>COMP!G15</f>
        <v>1.74</v>
      </c>
      <c r="H19" s="92">
        <f t="shared" ref="H19:H20" si="1">ROUND(G19+(G19*$I$10),2)</f>
        <v>2.15</v>
      </c>
      <c r="I19" s="127">
        <f>ROUND((F19*H19),2)</f>
        <v>15143.01</v>
      </c>
    </row>
    <row r="20" spans="1:10" ht="45" x14ac:dyDescent="0.2">
      <c r="A20" s="9" t="s">
        <v>48</v>
      </c>
      <c r="B20" s="95" t="s">
        <v>110</v>
      </c>
      <c r="C20" s="94" t="s">
        <v>115</v>
      </c>
      <c r="D20" s="112" t="s">
        <v>109</v>
      </c>
      <c r="E20" s="111" t="s">
        <v>42</v>
      </c>
      <c r="F20" s="85">
        <f>'MEMORIAL DE CÁLCULO'!D22</f>
        <v>352.16300000000001</v>
      </c>
      <c r="G20" s="85">
        <f>COMP!E21</f>
        <v>1070.21</v>
      </c>
      <c r="H20" s="93">
        <f>ROUND(G20+(G20*$I$10),2)</f>
        <v>1320.43</v>
      </c>
      <c r="I20" s="128">
        <v>465002.63</v>
      </c>
    </row>
    <row r="21" spans="1:10" x14ac:dyDescent="0.2">
      <c r="A21" s="129"/>
      <c r="B21" s="43"/>
      <c r="C21" s="80"/>
      <c r="D21" s="113" t="s">
        <v>35</v>
      </c>
      <c r="E21" s="114"/>
      <c r="F21" s="115"/>
      <c r="G21" s="115"/>
      <c r="H21" s="116"/>
      <c r="I21" s="130">
        <f>SUM(I19:I20)</f>
        <v>480145.64</v>
      </c>
    </row>
    <row r="22" spans="1:10" x14ac:dyDescent="0.2">
      <c r="A22" s="124" t="s">
        <v>52</v>
      </c>
      <c r="B22" s="105"/>
      <c r="C22" s="106"/>
      <c r="D22" s="107" t="s">
        <v>45</v>
      </c>
      <c r="E22" s="108"/>
      <c r="F22" s="109"/>
      <c r="G22" s="109"/>
      <c r="H22" s="110">
        <f>ROUND(G22+(G22*$I$10),2)</f>
        <v>0</v>
      </c>
      <c r="I22" s="125">
        <f t="shared" si="0"/>
        <v>0</v>
      </c>
    </row>
    <row r="23" spans="1:10" s="42" customFormat="1" ht="22.5" x14ac:dyDescent="0.2">
      <c r="A23" s="131" t="s">
        <v>53</v>
      </c>
      <c r="B23" s="95" t="s">
        <v>111</v>
      </c>
      <c r="C23" s="82">
        <v>5915321</v>
      </c>
      <c r="D23" s="84" t="s">
        <v>116</v>
      </c>
      <c r="E23" s="86" t="s">
        <v>37</v>
      </c>
      <c r="F23" s="88">
        <f>'MEMORIAL DE CÁLCULO'!D25</f>
        <v>1197.3542</v>
      </c>
      <c r="G23" s="88">
        <v>0.69</v>
      </c>
      <c r="H23" s="91">
        <f>ROUND(G23+(G23*$I$10),2)</f>
        <v>0.85</v>
      </c>
      <c r="I23" s="132">
        <f>ROUND((F23*H23),2)</f>
        <v>1017.75</v>
      </c>
    </row>
    <row r="24" spans="1:10" s="42" customFormat="1" ht="22.5" x14ac:dyDescent="0.2">
      <c r="A24" s="37" t="s">
        <v>56</v>
      </c>
      <c r="B24" s="95" t="s">
        <v>111</v>
      </c>
      <c r="C24" s="94">
        <v>5915321</v>
      </c>
      <c r="D24" s="112" t="s">
        <v>117</v>
      </c>
      <c r="E24" s="38" t="s">
        <v>37</v>
      </c>
      <c r="F24" s="39">
        <f>'MEMORIAL DE CÁLCULO'!D30</f>
        <v>42851.193840000007</v>
      </c>
      <c r="G24" s="39">
        <v>0.69</v>
      </c>
      <c r="H24" s="40">
        <f>ROUND(G24+(G24*$I$10),2)</f>
        <v>0.85</v>
      </c>
      <c r="I24" s="41">
        <f>ROUND((F24*H24),2)</f>
        <v>36423.51</v>
      </c>
    </row>
    <row r="25" spans="1:10" ht="22.5" x14ac:dyDescent="0.2">
      <c r="A25" s="9" t="s">
        <v>62</v>
      </c>
      <c r="B25" s="95" t="s">
        <v>111</v>
      </c>
      <c r="C25" s="94">
        <v>5915321</v>
      </c>
      <c r="D25" s="112" t="s">
        <v>118</v>
      </c>
      <c r="E25" s="38" t="s">
        <v>37</v>
      </c>
      <c r="F25" s="10">
        <f>'MEMORIAL DE CÁLCULO'!D36</f>
        <v>23844.066109773001</v>
      </c>
      <c r="G25" s="10">
        <v>0.69</v>
      </c>
      <c r="H25" s="2">
        <f>ROUND(G25+(G25*$I$10),2)</f>
        <v>0.85</v>
      </c>
      <c r="I25" s="3">
        <f>ROUND((F25*H25),2)</f>
        <v>20267.46</v>
      </c>
    </row>
    <row r="26" spans="1:10" ht="13.5" thickBot="1" x14ac:dyDescent="0.25">
      <c r="A26" s="129"/>
      <c r="B26" s="43"/>
      <c r="C26" s="80"/>
      <c r="D26" s="113" t="s">
        <v>35</v>
      </c>
      <c r="E26" s="114"/>
      <c r="F26" s="115"/>
      <c r="G26" s="115"/>
      <c r="H26" s="158">
        <f t="shared" ref="H26" si="2">ROUND(G26+(G26*$I$10),2)</f>
        <v>0</v>
      </c>
      <c r="I26" s="130">
        <f>SUM(I23:I25)</f>
        <v>57708.72</v>
      </c>
    </row>
    <row r="27" spans="1:10" ht="18" customHeight="1" thickBot="1" x14ac:dyDescent="0.25">
      <c r="A27" s="240" t="s">
        <v>16</v>
      </c>
      <c r="B27" s="241"/>
      <c r="C27" s="241"/>
      <c r="D27" s="241"/>
      <c r="E27" s="241"/>
      <c r="F27" s="241"/>
      <c r="G27" s="241"/>
      <c r="H27" s="242"/>
      <c r="I27" s="117">
        <f>SUM(I13+I17+I21+I26)</f>
        <v>541492.21</v>
      </c>
      <c r="J27" s="198">
        <f>I27-(I27*15%)</f>
        <v>460268.37849999999</v>
      </c>
    </row>
    <row r="28" spans="1:10" ht="22.5" customHeight="1" thickBot="1" x14ac:dyDescent="0.25">
      <c r="A28" s="243"/>
      <c r="B28" s="244"/>
      <c r="C28" s="244"/>
      <c r="D28" s="244"/>
      <c r="E28" s="244"/>
      <c r="F28" s="244"/>
      <c r="G28" s="244"/>
      <c r="H28" s="244"/>
      <c r="I28" s="245"/>
      <c r="J28" s="198">
        <f>I27-(I27*10%)</f>
        <v>487342.98899999994</v>
      </c>
    </row>
    <row r="29" spans="1:10" ht="21.75" customHeight="1" x14ac:dyDescent="0.2">
      <c r="A29" s="29"/>
      <c r="B29" s="30"/>
      <c r="C29" s="30"/>
      <c r="D29" s="30"/>
      <c r="E29" s="30"/>
      <c r="F29" s="30"/>
      <c r="G29" s="30"/>
      <c r="H29" s="31"/>
      <c r="I29" s="32"/>
    </row>
    <row r="30" spans="1:10" ht="30" customHeight="1" x14ac:dyDescent="0.2">
      <c r="A30" s="33"/>
      <c r="B30" s="246" t="s">
        <v>108</v>
      </c>
      <c r="C30" s="247"/>
      <c r="D30" s="247"/>
      <c r="E30" s="246" t="s">
        <v>51</v>
      </c>
      <c r="F30" s="246"/>
      <c r="G30" s="246"/>
      <c r="H30" s="246"/>
      <c r="I30" s="248"/>
    </row>
    <row r="31" spans="1:10" ht="22.5" customHeight="1" x14ac:dyDescent="0.2">
      <c r="A31" s="34"/>
      <c r="B31" s="247"/>
      <c r="C31" s="247"/>
      <c r="D31" s="247"/>
      <c r="E31" s="246"/>
      <c r="F31" s="246"/>
      <c r="G31" s="246"/>
      <c r="H31" s="246"/>
      <c r="I31" s="248"/>
    </row>
    <row r="32" spans="1:10" ht="12.75" hidden="1" customHeight="1" x14ac:dyDescent="0.2">
      <c r="A32" s="35"/>
      <c r="B32" s="247"/>
      <c r="C32" s="247"/>
      <c r="D32" s="247"/>
      <c r="E32" s="246"/>
      <c r="F32" s="246"/>
      <c r="G32" s="246"/>
      <c r="H32" s="246"/>
      <c r="I32" s="248"/>
    </row>
    <row r="33" spans="1:9" x14ac:dyDescent="0.2">
      <c r="A33" s="146"/>
      <c r="B33" s="147"/>
      <c r="C33" s="147"/>
      <c r="D33" s="147"/>
      <c r="E33" s="147"/>
      <c r="F33" s="147"/>
      <c r="G33" s="147"/>
      <c r="H33" s="147"/>
      <c r="I33" s="148"/>
    </row>
    <row r="34" spans="1:9" ht="12.75" customHeight="1" x14ac:dyDescent="0.2">
      <c r="A34" s="146"/>
      <c r="B34" s="147"/>
      <c r="C34" s="147"/>
      <c r="D34" s="147"/>
      <c r="E34" s="147"/>
      <c r="F34" s="147"/>
      <c r="G34" s="147"/>
      <c r="H34" s="147"/>
      <c r="I34" s="148"/>
    </row>
    <row r="35" spans="1:9" ht="11.25" customHeight="1" x14ac:dyDescent="0.2">
      <c r="A35" s="146"/>
      <c r="B35" s="147"/>
      <c r="C35" s="147"/>
      <c r="D35" s="147"/>
      <c r="E35" s="147"/>
      <c r="F35" s="147"/>
      <c r="G35" s="147"/>
      <c r="H35" s="147"/>
      <c r="I35" s="148"/>
    </row>
    <row r="36" spans="1:9" ht="12.75" customHeight="1" thickBot="1" x14ac:dyDescent="0.25">
      <c r="A36" s="149"/>
      <c r="B36" s="150"/>
      <c r="C36" s="150"/>
      <c r="D36" s="150"/>
      <c r="E36" s="150"/>
      <c r="F36" s="150"/>
      <c r="G36" s="150"/>
      <c r="H36" s="150"/>
      <c r="I36" s="151"/>
    </row>
    <row r="37" spans="1:9" ht="12" customHeight="1" x14ac:dyDescent="0.2">
      <c r="A37" s="133"/>
      <c r="B37" s="133"/>
      <c r="C37" s="133"/>
      <c r="D37" s="133"/>
      <c r="E37" s="133"/>
      <c r="F37" s="133"/>
      <c r="G37" s="133"/>
      <c r="H37" s="133"/>
      <c r="I37" s="133"/>
    </row>
    <row r="38" spans="1:9" ht="11.25" customHeight="1" x14ac:dyDescent="0.2">
      <c r="A38" s="133"/>
      <c r="B38" s="133"/>
      <c r="C38" s="133"/>
      <c r="D38" s="133"/>
      <c r="E38" s="133"/>
      <c r="F38" s="133"/>
      <c r="G38" s="133"/>
      <c r="H38" s="133"/>
      <c r="I38" s="133"/>
    </row>
    <row r="39" spans="1:9" ht="12" customHeight="1" x14ac:dyDescent="0.2">
      <c r="A39" s="133"/>
      <c r="B39" s="133"/>
      <c r="C39" s="133"/>
      <c r="D39" s="133"/>
      <c r="E39" s="133"/>
      <c r="F39" s="133"/>
      <c r="G39" s="133"/>
      <c r="H39" s="133"/>
      <c r="I39" s="133"/>
    </row>
    <row r="40" spans="1:9" ht="24" customHeight="1" x14ac:dyDescent="0.2"/>
    <row r="41" spans="1:9" ht="4.5" customHeight="1" x14ac:dyDescent="0.2"/>
  </sheetData>
  <mergeCells count="18">
    <mergeCell ref="A11:I11"/>
    <mergeCell ref="A27:H27"/>
    <mergeCell ref="A28:I28"/>
    <mergeCell ref="B30:D32"/>
    <mergeCell ref="E30:I32"/>
    <mergeCell ref="A8:E8"/>
    <mergeCell ref="F8:I8"/>
    <mergeCell ref="A9:E9"/>
    <mergeCell ref="F9:F10"/>
    <mergeCell ref="G9:G10"/>
    <mergeCell ref="A10:E10"/>
    <mergeCell ref="A7:F7"/>
    <mergeCell ref="G7:I7"/>
    <mergeCell ref="A1:I2"/>
    <mergeCell ref="A3:I3"/>
    <mergeCell ref="A4:I4"/>
    <mergeCell ref="A6:F6"/>
    <mergeCell ref="G6:I6"/>
  </mergeCells>
  <conditionalFormatting sqref="C14:D15">
    <cfRule type="expression" dxfId="18" priority="32">
      <formula>LEN($C14)=1</formula>
    </cfRule>
  </conditionalFormatting>
  <conditionalFormatting sqref="A13:C13">
    <cfRule type="expression" dxfId="17" priority="28">
      <formula>LEN($C13)=1</formula>
    </cfRule>
  </conditionalFormatting>
  <conditionalFormatting sqref="C26">
    <cfRule type="expression" dxfId="16" priority="20">
      <formula>LEN($C26)=1</formula>
    </cfRule>
  </conditionalFormatting>
  <conditionalFormatting sqref="D26">
    <cfRule type="expression" dxfId="15" priority="19">
      <formula>LEN($C26)=1</formula>
    </cfRule>
  </conditionalFormatting>
  <conditionalFormatting sqref="C20:D20 C21">
    <cfRule type="expression" dxfId="14" priority="13">
      <formula>LEN($C20)=1</formula>
    </cfRule>
  </conditionalFormatting>
  <conditionalFormatting sqref="D21">
    <cfRule type="expression" dxfId="13" priority="12">
      <formula>LEN($C21)=1</formula>
    </cfRule>
  </conditionalFormatting>
  <conditionalFormatting sqref="D19">
    <cfRule type="expression" dxfId="12" priority="11">
      <formula>LEN($C19)=1</formula>
    </cfRule>
  </conditionalFormatting>
  <conditionalFormatting sqref="C23:D23">
    <cfRule type="expression" dxfId="11" priority="10">
      <formula>LEN($C23)=1</formula>
    </cfRule>
  </conditionalFormatting>
  <conditionalFormatting sqref="C19">
    <cfRule type="expression" dxfId="10" priority="9">
      <formula>LEN($C19)=1</formula>
    </cfRule>
  </conditionalFormatting>
  <conditionalFormatting sqref="C19">
    <cfRule type="expression" dxfId="9" priority="8">
      <formula>LEN($C19)=1</formula>
    </cfRule>
  </conditionalFormatting>
  <conditionalFormatting sqref="B19">
    <cfRule type="expression" dxfId="8" priority="7">
      <formula>LEN($C19)=1</formula>
    </cfRule>
  </conditionalFormatting>
  <conditionalFormatting sqref="C22:D22">
    <cfRule type="expression" dxfId="7" priority="6">
      <formula>LEN($C22)=1</formula>
    </cfRule>
  </conditionalFormatting>
  <conditionalFormatting sqref="C18:D18">
    <cfRule type="expression" dxfId="6" priority="5">
      <formula>LEN($C18)=1</formula>
    </cfRule>
  </conditionalFormatting>
  <conditionalFormatting sqref="C16:D16 C17">
    <cfRule type="expression" dxfId="5" priority="4">
      <formula>LEN($C16)=1</formula>
    </cfRule>
  </conditionalFormatting>
  <conditionalFormatting sqref="D17">
    <cfRule type="expression" dxfId="4" priority="3">
      <formula>LEN($C17)=1</formula>
    </cfRule>
  </conditionalFormatting>
  <conditionalFormatting sqref="C24:D24">
    <cfRule type="expression" dxfId="3" priority="2">
      <formula>LEN($C24)=1</formula>
    </cfRule>
  </conditionalFormatting>
  <conditionalFormatting sqref="C25:D25">
    <cfRule type="expression" dxfId="2" priority="1">
      <formula>LEN($C25)=1</formula>
    </cfRule>
  </conditionalFormatting>
  <printOptions horizontalCentered="1"/>
  <pageMargins left="0.78740157480314965" right="0.19685039370078741" top="0.17" bottom="0.17" header="0" footer="0"/>
  <pageSetup paperSize="9" scale="7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view="pageBreakPreview" zoomScaleNormal="100" zoomScaleSheetLayoutView="100" workbookViewId="0">
      <selection activeCell="A18" sqref="A18"/>
    </sheetView>
  </sheetViews>
  <sheetFormatPr defaultRowHeight="12.75" x14ac:dyDescent="0.2"/>
  <cols>
    <col min="1" max="1" width="77.7109375" bestFit="1" customWidth="1"/>
    <col min="2" max="2" width="10.140625" bestFit="1" customWidth="1"/>
    <col min="3" max="3" width="13.7109375" customWidth="1"/>
    <col min="4" max="4" width="10.5703125" customWidth="1"/>
    <col min="5" max="5" width="10.42578125" customWidth="1"/>
    <col min="6" max="6" width="8.28515625" customWidth="1"/>
    <col min="7" max="7" width="10" bestFit="1" customWidth="1"/>
  </cols>
  <sheetData>
    <row r="1" spans="1:10" ht="13.5" thickBot="1" x14ac:dyDescent="0.25">
      <c r="A1" s="249" t="s">
        <v>114</v>
      </c>
      <c r="B1" s="250"/>
      <c r="C1" s="250"/>
      <c r="D1" s="250"/>
      <c r="E1" s="250"/>
      <c r="F1" s="250"/>
      <c r="G1" s="251"/>
    </row>
    <row r="2" spans="1:10" x14ac:dyDescent="0.2">
      <c r="A2" s="159" t="s">
        <v>120</v>
      </c>
      <c r="B2" s="154" t="s">
        <v>121</v>
      </c>
      <c r="C2" s="154">
        <v>0.11792</v>
      </c>
      <c r="D2" s="154" t="s">
        <v>122</v>
      </c>
      <c r="E2" s="154"/>
      <c r="F2" s="154"/>
      <c r="G2" s="160"/>
    </row>
    <row r="3" spans="1:10" ht="38.25" x14ac:dyDescent="0.2">
      <c r="A3" s="166" t="s">
        <v>126</v>
      </c>
      <c r="B3" s="167" t="s">
        <v>127</v>
      </c>
      <c r="C3" s="168" t="s">
        <v>128</v>
      </c>
      <c r="D3" s="168" t="s">
        <v>129</v>
      </c>
      <c r="E3" s="168" t="s">
        <v>130</v>
      </c>
      <c r="F3" s="169"/>
      <c r="G3" s="170" t="s">
        <v>131</v>
      </c>
      <c r="H3" s="171"/>
      <c r="I3" s="171"/>
      <c r="J3" s="171"/>
    </row>
    <row r="4" spans="1:10" x14ac:dyDescent="0.2">
      <c r="A4" s="178" t="s">
        <v>132</v>
      </c>
      <c r="B4" s="179">
        <v>1</v>
      </c>
      <c r="C4" s="179">
        <v>1</v>
      </c>
      <c r="D4" s="180">
        <v>332.4341</v>
      </c>
      <c r="E4" s="180">
        <v>109.9286</v>
      </c>
      <c r="F4" s="180"/>
      <c r="G4" s="181">
        <f>D4*B4</f>
        <v>332.4341</v>
      </c>
    </row>
    <row r="5" spans="1:10" x14ac:dyDescent="0.2">
      <c r="A5" s="178" t="s">
        <v>136</v>
      </c>
      <c r="B5" s="179">
        <v>2</v>
      </c>
      <c r="C5" s="179">
        <v>1</v>
      </c>
      <c r="D5" s="180">
        <v>106.1511</v>
      </c>
      <c r="E5" s="180">
        <v>68.863200000000006</v>
      </c>
      <c r="F5" s="180"/>
      <c r="G5" s="181">
        <f>D5*B5</f>
        <v>212.3022</v>
      </c>
    </row>
    <row r="6" spans="1:10" x14ac:dyDescent="0.2">
      <c r="A6" s="186" t="s">
        <v>137</v>
      </c>
      <c r="B6" s="252">
        <f>SUM(G4:G5)</f>
        <v>544.73630000000003</v>
      </c>
      <c r="C6" s="253"/>
      <c r="D6" s="253"/>
      <c r="E6" s="253"/>
      <c r="F6" s="253"/>
      <c r="G6" s="254"/>
    </row>
    <row r="7" spans="1:10" ht="38.25" x14ac:dyDescent="0.2">
      <c r="A7" s="178" t="s">
        <v>138</v>
      </c>
      <c r="B7" s="179" t="s">
        <v>127</v>
      </c>
      <c r="C7" s="179" t="s">
        <v>139</v>
      </c>
      <c r="D7" s="187" t="s">
        <v>140</v>
      </c>
      <c r="E7" s="180"/>
      <c r="F7" s="180"/>
      <c r="G7" s="188" t="s">
        <v>141</v>
      </c>
    </row>
    <row r="8" spans="1:10" x14ac:dyDescent="0.2">
      <c r="A8" s="178" t="s">
        <v>142</v>
      </c>
      <c r="B8" s="179">
        <v>2</v>
      </c>
      <c r="C8" s="179" t="s">
        <v>143</v>
      </c>
      <c r="D8" s="180">
        <v>22.606999999999999</v>
      </c>
      <c r="E8" s="180"/>
      <c r="F8" s="180"/>
      <c r="G8" s="181">
        <f>B8*D8</f>
        <v>45.213999999999999</v>
      </c>
    </row>
    <row r="9" spans="1:10" x14ac:dyDescent="0.2">
      <c r="A9" s="186" t="s">
        <v>144</v>
      </c>
      <c r="B9" s="252">
        <f>B6+G8</f>
        <v>589.95029999999997</v>
      </c>
      <c r="C9" s="253"/>
      <c r="D9" s="253"/>
      <c r="E9" s="253"/>
      <c r="F9" s="253"/>
      <c r="G9" s="254"/>
    </row>
    <row r="10" spans="1:10" x14ac:dyDescent="0.2">
      <c r="A10" s="186" t="s">
        <v>145</v>
      </c>
      <c r="B10" s="252">
        <f>B9/1500</f>
        <v>0.39330019999999999</v>
      </c>
      <c r="C10" s="253"/>
      <c r="D10" s="253"/>
      <c r="E10" s="253"/>
      <c r="F10" s="253"/>
      <c r="G10" s="254"/>
    </row>
    <row r="11" spans="1:10" x14ac:dyDescent="0.2">
      <c r="A11" s="186" t="s">
        <v>146</v>
      </c>
      <c r="B11" s="252">
        <v>2.3E-2</v>
      </c>
      <c r="C11" s="253"/>
      <c r="D11" s="253"/>
      <c r="E11" s="253"/>
      <c r="F11" s="253"/>
      <c r="G11" s="254"/>
    </row>
    <row r="12" spans="1:10" ht="25.5" x14ac:dyDescent="0.2">
      <c r="A12" s="166" t="s">
        <v>147</v>
      </c>
      <c r="B12" s="167" t="s">
        <v>127</v>
      </c>
      <c r="C12" s="167" t="s">
        <v>139</v>
      </c>
      <c r="D12" s="168" t="s">
        <v>148</v>
      </c>
      <c r="E12" s="169"/>
      <c r="F12" s="169"/>
      <c r="G12" s="170" t="s">
        <v>149</v>
      </c>
      <c r="H12" s="171"/>
      <c r="I12" s="171"/>
      <c r="J12" s="171"/>
    </row>
    <row r="13" spans="1:10" x14ac:dyDescent="0.2">
      <c r="A13" s="178" t="s">
        <v>150</v>
      </c>
      <c r="B13" s="179">
        <v>4.4999999999999999E-4</v>
      </c>
      <c r="C13" s="179" t="s">
        <v>87</v>
      </c>
      <c r="D13" s="180">
        <v>2926.57</v>
      </c>
      <c r="E13" s="180"/>
      <c r="F13" s="180"/>
      <c r="G13" s="181">
        <f>D13*B13</f>
        <v>1.3169565000000001</v>
      </c>
    </row>
    <row r="14" spans="1:10" x14ac:dyDescent="0.2">
      <c r="A14" s="186" t="s">
        <v>151</v>
      </c>
      <c r="B14" s="179"/>
      <c r="C14" s="179"/>
      <c r="D14" s="180"/>
      <c r="E14" s="180"/>
      <c r="F14" s="180"/>
      <c r="G14" s="181">
        <f>B10+B11+G13</f>
        <v>1.7332567000000001</v>
      </c>
    </row>
    <row r="15" spans="1:10" ht="13.5" thickBot="1" x14ac:dyDescent="0.25">
      <c r="A15" s="189" t="s">
        <v>152</v>
      </c>
      <c r="B15" s="190"/>
      <c r="C15" s="190"/>
      <c r="D15" s="191"/>
      <c r="E15" s="191"/>
      <c r="F15" s="191"/>
      <c r="G15" s="192">
        <v>1.74</v>
      </c>
    </row>
    <row r="16" spans="1:10" ht="13.5" thickBot="1" x14ac:dyDescent="0.25">
      <c r="A16" s="195"/>
      <c r="B16" s="196"/>
      <c r="C16" s="196"/>
      <c r="D16" s="154"/>
      <c r="E16" s="154"/>
      <c r="F16" s="154"/>
      <c r="G16" s="197"/>
    </row>
    <row r="17" spans="1:7" ht="13.5" thickBot="1" x14ac:dyDescent="0.25">
      <c r="A17" s="249" t="s">
        <v>115</v>
      </c>
      <c r="B17" s="250"/>
      <c r="C17" s="250"/>
      <c r="D17" s="250"/>
      <c r="E17" s="250"/>
      <c r="F17" s="250"/>
      <c r="G17" s="251"/>
    </row>
    <row r="18" spans="1:7" ht="26.25" thickBot="1" x14ac:dyDescent="0.25">
      <c r="A18" s="162" t="s">
        <v>1</v>
      </c>
      <c r="B18" s="163" t="s">
        <v>3</v>
      </c>
      <c r="C18" s="164" t="s">
        <v>123</v>
      </c>
      <c r="D18" s="164" t="s">
        <v>124</v>
      </c>
      <c r="E18" s="165" t="s">
        <v>125</v>
      </c>
      <c r="F18" s="161" t="s">
        <v>60</v>
      </c>
      <c r="G18" s="162" t="s">
        <v>5</v>
      </c>
    </row>
    <row r="19" spans="1:7" ht="45" x14ac:dyDescent="0.2">
      <c r="A19" s="174" t="s">
        <v>154</v>
      </c>
      <c r="B19" s="175" t="s">
        <v>42</v>
      </c>
      <c r="C19" s="176"/>
      <c r="D19" s="176"/>
      <c r="E19" s="177">
        <v>322.61</v>
      </c>
      <c r="F19" s="172" t="s">
        <v>155</v>
      </c>
      <c r="G19" s="173" t="s">
        <v>153</v>
      </c>
    </row>
    <row r="20" spans="1:7" x14ac:dyDescent="0.2">
      <c r="A20" s="183" t="s">
        <v>134</v>
      </c>
      <c r="B20" s="175" t="s">
        <v>135</v>
      </c>
      <c r="C20" s="176">
        <v>0.16800000000000001</v>
      </c>
      <c r="D20" s="176">
        <v>4450</v>
      </c>
      <c r="E20" s="177">
        <v>747.6</v>
      </c>
      <c r="F20" s="172" t="s">
        <v>133</v>
      </c>
      <c r="G20" s="182">
        <v>13717</v>
      </c>
    </row>
    <row r="21" spans="1:7" ht="13.5" thickBot="1" x14ac:dyDescent="0.25">
      <c r="A21" s="184"/>
      <c r="B21" s="184"/>
      <c r="C21" s="184"/>
      <c r="D21" s="184" t="s">
        <v>88</v>
      </c>
      <c r="E21" s="185">
        <f>E19+E20</f>
        <v>1070.21</v>
      </c>
    </row>
    <row r="22" spans="1:7" x14ac:dyDescent="0.2">
      <c r="B22" s="55"/>
      <c r="C22" s="55"/>
    </row>
    <row r="23" spans="1:7" x14ac:dyDescent="0.2">
      <c r="B23" s="55"/>
      <c r="C23" s="55"/>
    </row>
    <row r="24" spans="1:7" x14ac:dyDescent="0.2">
      <c r="B24" s="55"/>
      <c r="C24" s="55"/>
    </row>
    <row r="25" spans="1:7" x14ac:dyDescent="0.2">
      <c r="B25" s="55"/>
      <c r="C25" s="55"/>
    </row>
    <row r="26" spans="1:7" x14ac:dyDescent="0.2">
      <c r="B26" s="55"/>
      <c r="C26" s="55"/>
    </row>
    <row r="27" spans="1:7" x14ac:dyDescent="0.2">
      <c r="B27" s="55"/>
      <c r="C27" s="55"/>
    </row>
    <row r="28" spans="1:7" x14ac:dyDescent="0.2">
      <c r="B28" s="55"/>
      <c r="C28" s="55"/>
    </row>
    <row r="29" spans="1:7" x14ac:dyDescent="0.2">
      <c r="B29" s="55"/>
      <c r="C29" s="55"/>
    </row>
    <row r="30" spans="1:7" x14ac:dyDescent="0.2">
      <c r="B30" s="55"/>
      <c r="C30" s="55"/>
    </row>
    <row r="31" spans="1:7" x14ac:dyDescent="0.2">
      <c r="B31" s="55"/>
      <c r="C31" s="55"/>
    </row>
    <row r="32" spans="1:7" x14ac:dyDescent="0.2">
      <c r="B32" s="55"/>
      <c r="C32" s="55"/>
    </row>
    <row r="33" spans="2:3" x14ac:dyDescent="0.2">
      <c r="B33" s="55"/>
      <c r="C33" s="55"/>
    </row>
    <row r="34" spans="2:3" x14ac:dyDescent="0.2">
      <c r="B34" s="55"/>
      <c r="C34" s="55"/>
    </row>
    <row r="35" spans="2:3" x14ac:dyDescent="0.2">
      <c r="B35" s="55"/>
      <c r="C35" s="55"/>
    </row>
    <row r="36" spans="2:3" x14ac:dyDescent="0.2">
      <c r="B36" s="55"/>
      <c r="C36" s="55"/>
    </row>
    <row r="37" spans="2:3" x14ac:dyDescent="0.2">
      <c r="B37" s="55"/>
      <c r="C37" s="55"/>
    </row>
  </sheetData>
  <mergeCells count="6">
    <mergeCell ref="A17:G17"/>
    <mergeCell ref="B11:G11"/>
    <mergeCell ref="A1:G1"/>
    <mergeCell ref="B6:G6"/>
    <mergeCell ref="B9:G9"/>
    <mergeCell ref="B10:G10"/>
  </mergeCells>
  <pageMargins left="0.511811024" right="0.511811024" top="0.78740157499999996" bottom="0.78740157499999996" header="0.31496062000000002" footer="0.31496062000000002"/>
  <pageSetup paperSize="9" scale="48" orientation="landscape" verticalDpi="0" r:id="rId1"/>
  <extLst>
    <ext xmlns:x14="http://schemas.microsoft.com/office/spreadsheetml/2009/9/main" uri="{78C0D931-6437-407d-A8EE-F0AAD7539E65}">
      <x14:conditionalFormattings>
        <x14:conditionalFormatting xmlns:xm="http://schemas.microsoft.com/office/excel/2006/main">
          <x14:cfRule type="expression" priority="1" id="{2208B4E4-BB5C-4948-A52E-5F49CB3DB2C0}">
            <xm:f>LEN('\\servidor_lenovo\Public\ENGENHARIA CIVIL 2021-2024\RECAPEAMENTO SEDE\[Planilha Orçamentária 2025.xlsx]ORÇAMENTO'!#REF!)=1</xm:f>
            <x14:dxf>
              <font>
                <b/>
                <i val="0"/>
              </font>
              <fill>
                <patternFill>
                  <bgColor theme="0" tint="-0.14996795556505021"/>
                </patternFill>
              </fill>
            </x14:dxf>
          </x14:cfRule>
          <xm:sqref>G19:G20</xm:sqref>
        </x14:conditionalFormatting>
        <x14:conditionalFormatting xmlns:xm="http://schemas.microsoft.com/office/excel/2006/main">
          <x14:cfRule type="expression" priority="2" id="{97C4A500-531C-492B-BA4C-44EE37A0CA73}">
            <xm:f>LEN('\\servidor_lenovo\Public\ENGENHARIA CIVIL 2021-2024\RECAPEAMENTO SEDE\[Planilha Orçamentária 2025.xlsx]ORÇAMENTO'!#REF!)=1</xm:f>
            <x14:dxf>
              <font>
                <b/>
                <i val="0"/>
              </font>
              <fill>
                <patternFill>
                  <bgColor theme="0" tint="-0.14996795556505021"/>
                </patternFill>
              </fill>
            </x14:dxf>
          </x14:cfRule>
          <xm:sqref>A19:A20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view="pageBreakPreview" zoomScaleNormal="100" zoomScaleSheetLayoutView="100" workbookViewId="0">
      <selection activeCell="F16" sqref="F16"/>
    </sheetView>
  </sheetViews>
  <sheetFormatPr defaultRowHeight="12.75" x14ac:dyDescent="0.2"/>
  <cols>
    <col min="1" max="1" width="5.42578125" bestFit="1" customWidth="1"/>
    <col min="2" max="2" width="8.42578125" bestFit="1" customWidth="1"/>
    <col min="3" max="3" width="52" customWidth="1"/>
    <col min="4" max="4" width="12.28515625" customWidth="1"/>
    <col min="5" max="7" width="14" bestFit="1" customWidth="1"/>
    <col min="8" max="8" width="13.7109375" customWidth="1"/>
    <col min="11" max="11" width="7" bestFit="1" customWidth="1"/>
  </cols>
  <sheetData>
    <row r="1" spans="1:11" ht="31.5" customHeight="1" x14ac:dyDescent="0.2">
      <c r="A1" s="262" t="s">
        <v>26</v>
      </c>
      <c r="B1" s="206"/>
      <c r="C1" s="206"/>
      <c r="D1" s="206"/>
      <c r="E1" s="206"/>
      <c r="F1" s="206"/>
      <c r="G1" s="206"/>
      <c r="H1" s="206"/>
      <c r="I1" s="206"/>
      <c r="J1" s="206"/>
      <c r="K1" s="263"/>
    </row>
    <row r="2" spans="1:11" ht="25.5" customHeight="1" x14ac:dyDescent="0.2">
      <c r="A2" s="264"/>
      <c r="B2" s="265"/>
      <c r="C2" s="265"/>
      <c r="D2" s="265"/>
      <c r="E2" s="265"/>
      <c r="F2" s="265"/>
      <c r="G2" s="265"/>
      <c r="H2" s="265"/>
      <c r="I2" s="265"/>
      <c r="J2" s="265"/>
      <c r="K2" s="266"/>
    </row>
    <row r="3" spans="1:11" ht="15.75" customHeight="1" x14ac:dyDescent="0.2">
      <c r="A3" s="264"/>
      <c r="B3" s="265"/>
      <c r="C3" s="265"/>
      <c r="D3" s="265"/>
      <c r="E3" s="265"/>
      <c r="F3" s="265"/>
      <c r="G3" s="265"/>
      <c r="H3" s="265"/>
      <c r="I3" s="265"/>
      <c r="J3" s="265"/>
      <c r="K3" s="266"/>
    </row>
    <row r="4" spans="1:11" x14ac:dyDescent="0.2">
      <c r="A4" s="264"/>
      <c r="B4" s="265"/>
      <c r="C4" s="265"/>
      <c r="D4" s="265"/>
      <c r="E4" s="265"/>
      <c r="F4" s="265"/>
      <c r="G4" s="265"/>
      <c r="H4" s="265"/>
      <c r="I4" s="265"/>
      <c r="J4" s="265"/>
      <c r="K4" s="266"/>
    </row>
    <row r="5" spans="1:11" ht="13.5" thickBot="1" x14ac:dyDescent="0.25">
      <c r="A5" s="273" t="s">
        <v>27</v>
      </c>
      <c r="B5" s="274"/>
      <c r="C5" s="274"/>
      <c r="D5" s="274"/>
      <c r="E5" s="274"/>
      <c r="F5" s="274"/>
      <c r="G5" s="274"/>
      <c r="H5" s="274"/>
      <c r="I5" s="274"/>
      <c r="J5" s="274"/>
      <c r="K5" s="275"/>
    </row>
    <row r="6" spans="1:11" ht="15.75" customHeight="1" x14ac:dyDescent="0.2">
      <c r="A6" s="276" t="s">
        <v>17</v>
      </c>
      <c r="B6" s="277"/>
      <c r="C6" s="278"/>
      <c r="D6" s="277"/>
      <c r="E6" s="277"/>
      <c r="F6" s="277"/>
      <c r="G6" s="277"/>
      <c r="H6" s="278"/>
      <c r="I6" s="279" t="str">
        <f>ORÇAMENTO!G7</f>
        <v>DATA: 04/05/2026</v>
      </c>
      <c r="J6" s="277"/>
      <c r="K6" s="280"/>
    </row>
    <row r="7" spans="1:11" ht="19.5" customHeight="1" thickBot="1" x14ac:dyDescent="0.25">
      <c r="A7" s="281" t="s">
        <v>39</v>
      </c>
      <c r="B7" s="255"/>
      <c r="C7" s="282"/>
      <c r="D7" s="255" t="s">
        <v>49</v>
      </c>
      <c r="E7" s="255"/>
      <c r="F7" s="255"/>
      <c r="G7" s="255"/>
      <c r="H7" s="255"/>
      <c r="I7" s="260" t="s">
        <v>163</v>
      </c>
      <c r="J7" s="255"/>
      <c r="K7" s="261"/>
    </row>
    <row r="8" spans="1:11" ht="25.5" x14ac:dyDescent="0.2">
      <c r="A8" s="11" t="s">
        <v>0</v>
      </c>
      <c r="B8" s="12" t="s">
        <v>5</v>
      </c>
      <c r="C8" s="12" t="s">
        <v>28</v>
      </c>
      <c r="D8" s="13" t="s">
        <v>29</v>
      </c>
      <c r="E8" s="13" t="s">
        <v>30</v>
      </c>
      <c r="F8" s="12" t="s">
        <v>31</v>
      </c>
      <c r="G8" s="12"/>
      <c r="H8" s="12"/>
      <c r="I8" s="12"/>
      <c r="J8" s="12"/>
      <c r="K8" s="14"/>
    </row>
    <row r="9" spans="1:11" x14ac:dyDescent="0.2">
      <c r="A9" s="256" t="s">
        <v>21</v>
      </c>
      <c r="B9" s="36"/>
      <c r="C9" s="258" t="s">
        <v>59</v>
      </c>
      <c r="D9" s="17" t="s">
        <v>32</v>
      </c>
      <c r="E9" s="15">
        <f>E10/$E$18</f>
        <v>3.6863688214462029E-3</v>
      </c>
      <c r="F9" s="15">
        <v>1</v>
      </c>
      <c r="G9" s="15"/>
      <c r="H9" s="15"/>
      <c r="I9" s="15"/>
      <c r="J9" s="15"/>
      <c r="K9" s="15"/>
    </row>
    <row r="10" spans="1:11" x14ac:dyDescent="0.2">
      <c r="A10" s="257"/>
      <c r="B10" s="36"/>
      <c r="C10" s="259"/>
      <c r="D10" s="17" t="s">
        <v>33</v>
      </c>
      <c r="E10" s="18">
        <f>ORÇAMENTO!I13</f>
        <v>1996.14</v>
      </c>
      <c r="F10" s="18">
        <f>F9*$E$10</f>
        <v>1996.14</v>
      </c>
      <c r="G10" s="18"/>
      <c r="H10" s="18"/>
      <c r="I10" s="18"/>
      <c r="J10" s="18"/>
      <c r="K10" s="18"/>
    </row>
    <row r="11" spans="1:11" x14ac:dyDescent="0.2">
      <c r="A11" s="256" t="s">
        <v>22</v>
      </c>
      <c r="B11" s="259"/>
      <c r="C11" s="259" t="str">
        <f>ORÇAMENTO!D14</f>
        <v>SERVIÇOS PRELIMINARES</v>
      </c>
      <c r="D11" s="17" t="s">
        <v>32</v>
      </c>
      <c r="E11" s="15">
        <f>E12/$E$18</f>
        <v>3.0318257025341135E-3</v>
      </c>
      <c r="F11" s="15">
        <v>1</v>
      </c>
      <c r="G11" s="15"/>
      <c r="H11" s="15"/>
      <c r="I11" s="15"/>
      <c r="J11" s="15"/>
      <c r="K11" s="15"/>
    </row>
    <row r="12" spans="1:11" x14ac:dyDescent="0.2">
      <c r="A12" s="257"/>
      <c r="B12" s="259"/>
      <c r="C12" s="259"/>
      <c r="D12" s="17" t="s">
        <v>33</v>
      </c>
      <c r="E12" s="18">
        <f>ORÇAMENTO!I17</f>
        <v>1641.71</v>
      </c>
      <c r="F12" s="18">
        <f>F11*$E$12</f>
        <v>1641.71</v>
      </c>
      <c r="G12" s="20"/>
      <c r="H12" s="20"/>
      <c r="I12" s="18"/>
      <c r="J12" s="18"/>
      <c r="K12" s="19"/>
    </row>
    <row r="13" spans="1:11" x14ac:dyDescent="0.2">
      <c r="A13" s="256" t="s">
        <v>23</v>
      </c>
      <c r="B13" s="259"/>
      <c r="C13" s="259" t="str">
        <f>ORÇAMENTO!D18</f>
        <v>REPERFILAMENTO E RECAPEAMENTO</v>
      </c>
      <c r="D13" s="16" t="s">
        <v>32</v>
      </c>
      <c r="E13" s="15">
        <f>E14/$E$18</f>
        <v>0.8867083055543864</v>
      </c>
      <c r="F13" s="15">
        <v>1</v>
      </c>
      <c r="G13" s="15"/>
      <c r="H13" s="15"/>
      <c r="I13" s="15"/>
      <c r="J13" s="15"/>
      <c r="K13" s="15"/>
    </row>
    <row r="14" spans="1:11" x14ac:dyDescent="0.2">
      <c r="A14" s="257"/>
      <c r="B14" s="259"/>
      <c r="C14" s="259"/>
      <c r="D14" s="16" t="s">
        <v>33</v>
      </c>
      <c r="E14" s="18">
        <f>ORÇAMENTO!I21</f>
        <v>480145.64</v>
      </c>
      <c r="F14" s="18">
        <f>F13*$E$14</f>
        <v>480145.64</v>
      </c>
      <c r="G14" s="20"/>
      <c r="H14" s="20"/>
      <c r="I14" s="18"/>
      <c r="J14" s="18"/>
      <c r="K14" s="19"/>
    </row>
    <row r="15" spans="1:11" x14ac:dyDescent="0.2">
      <c r="A15" s="256" t="s">
        <v>52</v>
      </c>
      <c r="B15" s="259"/>
      <c r="C15" s="259" t="str">
        <f>ORÇAMENTO!D22</f>
        <v>TRANSPORTE</v>
      </c>
      <c r="D15" s="17" t="s">
        <v>32</v>
      </c>
      <c r="E15" s="15">
        <f>E16/$E$18</f>
        <v>0.1065734999216332</v>
      </c>
      <c r="F15" s="15">
        <v>1</v>
      </c>
      <c r="G15" s="15"/>
      <c r="H15" s="15"/>
      <c r="I15" s="15"/>
      <c r="J15" s="15"/>
      <c r="K15" s="15"/>
    </row>
    <row r="16" spans="1:11" x14ac:dyDescent="0.2">
      <c r="A16" s="257" t="s">
        <v>24</v>
      </c>
      <c r="B16" s="259"/>
      <c r="C16" s="259" t="s">
        <v>25</v>
      </c>
      <c r="D16" s="17" t="s">
        <v>33</v>
      </c>
      <c r="E16" s="18">
        <f>ORÇAMENTO!I26</f>
        <v>57708.72</v>
      </c>
      <c r="F16" s="18">
        <f>F15*$E$16</f>
        <v>57708.72</v>
      </c>
      <c r="G16" s="20"/>
      <c r="H16" s="20"/>
      <c r="I16" s="18"/>
      <c r="J16" s="18"/>
      <c r="K16" s="19"/>
    </row>
    <row r="17" spans="1:11" x14ac:dyDescent="0.2">
      <c r="A17" s="267" t="s">
        <v>34</v>
      </c>
      <c r="B17" s="268"/>
      <c r="C17" s="269"/>
      <c r="D17" s="21" t="s">
        <v>32</v>
      </c>
      <c r="E17" s="22">
        <f>E11+E13+E15+E9</f>
        <v>1</v>
      </c>
      <c r="F17" s="22">
        <f>F18/$E$18</f>
        <v>1</v>
      </c>
      <c r="G17" s="22"/>
      <c r="H17" s="22"/>
      <c r="I17" s="22"/>
      <c r="J17" s="22"/>
      <c r="K17" s="23"/>
    </row>
    <row r="18" spans="1:11" ht="13.5" thickBot="1" x14ac:dyDescent="0.25">
      <c r="A18" s="270"/>
      <c r="B18" s="271"/>
      <c r="C18" s="272"/>
      <c r="D18" s="24" t="s">
        <v>33</v>
      </c>
      <c r="E18" s="25">
        <f>E12+E14+E16+E10</f>
        <v>541492.21000000008</v>
      </c>
      <c r="F18" s="25">
        <f>F12+F14+F16+F10</f>
        <v>541492.21000000008</v>
      </c>
      <c r="G18" s="25"/>
      <c r="H18" s="25"/>
      <c r="I18" s="25"/>
      <c r="J18" s="25"/>
      <c r="K18" s="26"/>
    </row>
    <row r="19" spans="1:11" ht="33" customHeight="1" x14ac:dyDescent="0.2">
      <c r="A19" s="27"/>
      <c r="B19" s="27"/>
      <c r="C19" s="27"/>
      <c r="D19" s="28"/>
      <c r="E19" s="28"/>
      <c r="F19" s="27"/>
      <c r="G19" s="27"/>
      <c r="H19" s="27"/>
      <c r="I19" s="27"/>
      <c r="J19" s="27"/>
      <c r="K19" s="27"/>
    </row>
    <row r="20" spans="1:11" ht="27" customHeight="1" x14ac:dyDescent="0.2">
      <c r="C20" s="246" t="s">
        <v>108</v>
      </c>
      <c r="D20" s="247"/>
      <c r="E20" s="247"/>
      <c r="F20" s="246" t="s">
        <v>51</v>
      </c>
      <c r="G20" s="246"/>
      <c r="H20" s="246"/>
      <c r="I20" s="246"/>
      <c r="J20" s="246"/>
      <c r="K20" s="154"/>
    </row>
    <row r="21" spans="1:11" x14ac:dyDescent="0.2">
      <c r="C21" s="247"/>
      <c r="D21" s="247"/>
      <c r="E21" s="247"/>
      <c r="F21" s="246"/>
      <c r="G21" s="246"/>
      <c r="H21" s="246"/>
      <c r="I21" s="246"/>
      <c r="J21" s="246"/>
      <c r="K21" s="154"/>
    </row>
    <row r="22" spans="1:11" ht="22.5" customHeight="1" x14ac:dyDescent="0.2">
      <c r="C22" s="247"/>
      <c r="D22" s="247"/>
      <c r="E22" s="247"/>
      <c r="F22" s="246"/>
      <c r="G22" s="246"/>
      <c r="H22" s="246"/>
      <c r="I22" s="246"/>
      <c r="J22" s="246"/>
      <c r="K22" s="154"/>
    </row>
    <row r="24" spans="1:11" ht="12.75" customHeight="1" x14ac:dyDescent="0.2"/>
  </sheetData>
  <mergeCells count="22">
    <mergeCell ref="C20:E22"/>
    <mergeCell ref="F20:J22"/>
    <mergeCell ref="I7:K7"/>
    <mergeCell ref="A1:K4"/>
    <mergeCell ref="A17:C18"/>
    <mergeCell ref="A11:A12"/>
    <mergeCell ref="B11:B12"/>
    <mergeCell ref="C11:C12"/>
    <mergeCell ref="A13:A14"/>
    <mergeCell ref="B13:B14"/>
    <mergeCell ref="C13:C14"/>
    <mergeCell ref="A5:K5"/>
    <mergeCell ref="A6:C6"/>
    <mergeCell ref="D6:H6"/>
    <mergeCell ref="I6:K6"/>
    <mergeCell ref="A7:C7"/>
    <mergeCell ref="D7:H7"/>
    <mergeCell ref="A9:A10"/>
    <mergeCell ref="C9:C10"/>
    <mergeCell ref="A15:A16"/>
    <mergeCell ref="B15:B16"/>
    <mergeCell ref="C15:C16"/>
  </mergeCells>
  <pageMargins left="0.511811024" right="0.511811024" top="0.78740157499999996" bottom="0.78740157499999996" header="0.31496062000000002" footer="0.31496062000000002"/>
  <pageSetup paperSize="9" scale="86" orientation="landscape"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view="pageBreakPreview" zoomScaleNormal="100" zoomScaleSheetLayoutView="100" workbookViewId="0">
      <selection activeCell="D22" sqref="D22"/>
    </sheetView>
  </sheetViews>
  <sheetFormatPr defaultRowHeight="12.75" x14ac:dyDescent="0.2"/>
  <cols>
    <col min="1" max="1" width="6.85546875" customWidth="1"/>
    <col min="2" max="2" width="69.7109375" bestFit="1" customWidth="1"/>
    <col min="3" max="3" width="13.5703125" customWidth="1"/>
    <col min="4" max="4" width="10.140625" bestFit="1" customWidth="1"/>
  </cols>
  <sheetData>
    <row r="1" spans="1:5" x14ac:dyDescent="0.2">
      <c r="A1" s="284" t="s">
        <v>63</v>
      </c>
      <c r="B1" s="284"/>
      <c r="C1" s="284"/>
      <c r="D1" s="284"/>
      <c r="E1" s="284"/>
    </row>
    <row r="2" spans="1:5" x14ac:dyDescent="0.2">
      <c r="A2" s="44" t="s">
        <v>64</v>
      </c>
      <c r="B2" s="44" t="s">
        <v>65</v>
      </c>
      <c r="C2" s="44"/>
      <c r="D2" s="44"/>
      <c r="E2" s="44"/>
    </row>
    <row r="3" spans="1:5" x14ac:dyDescent="0.2">
      <c r="A3" s="44" t="s">
        <v>66</v>
      </c>
      <c r="B3" s="44" t="s">
        <v>67</v>
      </c>
      <c r="C3" s="44"/>
      <c r="D3" s="44"/>
      <c r="E3" s="44"/>
    </row>
    <row r="4" spans="1:5" x14ac:dyDescent="0.2">
      <c r="A4" s="44" t="s">
        <v>68</v>
      </c>
      <c r="B4" s="45">
        <v>46146</v>
      </c>
      <c r="C4" s="44"/>
      <c r="D4" s="44"/>
      <c r="E4" s="44"/>
    </row>
    <row r="5" spans="1:5" x14ac:dyDescent="0.2">
      <c r="A5" s="46"/>
      <c r="B5" s="47"/>
      <c r="C5" s="47"/>
      <c r="D5" s="48"/>
      <c r="E5" s="48"/>
    </row>
    <row r="6" spans="1:5" x14ac:dyDescent="0.2">
      <c r="A6" s="46" t="s">
        <v>69</v>
      </c>
      <c r="B6" s="285" t="s">
        <v>70</v>
      </c>
      <c r="C6" s="285"/>
      <c r="D6" s="48" t="s">
        <v>71</v>
      </c>
      <c r="E6" s="48" t="s">
        <v>72</v>
      </c>
    </row>
    <row r="7" spans="1:5" x14ac:dyDescent="0.2">
      <c r="A7" s="46"/>
      <c r="B7" s="47"/>
      <c r="C7" s="47"/>
      <c r="D7" s="49"/>
      <c r="E7" s="49"/>
    </row>
    <row r="8" spans="1:5" x14ac:dyDescent="0.2">
      <c r="A8" s="50" t="s">
        <v>73</v>
      </c>
    </row>
    <row r="9" spans="1:5" ht="55.5" customHeight="1" x14ac:dyDescent="0.2">
      <c r="A9" s="51" t="s">
        <v>74</v>
      </c>
      <c r="B9" s="286" t="s">
        <v>75</v>
      </c>
      <c r="C9" s="286"/>
    </row>
    <row r="10" spans="1:5" ht="13.5" customHeight="1" x14ac:dyDescent="0.25">
      <c r="A10" s="51"/>
      <c r="B10" s="51" t="s">
        <v>76</v>
      </c>
      <c r="C10" t="s">
        <v>77</v>
      </c>
      <c r="D10" s="52">
        <f>2.4*1.2</f>
        <v>2.88</v>
      </c>
      <c r="E10" s="136" t="s">
        <v>78</v>
      </c>
    </row>
    <row r="11" spans="1:5" x14ac:dyDescent="0.2">
      <c r="A11" s="51"/>
      <c r="B11" s="51"/>
      <c r="D11" s="53"/>
      <c r="E11" s="54"/>
    </row>
    <row r="12" spans="1:5" ht="15" customHeight="1" x14ac:dyDescent="0.2">
      <c r="A12" s="51" t="s">
        <v>79</v>
      </c>
      <c r="B12" s="286" t="s">
        <v>40</v>
      </c>
      <c r="C12" s="286"/>
      <c r="D12" s="53"/>
      <c r="E12" s="55"/>
    </row>
    <row r="13" spans="1:5" ht="15" x14ac:dyDescent="0.25">
      <c r="B13" s="51" t="s">
        <v>80</v>
      </c>
      <c r="C13" s="51"/>
      <c r="D13" s="52">
        <f>'QUADRO DE ÁREAS'!G14</f>
        <v>7043.26</v>
      </c>
      <c r="E13" s="136" t="s">
        <v>78</v>
      </c>
    </row>
    <row r="14" spans="1:5" x14ac:dyDescent="0.2">
      <c r="B14" s="51"/>
      <c r="D14" s="53"/>
      <c r="E14" s="55"/>
    </row>
    <row r="15" spans="1:5" ht="14.25" customHeight="1" x14ac:dyDescent="0.2">
      <c r="B15" s="287" t="s">
        <v>81</v>
      </c>
      <c r="C15" s="287"/>
      <c r="D15" s="53">
        <f>'QUADRO DE ÁREAS'!G14</f>
        <v>7043.26</v>
      </c>
      <c r="E15" s="55" t="s">
        <v>78</v>
      </c>
    </row>
    <row r="16" spans="1:5" ht="14.25" customHeight="1" x14ac:dyDescent="0.2">
      <c r="B16" s="287" t="s">
        <v>82</v>
      </c>
      <c r="C16" s="287"/>
      <c r="D16" s="53">
        <f>D15*0.02</f>
        <v>140.86520000000002</v>
      </c>
      <c r="E16" s="55" t="s">
        <v>83</v>
      </c>
    </row>
    <row r="17" spans="1:7" x14ac:dyDescent="0.2">
      <c r="B17" s="287" t="s">
        <v>84</v>
      </c>
      <c r="C17" s="287"/>
      <c r="D17" s="53">
        <f>D15*0.03</f>
        <v>211.2978</v>
      </c>
      <c r="E17" s="55" t="s">
        <v>83</v>
      </c>
    </row>
    <row r="18" spans="1:7" x14ac:dyDescent="0.2">
      <c r="A18" s="50" t="s">
        <v>85</v>
      </c>
      <c r="D18" s="53"/>
      <c r="E18" s="55"/>
    </row>
    <row r="19" spans="1:7" ht="31.5" customHeight="1" x14ac:dyDescent="0.2">
      <c r="A19" s="56" t="s">
        <v>14</v>
      </c>
      <c r="B19" s="288" t="s">
        <v>38</v>
      </c>
      <c r="C19" s="288"/>
      <c r="D19" s="53"/>
      <c r="E19" s="55"/>
    </row>
    <row r="20" spans="1:7" ht="12" customHeight="1" x14ac:dyDescent="0.25">
      <c r="A20" s="57"/>
      <c r="B20" s="288" t="s">
        <v>166</v>
      </c>
      <c r="C20" s="288"/>
      <c r="D20" s="52">
        <f>D15</f>
        <v>7043.26</v>
      </c>
      <c r="E20" s="155" t="s">
        <v>78</v>
      </c>
    </row>
    <row r="21" spans="1:7" ht="55.5" customHeight="1" x14ac:dyDescent="0.2">
      <c r="A21" s="56" t="s">
        <v>15</v>
      </c>
      <c r="B21" s="288" t="s">
        <v>109</v>
      </c>
      <c r="C21" s="288"/>
      <c r="D21" s="53"/>
      <c r="E21" s="55"/>
    </row>
    <row r="22" spans="1:7" ht="15" customHeight="1" x14ac:dyDescent="0.25">
      <c r="A22" s="56"/>
      <c r="B22" s="288" t="s">
        <v>167</v>
      </c>
      <c r="C22" s="288"/>
      <c r="D22" s="52">
        <f>D16+D17</f>
        <v>352.16300000000001</v>
      </c>
      <c r="E22" s="155" t="s">
        <v>83</v>
      </c>
    </row>
    <row r="23" spans="1:7" x14ac:dyDescent="0.2">
      <c r="A23" s="50" t="s">
        <v>86</v>
      </c>
      <c r="D23" s="53"/>
    </row>
    <row r="24" spans="1:7" ht="25.5" customHeight="1" x14ac:dyDescent="0.2">
      <c r="A24" s="58" t="s">
        <v>53</v>
      </c>
      <c r="B24" s="283" t="s">
        <v>164</v>
      </c>
      <c r="C24" s="283"/>
      <c r="D24" s="59"/>
      <c r="E24" s="60"/>
      <c r="F24" s="60"/>
      <c r="G24" s="60"/>
    </row>
    <row r="25" spans="1:7" ht="24.75" customHeight="1" x14ac:dyDescent="0.25">
      <c r="A25" s="50"/>
      <c r="B25" s="157" t="s">
        <v>168</v>
      </c>
      <c r="D25" s="52">
        <f>D22*2*1.7</f>
        <v>1197.3542</v>
      </c>
      <c r="E25" s="61" t="s">
        <v>89</v>
      </c>
    </row>
    <row r="26" spans="1:7" ht="28.5" customHeight="1" x14ac:dyDescent="0.2">
      <c r="A26" s="56" t="s">
        <v>56</v>
      </c>
      <c r="B26" s="288" t="s">
        <v>117</v>
      </c>
      <c r="C26" s="288"/>
      <c r="D26" s="62"/>
      <c r="E26" s="55"/>
    </row>
    <row r="27" spans="1:7" ht="27" customHeight="1" x14ac:dyDescent="0.25">
      <c r="A27" s="56"/>
      <c r="B27" s="63" t="s">
        <v>169</v>
      </c>
      <c r="D27" s="64">
        <f>(D20*0.0005)</f>
        <v>3.52163</v>
      </c>
      <c r="E27" s="61" t="s">
        <v>87</v>
      </c>
    </row>
    <row r="28" spans="1:7" ht="26.25" customHeight="1" x14ac:dyDescent="0.25">
      <c r="A28" s="56"/>
      <c r="B28" s="63" t="s">
        <v>170</v>
      </c>
      <c r="D28" s="64">
        <f>(D22*0.17)</f>
        <v>59.86771000000001</v>
      </c>
      <c r="E28" s="61" t="s">
        <v>87</v>
      </c>
    </row>
    <row r="29" spans="1:7" ht="15" x14ac:dyDescent="0.25">
      <c r="A29" s="56"/>
      <c r="B29" s="65" t="s">
        <v>88</v>
      </c>
      <c r="D29" s="64">
        <f>SUM(D27:D28)</f>
        <v>63.389340000000011</v>
      </c>
      <c r="E29" s="61" t="s">
        <v>87</v>
      </c>
    </row>
    <row r="30" spans="1:7" ht="29.25" customHeight="1" x14ac:dyDescent="0.25">
      <c r="A30" s="56"/>
      <c r="B30" s="63" t="s">
        <v>171</v>
      </c>
      <c r="C30" s="66"/>
      <c r="D30" s="52">
        <f>(D29*676)</f>
        <v>42851.193840000007</v>
      </c>
      <c r="E30" s="61" t="s">
        <v>89</v>
      </c>
    </row>
    <row r="31" spans="1:7" x14ac:dyDescent="0.2">
      <c r="A31" s="56" t="s">
        <v>62</v>
      </c>
      <c r="B31" s="288" t="s">
        <v>119</v>
      </c>
      <c r="C31" s="288"/>
      <c r="D31" s="53"/>
      <c r="E31" s="55"/>
    </row>
    <row r="32" spans="1:7" ht="40.5" customHeight="1" x14ac:dyDescent="0.25">
      <c r="A32" s="56"/>
      <c r="B32" s="63" t="s">
        <v>172</v>
      </c>
      <c r="C32" s="66"/>
      <c r="D32" s="67">
        <f>(0.0919*D22)</f>
        <v>32.363779700000002</v>
      </c>
      <c r="E32" s="61" t="s">
        <v>87</v>
      </c>
    </row>
    <row r="33" spans="1:7" ht="42.75" customHeight="1" x14ac:dyDescent="0.25">
      <c r="A33" s="56"/>
      <c r="B33" s="63" t="s">
        <v>173</v>
      </c>
      <c r="C33" s="68"/>
      <c r="D33" s="67">
        <f>(0.5557*D22)</f>
        <v>195.69697909999999</v>
      </c>
      <c r="E33" s="61" t="s">
        <v>87</v>
      </c>
    </row>
    <row r="34" spans="1:7" ht="27" customHeight="1" x14ac:dyDescent="0.25">
      <c r="A34" s="56"/>
      <c r="B34" s="63" t="s">
        <v>174</v>
      </c>
      <c r="C34" s="68"/>
      <c r="D34" s="64">
        <f>D32*5.09</f>
        <v>164.73163867299999</v>
      </c>
      <c r="E34" s="61" t="s">
        <v>87</v>
      </c>
    </row>
    <row r="35" spans="1:7" ht="28.5" customHeight="1" x14ac:dyDescent="0.25">
      <c r="A35" s="56"/>
      <c r="B35" s="63" t="s">
        <v>175</v>
      </c>
      <c r="C35" s="68"/>
      <c r="D35" s="64">
        <f>D33*121</f>
        <v>23679.334471099999</v>
      </c>
      <c r="E35" s="61" t="s">
        <v>89</v>
      </c>
    </row>
    <row r="36" spans="1:7" ht="15" x14ac:dyDescent="0.25">
      <c r="A36" s="56"/>
      <c r="B36" s="65" t="s">
        <v>90</v>
      </c>
      <c r="D36" s="62">
        <f>SUM(D34:D35)</f>
        <v>23844.066109773001</v>
      </c>
      <c r="E36" s="61" t="s">
        <v>89</v>
      </c>
    </row>
    <row r="37" spans="1:7" ht="15" x14ac:dyDescent="0.25">
      <c r="A37" s="56"/>
      <c r="B37" s="69"/>
      <c r="D37" s="62"/>
      <c r="E37" s="61"/>
    </row>
    <row r="38" spans="1:7" x14ac:dyDescent="0.2">
      <c r="A38" s="7"/>
      <c r="B38" s="7"/>
      <c r="C38" s="7"/>
      <c r="D38" s="7"/>
      <c r="E38" s="7"/>
      <c r="F38" s="7"/>
      <c r="G38" s="7"/>
    </row>
    <row r="39" spans="1:7" ht="60" customHeight="1" x14ac:dyDescent="0.2">
      <c r="A39" s="289" t="s">
        <v>107</v>
      </c>
      <c r="B39" s="289"/>
      <c r="C39" s="289"/>
      <c r="D39" s="289"/>
      <c r="E39" s="289"/>
      <c r="F39" s="289"/>
      <c r="G39" s="289"/>
    </row>
    <row r="40" spans="1:7" x14ac:dyDescent="0.2">
      <c r="A40" s="135"/>
      <c r="B40" s="135"/>
      <c r="C40" s="135"/>
      <c r="D40" s="135"/>
      <c r="E40" s="135"/>
      <c r="F40" s="135"/>
      <c r="G40" s="135"/>
    </row>
    <row r="41" spans="1:7" x14ac:dyDescent="0.2">
      <c r="A41" s="1"/>
      <c r="B41" s="1"/>
      <c r="C41" s="1"/>
      <c r="D41" s="1"/>
      <c r="E41" s="1"/>
    </row>
    <row r="42" spans="1:7" x14ac:dyDescent="0.2">
      <c r="A42" s="290" t="s">
        <v>91</v>
      </c>
      <c r="B42" s="290"/>
      <c r="C42" s="290"/>
      <c r="D42" s="290"/>
      <c r="E42" s="290"/>
      <c r="F42" s="70"/>
      <c r="G42" s="70"/>
    </row>
    <row r="43" spans="1:7" x14ac:dyDescent="0.2">
      <c r="A43" s="290"/>
      <c r="B43" s="290"/>
      <c r="C43" s="290"/>
      <c r="D43" s="290"/>
      <c r="E43" s="290"/>
      <c r="F43" s="70"/>
      <c r="G43" s="70"/>
    </row>
    <row r="44" spans="1:7" x14ac:dyDescent="0.2">
      <c r="A44" s="290"/>
      <c r="B44" s="290"/>
      <c r="C44" s="290"/>
      <c r="D44" s="290"/>
      <c r="E44" s="290"/>
      <c r="F44" s="70"/>
      <c r="G44" s="70"/>
    </row>
    <row r="45" spans="1:7" x14ac:dyDescent="0.2">
      <c r="A45" s="290"/>
      <c r="B45" s="290"/>
      <c r="C45" s="290"/>
      <c r="D45" s="290"/>
      <c r="E45" s="290"/>
      <c r="F45" s="70"/>
      <c r="G45" s="70"/>
    </row>
  </sheetData>
  <mergeCells count="17">
    <mergeCell ref="B26:C26"/>
    <mergeCell ref="B31:C31"/>
    <mergeCell ref="A39:B39"/>
    <mergeCell ref="C39:G39"/>
    <mergeCell ref="A42:E45"/>
    <mergeCell ref="B24:C24"/>
    <mergeCell ref="A1:E1"/>
    <mergeCell ref="B6:C6"/>
    <mergeCell ref="B9:C9"/>
    <mergeCell ref="B12:C12"/>
    <mergeCell ref="B15:C15"/>
    <mergeCell ref="B16:C16"/>
    <mergeCell ref="B17:C17"/>
    <mergeCell ref="B19:C19"/>
    <mergeCell ref="B20:C20"/>
    <mergeCell ref="B21:C21"/>
    <mergeCell ref="B22:C22"/>
  </mergeCells>
  <pageMargins left="0.511811024" right="0.511811024" top="0.78740157499999996" bottom="0.78740157499999996" header="0.31496062000000002" footer="0.31496062000000002"/>
  <pageSetup paperSize="9" scale="79" orientation="portrait" verticalDpi="0" r:id="rId1"/>
  <colBreaks count="1" manualBreakCount="1">
    <brk id="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view="pageBreakPreview" zoomScaleNormal="100" zoomScaleSheetLayoutView="100" workbookViewId="0">
      <selection activeCell="G15" sqref="G15"/>
    </sheetView>
  </sheetViews>
  <sheetFormatPr defaultRowHeight="15" x14ac:dyDescent="0.2"/>
  <cols>
    <col min="1" max="1" width="42.140625" style="76" bestFit="1" customWidth="1"/>
    <col min="2" max="2" width="23.140625" style="76" bestFit="1" customWidth="1"/>
    <col min="3" max="3" width="25.28515625" style="76" bestFit="1" customWidth="1"/>
    <col min="4" max="4" width="14.7109375" style="76" customWidth="1"/>
    <col min="5" max="5" width="12.5703125" style="76" customWidth="1"/>
    <col min="6" max="6" width="14.42578125" style="76" customWidth="1"/>
    <col min="7" max="7" width="11.5703125" style="76" bestFit="1" customWidth="1"/>
    <col min="8" max="8" width="14.28515625" style="76" customWidth="1"/>
    <col min="9" max="9" width="42.140625" style="76" bestFit="1" customWidth="1"/>
    <col min="10" max="10" width="23" style="76" bestFit="1" customWidth="1"/>
    <col min="11" max="11" width="25.28515625" style="76" bestFit="1" customWidth="1"/>
    <col min="12" max="16384" width="9.140625" style="76"/>
  </cols>
  <sheetData>
    <row r="1" spans="1:8" ht="16.5" thickBot="1" x14ac:dyDescent="0.25">
      <c r="A1" s="291" t="s">
        <v>92</v>
      </c>
      <c r="B1" s="292"/>
      <c r="C1" s="292"/>
      <c r="D1" s="292"/>
      <c r="E1" s="292"/>
      <c r="F1" s="292"/>
      <c r="G1" s="293"/>
    </row>
    <row r="2" spans="1:8" ht="16.5" thickBot="1" x14ac:dyDescent="0.25">
      <c r="A2" s="291" t="s">
        <v>102</v>
      </c>
      <c r="B2" s="292"/>
      <c r="C2" s="292"/>
      <c r="D2" s="292"/>
      <c r="E2" s="292"/>
      <c r="F2" s="292"/>
      <c r="G2" s="293"/>
    </row>
    <row r="3" spans="1:8" ht="48" thickBot="1" x14ac:dyDescent="0.3">
      <c r="A3" s="144" t="s">
        <v>93</v>
      </c>
      <c r="B3" s="143" t="s">
        <v>94</v>
      </c>
      <c r="C3" s="71" t="s">
        <v>95</v>
      </c>
      <c r="D3" s="77" t="s">
        <v>105</v>
      </c>
      <c r="E3" s="77" t="s">
        <v>106</v>
      </c>
      <c r="F3" s="142" t="s">
        <v>103</v>
      </c>
      <c r="G3" s="142" t="s">
        <v>104</v>
      </c>
      <c r="H3" s="193" t="s">
        <v>162</v>
      </c>
    </row>
    <row r="4" spans="1:8" x14ac:dyDescent="0.2">
      <c r="A4" s="72" t="s">
        <v>156</v>
      </c>
      <c r="B4" s="73">
        <f>19+117.4*2+9+8</f>
        <v>270.8</v>
      </c>
      <c r="C4" s="73" t="s">
        <v>101</v>
      </c>
      <c r="D4" s="73">
        <f>(8.7+6.1+7+6+6+7.4+6+6)/8</f>
        <v>6.6499999999999995</v>
      </c>
      <c r="E4" s="78">
        <f>B4*D4</f>
        <v>1800.82</v>
      </c>
      <c r="F4" s="141"/>
      <c r="G4" s="153">
        <f>F4+E4</f>
        <v>1800.82</v>
      </c>
      <c r="H4" s="153">
        <f t="shared" ref="H4:H9" si="0">SUM(G4*0.05)</f>
        <v>90.040999999999997</v>
      </c>
    </row>
    <row r="5" spans="1:8" x14ac:dyDescent="0.2">
      <c r="A5" s="137" t="s">
        <v>157</v>
      </c>
      <c r="B5" s="138">
        <v>74</v>
      </c>
      <c r="C5" s="138" t="s">
        <v>96</v>
      </c>
      <c r="D5" s="138">
        <f>(7+6.9)/2</f>
        <v>6.95</v>
      </c>
      <c r="E5" s="138">
        <f t="shared" ref="E5:E9" si="1">B5*D5</f>
        <v>514.30000000000007</v>
      </c>
      <c r="F5" s="139"/>
      <c r="G5" s="140">
        <f t="shared" ref="G5:G8" si="2">F5+E5</f>
        <v>514.30000000000007</v>
      </c>
      <c r="H5" s="153">
        <f t="shared" si="0"/>
        <v>25.715000000000003</v>
      </c>
    </row>
    <row r="6" spans="1:8" x14ac:dyDescent="0.2">
      <c r="A6" s="72" t="s">
        <v>158</v>
      </c>
      <c r="B6" s="73">
        <v>175</v>
      </c>
      <c r="C6" s="73" t="s">
        <v>97</v>
      </c>
      <c r="D6" s="73">
        <v>7</v>
      </c>
      <c r="E6" s="78">
        <f t="shared" si="1"/>
        <v>1225</v>
      </c>
      <c r="F6" s="141">
        <f>((9.7+7)*3)/2</f>
        <v>25.049999999999997</v>
      </c>
      <c r="G6" s="140">
        <f t="shared" si="2"/>
        <v>1250.05</v>
      </c>
      <c r="H6" s="153">
        <f t="shared" si="0"/>
        <v>62.502499999999998</v>
      </c>
    </row>
    <row r="7" spans="1:8" x14ac:dyDescent="0.2">
      <c r="A7" s="137" t="s">
        <v>159</v>
      </c>
      <c r="B7" s="138">
        <v>239</v>
      </c>
      <c r="C7" s="138" t="s">
        <v>98</v>
      </c>
      <c r="D7" s="138">
        <f>(4.64+4.5+4.4+4.4+4.4+4.3)/6</f>
        <v>4.4400000000000004</v>
      </c>
      <c r="E7" s="138">
        <f t="shared" si="1"/>
        <v>1061.1600000000001</v>
      </c>
      <c r="F7" s="139">
        <f>19.65+21+18.6</f>
        <v>59.25</v>
      </c>
      <c r="G7" s="140">
        <f t="shared" si="2"/>
        <v>1120.4100000000001</v>
      </c>
      <c r="H7" s="153">
        <f t="shared" si="0"/>
        <v>56.020500000000006</v>
      </c>
    </row>
    <row r="8" spans="1:8" x14ac:dyDescent="0.2">
      <c r="A8" s="72" t="s">
        <v>160</v>
      </c>
      <c r="B8" s="73">
        <v>100.5</v>
      </c>
      <c r="C8" s="73" t="s">
        <v>100</v>
      </c>
      <c r="D8" s="73">
        <v>4.9000000000000004</v>
      </c>
      <c r="E8" s="78">
        <f t="shared" si="1"/>
        <v>492.45000000000005</v>
      </c>
      <c r="F8" s="141"/>
      <c r="G8" s="140">
        <f t="shared" si="2"/>
        <v>492.45000000000005</v>
      </c>
      <c r="H8" s="153">
        <f t="shared" si="0"/>
        <v>24.622500000000002</v>
      </c>
    </row>
    <row r="9" spans="1:8" x14ac:dyDescent="0.2">
      <c r="A9" s="72" t="s">
        <v>161</v>
      </c>
      <c r="B9" s="73">
        <f>54+64+45+100+28.2</f>
        <v>291.2</v>
      </c>
      <c r="C9" s="73" t="s">
        <v>99</v>
      </c>
      <c r="D9" s="73">
        <f>(7+7+6.1+6.1+6.1+6+6)/7</f>
        <v>6.3285714285714292</v>
      </c>
      <c r="E9" s="78">
        <f t="shared" si="1"/>
        <v>1842.88</v>
      </c>
      <c r="F9" s="141">
        <f>((8.9+6)*3)/2</f>
        <v>22.35</v>
      </c>
      <c r="G9" s="140">
        <f>F9+E9</f>
        <v>1865.23</v>
      </c>
      <c r="H9" s="153">
        <f t="shared" si="0"/>
        <v>93.261500000000012</v>
      </c>
    </row>
    <row r="10" spans="1:8" x14ac:dyDescent="0.2">
      <c r="A10" s="137"/>
      <c r="B10" s="138"/>
      <c r="C10" s="138"/>
      <c r="D10" s="138"/>
      <c r="E10" s="138"/>
      <c r="F10" s="139"/>
      <c r="G10" s="140">
        <f t="shared" ref="G10:G13" si="3">F10+E10</f>
        <v>0</v>
      </c>
    </row>
    <row r="11" spans="1:8" x14ac:dyDescent="0.2">
      <c r="A11" s="72"/>
      <c r="B11" s="73"/>
      <c r="C11" s="73"/>
      <c r="D11" s="73"/>
      <c r="E11" s="78"/>
      <c r="F11" s="141"/>
      <c r="G11" s="140">
        <f t="shared" si="3"/>
        <v>0</v>
      </c>
    </row>
    <row r="12" spans="1:8" x14ac:dyDescent="0.2">
      <c r="A12" s="137"/>
      <c r="B12" s="138"/>
      <c r="C12" s="138"/>
      <c r="D12" s="138"/>
      <c r="E12" s="138"/>
      <c r="F12" s="139"/>
      <c r="G12" s="140">
        <f t="shared" si="3"/>
        <v>0</v>
      </c>
    </row>
    <row r="13" spans="1:8" x14ac:dyDescent="0.2">
      <c r="A13" s="72"/>
      <c r="B13" s="73"/>
      <c r="C13" s="73"/>
      <c r="D13" s="73"/>
      <c r="E13" s="78"/>
      <c r="F13" s="141"/>
      <c r="G13" s="140">
        <f t="shared" si="3"/>
        <v>0</v>
      </c>
    </row>
    <row r="14" spans="1:8" ht="16.5" thickBot="1" x14ac:dyDescent="0.3">
      <c r="A14" s="74" t="s">
        <v>34</v>
      </c>
      <c r="B14" s="75">
        <f>SUM(B4:B13)</f>
        <v>1150.5</v>
      </c>
      <c r="C14" s="75"/>
      <c r="D14" s="75"/>
      <c r="E14" s="79">
        <f>SUM(E4:E13)</f>
        <v>6936.61</v>
      </c>
      <c r="F14" s="145">
        <f>SUM(F4:F13)</f>
        <v>106.65</v>
      </c>
      <c r="G14" s="152">
        <f>SUM(G4:G13)</f>
        <v>7043.26</v>
      </c>
      <c r="H14" s="194">
        <f>SUM(H4:H9)</f>
        <v>352.16300000000001</v>
      </c>
    </row>
  </sheetData>
  <mergeCells count="2">
    <mergeCell ref="A1:G1"/>
    <mergeCell ref="A2:G2"/>
  </mergeCells>
  <pageMargins left="0.511811024" right="0.511811024" top="0.78740157499999996" bottom="0.78740157499999996" header="0.31496062000000002" footer="0.31496062000000002"/>
  <pageSetup paperSize="9" scale="64"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ORÇAMENTO</vt:lpstr>
      <vt:lpstr>COMP</vt:lpstr>
      <vt:lpstr>CRONOGRAMA</vt:lpstr>
      <vt:lpstr>MEMORIAL DE CÁLCULO</vt:lpstr>
      <vt:lpstr>QUADRO DE ÁREAS</vt:lpstr>
      <vt:lpstr>COMP!Area_de_impressao</vt:lpstr>
      <vt:lpstr>CRONOGRAMA!Area_de_impressao</vt:lpstr>
      <vt:lpstr>'MEMORIAL DE CÁLCULO'!Area_de_impressao</vt:lpstr>
      <vt:lpstr>ORÇAMENTO!Area_de_impressao</vt:lpstr>
      <vt:lpstr>'QUADRO DE ÁREAS'!Area_de_impressao</vt:lpstr>
      <vt:lpstr>ORÇAMENTO!Print_Area</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LICITAÇÃO</cp:lastModifiedBy>
  <cp:lastPrinted>2024-05-07T11:54:53Z</cp:lastPrinted>
  <dcterms:created xsi:type="dcterms:W3CDTF">2006-09-22T13:55:22Z</dcterms:created>
  <dcterms:modified xsi:type="dcterms:W3CDTF">2026-05-19T17:58:29Z</dcterms:modified>
</cp:coreProperties>
</file>