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obertura ESCOLA MUNICIPAL SANTO ANTÔNIO\"/>
    </mc:Choice>
  </mc:AlternateContent>
  <xr:revisionPtr revIDLastSave="0" documentId="13_ncr:1_{15AA91AA-5994-4A5E-B6A6-F9F9DEEB669A}" xr6:coauthVersionLast="47" xr6:coauthVersionMax="47" xr10:uidLastSave="{00000000-0000-0000-0000-000000000000}"/>
  <bookViews>
    <workbookView xWindow="-108" yWindow="-108" windowWidth="23256" windowHeight="12576" tabRatio="510" xr2:uid="{00000000-000D-0000-FFFF-FFFF00000000}"/>
  </bookViews>
  <sheets>
    <sheet name="Plan. Orç. " sheetId="19" r:id="rId1"/>
    <sheet name="BDI " sheetId="33" r:id="rId2"/>
    <sheet name="CRONOGRAMA " sheetId="34" r:id="rId3"/>
    <sheet name="MEMÓRIA DE CÁLCULO " sheetId="39" r:id="rId4"/>
    <sheet name="LEV. PESO AÇO COBERTURA " sheetId="40" r:id="rId5"/>
    <sheet name="Memória de Cálculo" sheetId="27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\i" localSheetId="1">'[1]Planilha de Preço'!#REF!</definedName>
    <definedName name="\i">'[1]Planilha de Preço'!#REF!</definedName>
    <definedName name="\l" localSheetId="1">'[1]Planilha de Preço'!#REF!</definedName>
    <definedName name="\l">'[1]Planilha de Preço'!#REF!</definedName>
    <definedName name="\s" localSheetId="1">'[1]Planilha de Preço'!#REF!</definedName>
    <definedName name="\s">'[1]Planilha de Preço'!#REF!</definedName>
    <definedName name="\t" localSheetId="1">'[1]Planilha de Preço'!#REF!</definedName>
    <definedName name="\t">'[1]Planilha de Preço'!#REF!</definedName>
    <definedName name="_AA100000" localSheetId="1">#REF!</definedName>
    <definedName name="_AA100000">#REF!</definedName>
    <definedName name="_Fill" localSheetId="1" hidden="1">[2]Orçamento!#REF!</definedName>
    <definedName name="_Fill" hidden="1">[2]Orçamento!#REF!</definedName>
    <definedName name="_xlnm._FilterDatabase" localSheetId="1" hidden="1">#REF!</definedName>
    <definedName name="_xlnm._FilterDatabase" hidden="1">#REF!</definedName>
    <definedName name="_LOC10" localSheetId="1">[2]Orçamento!#REF!</definedName>
    <definedName name="_LOC10">[2]Orçamento!#REF!</definedName>
    <definedName name="_LOC11">[2]Orçamento!#REF!</definedName>
    <definedName name="_LOC12">[2]Orçamento!#REF!</definedName>
    <definedName name="_LOC13">[2]Orçamento!#REF!</definedName>
    <definedName name="_LOC14">[2]Orçamento!#REF!</definedName>
    <definedName name="_LOC15">[2]Orçamento!#REF!</definedName>
    <definedName name="_LOC16">[2]Orçamento!#REF!</definedName>
    <definedName name="_LOC17">[2]Orçamento!#REF!</definedName>
    <definedName name="_LOC18">[2]Orçamento!#REF!</definedName>
    <definedName name="_LOC19">[2]Orçamento!#REF!</definedName>
    <definedName name="_LOC2">[2]Orçamento!#REF!</definedName>
    <definedName name="_LOC20">[2]Orçamento!#REF!</definedName>
    <definedName name="_LOC21">[2]Orçamento!#REF!</definedName>
    <definedName name="_LOC22">[2]Orçamento!#REF!</definedName>
    <definedName name="_LOC23">[2]Orçamento!#REF!</definedName>
    <definedName name="_LOC24">[2]Orçamento!#REF!</definedName>
    <definedName name="_LOC25">[2]Orçamento!#REF!</definedName>
    <definedName name="_LOC26">[2]Orçamento!#REF!</definedName>
    <definedName name="_LOC27">[2]Orçamento!#REF!</definedName>
    <definedName name="_LOC28">[2]Orçamento!#REF!</definedName>
    <definedName name="_LOC29">[2]Orçamento!#REF!</definedName>
    <definedName name="_LOC3">[2]Orçamento!#REF!</definedName>
    <definedName name="_LOC30">[2]Orçamento!#REF!</definedName>
    <definedName name="_LOC31">[2]Orçamento!#REF!</definedName>
    <definedName name="_LOC32">[2]Orçamento!#REF!</definedName>
    <definedName name="_LOC33">[2]Orçamento!#REF!</definedName>
    <definedName name="_LOC34">[2]Orçamento!#REF!</definedName>
    <definedName name="_LOC35">[2]Orçamento!#REF!</definedName>
    <definedName name="_LOC36">[2]Orçamento!#REF!</definedName>
    <definedName name="_LOC37">[2]Orçamento!#REF!</definedName>
    <definedName name="_LOC38">[2]Orçamento!#REF!</definedName>
    <definedName name="_LOC39">[2]Orçamento!#REF!</definedName>
    <definedName name="_LOC4">[2]Orçamento!#REF!</definedName>
    <definedName name="_LOC40">[2]Orçamento!#REF!</definedName>
    <definedName name="_LOC41">[2]Orçamento!#REF!</definedName>
    <definedName name="_LOC42">[2]Orçamento!#REF!</definedName>
    <definedName name="_LOC5">[2]Orçamento!#REF!</definedName>
    <definedName name="_LOC6">[2]Orçamento!#REF!</definedName>
    <definedName name="_LOC7">[2]Orçamento!#REF!</definedName>
    <definedName name="_LOC8">[2]Orçamento!#REF!</definedName>
    <definedName name="_LOC9">[2]Orçamento!#REF!</definedName>
    <definedName name="_R">'[1]Planilha de Preço'!#REF!</definedName>
    <definedName name="AC" localSheetId="1">#REF!</definedName>
    <definedName name="AC">#REF!</definedName>
    <definedName name="AL" localSheetId="1">#REF!</definedName>
    <definedName name="AL">#REF!</definedName>
    <definedName name="_xlnm.Print_Area" localSheetId="2">'CRONOGRAMA '!$A$1:$O$35</definedName>
    <definedName name="_xlnm.Print_Area" localSheetId="4">'LEV. PESO AÇO COBERTURA '!$A$1:$H$11</definedName>
    <definedName name="_xlnm.Print_Area" localSheetId="5">'Memória de Cálculo'!$A$1:$L$35</definedName>
    <definedName name="_xlnm.Print_Area" localSheetId="3">'MEMÓRIA DE CÁLCULO '!$A$1:$L$66</definedName>
    <definedName name="_xlnm.Print_Area" localSheetId="0">'Plan. Orç. '!$A$1:$I$75</definedName>
    <definedName name="_xlnm.Print_Area">#REF!</definedName>
    <definedName name="Área_impressão_IM" localSheetId="1">'[1]Planilha de Preço'!#REF!</definedName>
    <definedName name="Área_impressão_IM">'[1]Planilha de Preço'!#REF!</definedName>
    <definedName name="B.01.05.10.10" localSheetId="1">#REF!</definedName>
    <definedName name="B.01.05.10.10">#REF!</definedName>
    <definedName name="_xlnm.Database" localSheetId="1">#REF!</definedName>
    <definedName name="_xlnm.Database">#REF!</definedName>
    <definedName name="CD" localSheetId="1">[3]B.D.I.!#REF!</definedName>
    <definedName name="CD">[3]B.D.I.!#REF!</definedName>
    <definedName name="CP" localSheetId="1">#REF!</definedName>
    <definedName name="CP">#REF!</definedName>
    <definedName name="CS" localSheetId="1">[3]B.D.I.!#REF!</definedName>
    <definedName name="CS">[3]B.D.I.!#REF!</definedName>
    <definedName name="CT" localSheetId="1">#REF!</definedName>
    <definedName name="CT">#REF!</definedName>
    <definedName name="Data_primeiro_pagamento" localSheetId="1">#REF!</definedName>
    <definedName name="Data_primeiro_pagamento">#REF!</definedName>
    <definedName name="dp">#REF!</definedName>
    <definedName name="DSADA">[4]B.D.I.!$D$12</definedName>
    <definedName name="EV" localSheetId="1">#REF!</definedName>
    <definedName name="EV">#REF!</definedName>
    <definedName name="ffff">[5]Plan1!$G$13:$G$42</definedName>
    <definedName name="FRETE">'[6]Preços insumos'!$F$11</definedName>
    <definedName name="IC" localSheetId="1">[3]B.D.I.!#REF!</definedName>
    <definedName name="IC">[3]B.D.I.!#REF!</definedName>
    <definedName name="IMPR" localSheetId="1">[2]Orçamento!#REF!</definedName>
    <definedName name="IMPR">[2]Orçamento!#REF!</definedName>
    <definedName name="IMPR1" localSheetId="1">[2]Orçamento!#REF!</definedName>
    <definedName name="IMPR1">[2]Orçamento!#REF!</definedName>
    <definedName name="ip" localSheetId="1">#REF!</definedName>
    <definedName name="ip">#REF!</definedName>
    <definedName name="IS" localSheetId="1">#REF!</definedName>
    <definedName name="IS">#REF!</definedName>
    <definedName name="Juros_acumulados_antes_do_pagamento1" localSheetId="1">#REF!</definedName>
    <definedName name="Juros_acumulados_antes_do_pagamento1">#REF!</definedName>
    <definedName name="Kilo_da_Armação">'[7]Preços insumos'!$F$11</definedName>
    <definedName name="LB" localSheetId="1">#REF!</definedName>
    <definedName name="LB">#REF!</definedName>
    <definedName name="leizão">[8]Total!$D$27</definedName>
    <definedName name="Macro1" localSheetId="1">'BDI '!Macro1</definedName>
    <definedName name="Macro1" localSheetId="2">'CRONOGRAMA '!Macro1</definedName>
    <definedName name="Macro1" localSheetId="3">'MEMÓRIA DE CÁLCULO '!Macro1</definedName>
    <definedName name="Macro1" localSheetId="0">'Plan. Orç. '!Macro1</definedName>
    <definedName name="Macro1">'BDI '!Macro1</definedName>
    <definedName name="MACROS" localSheetId="1">'[1]Planilha de Preço'!#REF!</definedName>
    <definedName name="MACROS">'[1]Planilha de Preço'!#REF!</definedName>
    <definedName name="Mobilização" localSheetId="1">'BDI '!Mobilização</definedName>
    <definedName name="Mobilização" localSheetId="2">'CRONOGRAMA '!Mobilização</definedName>
    <definedName name="Mobilização" localSheetId="3">'MEMÓRIA DE CÁLCULO '!Mobilização</definedName>
    <definedName name="Mobilização" localSheetId="0">'Plan. Orç. '!Mobilização</definedName>
    <definedName name="Mobilização">'BDI '!Mobilização</definedName>
    <definedName name="multi">[9]OK!$A$27</definedName>
    <definedName name="mumu">[8]Prog!$B$4</definedName>
    <definedName name="OBTENÇÃO">[4]B.D.I.!$D$7</definedName>
    <definedName name="Pagamentos_por_ano" localSheetId="1">#REF!</definedName>
    <definedName name="Pagamentos_por_ano">#REF!</definedName>
    <definedName name="Período_em_anos" localSheetId="1">#REF!</definedName>
    <definedName name="Período_em_anos">#REF!</definedName>
    <definedName name="Preço_Unit_Chácaras">#REF!</definedName>
    <definedName name="Print_Area_MI" localSheetId="1">[8]Memorial!#REF!</definedName>
    <definedName name="Print_Area_MI">[8]Memorial!#REF!</definedName>
    <definedName name="PV" localSheetId="1">#REF!</definedName>
    <definedName name="PV">#REF!</definedName>
    <definedName name="qp" localSheetId="1">#REF!</definedName>
    <definedName name="qp">#REF!</definedName>
    <definedName name="Quant_Chácaras">#REF!</definedName>
    <definedName name="Receita_Chácaras">#REF!</definedName>
    <definedName name="solver_lin" hidden="1">0</definedName>
    <definedName name="solver_num" hidden="1">0</definedName>
    <definedName name="solver_opt" localSheetId="1" hidden="1">#REF!</definedName>
    <definedName name="solver_opt" hidden="1">#REF!</definedName>
    <definedName name="solver_tmp" hidden="1">#REF!</definedName>
    <definedName name="solver_typ" hidden="1">1</definedName>
    <definedName name="solver_val" hidden="1">0</definedName>
    <definedName name="t_meso_2" localSheetId="1">#REF!</definedName>
    <definedName name="t_meso_2">#REF!</definedName>
    <definedName name="t_super_est_2" localSheetId="1">#REF!</definedName>
    <definedName name="t_super_est_2">#REF!</definedName>
    <definedName name="Tela_1_PB_159___Ø_800_a_1000mm">'[10]Preços insumos'!$F$6</definedName>
    <definedName name="Tela_2_PB_196___Ø_1200mm">'[10]Preços insumos'!$F$8</definedName>
    <definedName name="Tela_3_PB_246___Ø_1500mm">'[10]Preços insumos'!$F$9</definedName>
    <definedName name="TESTE">'[1]Planilha de Preço'!#REF!</definedName>
    <definedName name="_xlnm.Print_Titles">#REF!</definedName>
    <definedName name="Tocar">656277505</definedName>
    <definedName name="tot_infra_1">#REF!</definedName>
    <definedName name="TOTAL_GERAL" localSheetId="1">#REF!</definedName>
    <definedName name="TOTAL_GERAL">#REF!</definedName>
    <definedName name="TOTALCRONOGRA">#REF!</definedName>
    <definedName name="wrn.COLETAS._.DE._.EQUIPAMENTOS." localSheetId="1" hidden="1">{#N/A,#N/A,FALSE,"EQUIPAMENTOS"}</definedName>
    <definedName name="wrn.COLETAS._.DE._.EQUIPAMENTOS." localSheetId="2" hidden="1">{#N/A,#N/A,FALSE,"EQUIPAMENTOS"}</definedName>
    <definedName name="wrn.COLETAS._.DE._.EQUIPAMENTOS." localSheetId="3" hidden="1">{#N/A,#N/A,FALSE,"EQUIPAMENTOS"}</definedName>
    <definedName name="wrn.COLETAS._.DE._.EQUIPAMENTOS." localSheetId="0" hidden="1">{#N/A,#N/A,FALSE,"EQUIPAMENTOS"}</definedName>
    <definedName name="wrn.COLETAS._.DE._.EQUIPAMENTOS." hidden="1">{#N/A,#N/A,FALSE,"EQUIPAMENTOS"}</definedName>
    <definedName name="wrn.COLETAS._.DE._.MATERIAIS." localSheetId="1" hidden="1">{#N/A,#N/A,FALSE,"SOTREQ"}</definedName>
    <definedName name="wrn.COLETAS._.DE._.MATERIAIS." localSheetId="2" hidden="1">{#N/A,#N/A,FALSE,"SOTREQ"}</definedName>
    <definedName name="wrn.COLETAS._.DE._.MATERIAIS." localSheetId="3" hidden="1">{#N/A,#N/A,FALSE,"SOTREQ"}</definedName>
    <definedName name="wrn.COLETAS._.DE._.MATERIAIS." localSheetId="0" hidden="1">{#N/A,#N/A,FALSE,"SOTREQ"}</definedName>
    <definedName name="wrn.COLETAS._.DE._.MATERIAIS." hidden="1">{#N/A,#N/A,FALSE,"SOTREQ"}</definedName>
    <definedName name="wrn.COMP._.EQUIP." localSheetId="1" hidden="1">{#N/A,#N/A,FALSE,"EQUIPAMENTOS"}</definedName>
    <definedName name="wrn.COMP._.EQUIP." localSheetId="2" hidden="1">{#N/A,#N/A,FALSE,"EQUIPAMENTOS"}</definedName>
    <definedName name="wrn.COMP._.EQUIP." localSheetId="3" hidden="1">{#N/A,#N/A,FALSE,"EQUIPAMENTOS"}</definedName>
    <definedName name="wrn.COMP._.EQUIP." localSheetId="0" hidden="1">{#N/A,#N/A,FALSE,"EQUIPAMENTOS"}</definedName>
    <definedName name="wrn.COMP._.EQUIP." hidden="1">{#N/A,#N/A,FALSE,"EQUIPAMENTOS"}</definedName>
    <definedName name="wrn.COMP._.MATERIAIS." localSheetId="1" hidden="1">{#N/A,#N/A,FALSE,"MATERIAIS"}</definedName>
    <definedName name="wrn.COMP._.MATERIAIS." localSheetId="2" hidden="1">{#N/A,#N/A,FALSE,"MATERIAIS"}</definedName>
    <definedName name="wrn.COMP._.MATERIAIS." localSheetId="3" hidden="1">{#N/A,#N/A,FALSE,"MATERIAIS"}</definedName>
    <definedName name="wrn.COMP._.MATERIAIS." localSheetId="0" hidden="1">{#N/A,#N/A,FALSE,"MATERIAIS"}</definedName>
    <definedName name="wrn.COMP._.MATERIAIS." hidden="1">{#N/A,#N/A,FALSE,"MATERIAIS"}</definedName>
    <definedName name="wrn.PNEUS." localSheetId="1" hidden="1">{#N/A,#N/A,FALSE,"EQUIPAMENTOS"}</definedName>
    <definedName name="wrn.PNEUS." localSheetId="2" hidden="1">{#N/A,#N/A,FALSE,"EQUIPAMENTOS"}</definedName>
    <definedName name="wrn.PNEUS." localSheetId="3" hidden="1">{#N/A,#N/A,FALSE,"EQUIPAMENTOS"}</definedName>
    <definedName name="wrn.PNEUS." localSheetId="0" hidden="1">{#N/A,#N/A,FALSE,"EQUIPAMENTOS"}</definedName>
    <definedName name="wrn.PNEUS." hidden="1">{#N/A,#N/A,FALSE,"EQUIPAMENTOS"}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33" l="1"/>
  <c r="B44" i="33"/>
  <c r="L41" i="39"/>
  <c r="L40" i="39"/>
  <c r="G39" i="39"/>
  <c r="L39" i="39" s="1"/>
  <c r="F39" i="39"/>
  <c r="E39" i="39"/>
  <c r="L37" i="39"/>
  <c r="L36" i="39"/>
  <c r="L30" i="39"/>
  <c r="L29" i="39"/>
  <c r="L28" i="39"/>
  <c r="L26" i="39"/>
  <c r="L25" i="39"/>
  <c r="L24" i="39"/>
  <c r="N24" i="39"/>
  <c r="L58" i="39"/>
  <c r="L57" i="39"/>
  <c r="N57" i="39"/>
  <c r="N43" i="39"/>
  <c r="N41" i="39"/>
  <c r="N39" i="39"/>
  <c r="N40" i="39" s="1"/>
  <c r="N37" i="39"/>
  <c r="A37" i="39"/>
  <c r="B37" i="39"/>
  <c r="C37" i="39"/>
  <c r="D37" i="39"/>
  <c r="G40" i="19"/>
  <c r="H40" i="19" s="1"/>
  <c r="N36" i="39"/>
  <c r="N28" i="39"/>
  <c r="N29" i="39" s="1"/>
  <c r="N30" i="39" s="1"/>
  <c r="N25" i="39"/>
  <c r="N26" i="39" s="1"/>
  <c r="A21" i="39"/>
  <c r="B21" i="39"/>
  <c r="C21" i="39"/>
  <c r="D21" i="39"/>
  <c r="A22" i="39"/>
  <c r="B22" i="39"/>
  <c r="A23" i="39"/>
  <c r="B23" i="39"/>
  <c r="C23" i="39"/>
  <c r="D23" i="39"/>
  <c r="A24" i="39"/>
  <c r="B24" i="39"/>
  <c r="C24" i="39"/>
  <c r="D24" i="39"/>
  <c r="A25" i="39"/>
  <c r="B25" i="39"/>
  <c r="C25" i="39"/>
  <c r="D25" i="39"/>
  <c r="A26" i="39"/>
  <c r="B26" i="39"/>
  <c r="C26" i="39"/>
  <c r="D26" i="39"/>
  <c r="A27" i="39"/>
  <c r="B27" i="39"/>
  <c r="A28" i="39"/>
  <c r="B28" i="39"/>
  <c r="C28" i="39"/>
  <c r="D28" i="39"/>
  <c r="A29" i="39"/>
  <c r="B29" i="39"/>
  <c r="C29" i="39"/>
  <c r="D29" i="39"/>
  <c r="A30" i="39"/>
  <c r="B30" i="39"/>
  <c r="C30" i="39"/>
  <c r="D30" i="39"/>
  <c r="A31" i="39"/>
  <c r="B31" i="39"/>
  <c r="A32" i="39"/>
  <c r="B32" i="39"/>
  <c r="C32" i="39"/>
  <c r="D32" i="39"/>
  <c r="A33" i="39"/>
  <c r="B33" i="39"/>
  <c r="C33" i="39"/>
  <c r="D33" i="39"/>
  <c r="A34" i="39"/>
  <c r="B34" i="39"/>
  <c r="C34" i="39"/>
  <c r="D34" i="39"/>
  <c r="A35" i="39"/>
  <c r="B35" i="39"/>
  <c r="C35" i="39"/>
  <c r="D35" i="39"/>
  <c r="A36" i="39"/>
  <c r="B36" i="39"/>
  <c r="C36" i="39"/>
  <c r="D36" i="39"/>
  <c r="A38" i="39"/>
  <c r="B38" i="39"/>
  <c r="A39" i="39"/>
  <c r="B39" i="39"/>
  <c r="C39" i="39"/>
  <c r="D39" i="39"/>
  <c r="A40" i="39"/>
  <c r="B40" i="39"/>
  <c r="C40" i="39"/>
  <c r="D40" i="39"/>
  <c r="A41" i="39"/>
  <c r="B41" i="39"/>
  <c r="C41" i="39"/>
  <c r="D41" i="39"/>
  <c r="A42" i="39"/>
  <c r="B42" i="39"/>
  <c r="C42" i="39"/>
  <c r="D42" i="39"/>
  <c r="A43" i="39"/>
  <c r="B43" i="39"/>
  <c r="C43" i="39"/>
  <c r="D43" i="39"/>
  <c r="A44" i="39"/>
  <c r="B44" i="39"/>
  <c r="A45" i="39"/>
  <c r="B45" i="39"/>
  <c r="C45" i="39"/>
  <c r="D45" i="39"/>
  <c r="A46" i="39"/>
  <c r="B46" i="39"/>
  <c r="C46" i="39"/>
  <c r="D46" i="39"/>
  <c r="A47" i="39"/>
  <c r="B47" i="39"/>
  <c r="C47" i="39"/>
  <c r="D47" i="39"/>
  <c r="A48" i="39"/>
  <c r="B48" i="39"/>
  <c r="C48" i="39"/>
  <c r="D48" i="39"/>
  <c r="A49" i="39"/>
  <c r="B49" i="39"/>
  <c r="C49" i="39"/>
  <c r="D49" i="39"/>
  <c r="A50" i="39"/>
  <c r="B50" i="39"/>
  <c r="C50" i="39"/>
  <c r="D50" i="39"/>
  <c r="A51" i="39"/>
  <c r="B51" i="39"/>
  <c r="C51" i="39"/>
  <c r="D51" i="39"/>
  <c r="A52" i="39"/>
  <c r="B52" i="39"/>
  <c r="C52" i="39"/>
  <c r="D52" i="39"/>
  <c r="A53" i="39"/>
  <c r="B53" i="39"/>
  <c r="C53" i="39"/>
  <c r="D53" i="39"/>
  <c r="A54" i="39"/>
  <c r="B54" i="39"/>
  <c r="C54" i="39"/>
  <c r="D54" i="39"/>
  <c r="A55" i="39"/>
  <c r="B55" i="39"/>
  <c r="C55" i="39"/>
  <c r="D55" i="39"/>
  <c r="A56" i="39"/>
  <c r="B56" i="39"/>
  <c r="A57" i="39"/>
  <c r="B57" i="39"/>
  <c r="C57" i="39"/>
  <c r="D57" i="39"/>
  <c r="A58" i="39"/>
  <c r="B58" i="39"/>
  <c r="C58" i="39"/>
  <c r="D58" i="39"/>
  <c r="A59" i="39"/>
  <c r="B59" i="39"/>
  <c r="A60" i="39"/>
  <c r="B60" i="39"/>
  <c r="C60" i="39"/>
  <c r="D60" i="39"/>
  <c r="B20" i="39"/>
  <c r="A20" i="39"/>
  <c r="A61" i="39"/>
  <c r="D4" i="40"/>
  <c r="D3" i="40"/>
  <c r="E3" i="40"/>
  <c r="D6" i="40"/>
  <c r="E4" i="40" l="1"/>
  <c r="K28" i="27"/>
  <c r="D28" i="27"/>
  <c r="C28" i="27"/>
  <c r="B28" i="27"/>
  <c r="A28" i="27"/>
  <c r="K27" i="27"/>
  <c r="E27" i="27"/>
  <c r="D27" i="27"/>
  <c r="C27" i="27"/>
  <c r="B27" i="27"/>
  <c r="A27" i="27"/>
  <c r="K26" i="27"/>
  <c r="D26" i="27"/>
  <c r="C26" i="27"/>
  <c r="B26" i="27"/>
  <c r="A26" i="27"/>
  <c r="K25" i="27"/>
  <c r="D25" i="27"/>
  <c r="C25" i="27"/>
  <c r="B25" i="27"/>
  <c r="A25" i="27"/>
  <c r="K24" i="27"/>
  <c r="D24" i="27"/>
  <c r="C24" i="27"/>
  <c r="B24" i="27"/>
  <c r="A24" i="27"/>
  <c r="D23" i="27"/>
  <c r="C23" i="27"/>
  <c r="B23" i="27"/>
  <c r="A23" i="27"/>
  <c r="D22" i="27"/>
  <c r="C22" i="27"/>
  <c r="B22" i="27"/>
  <c r="A22" i="27"/>
  <c r="K21" i="27"/>
  <c r="D21" i="27"/>
  <c r="C21" i="27"/>
  <c r="B21" i="27"/>
  <c r="A21" i="27"/>
  <c r="D20" i="27"/>
  <c r="C20" i="27"/>
  <c r="B20" i="27"/>
  <c r="A20" i="27"/>
  <c r="L19" i="27"/>
  <c r="D19" i="27"/>
  <c r="C19" i="27"/>
  <c r="B19" i="27"/>
  <c r="A19" i="27"/>
  <c r="K18" i="27"/>
  <c r="L17" i="27"/>
  <c r="K17" i="27"/>
  <c r="D17" i="27"/>
  <c r="C17" i="27"/>
  <c r="B17" i="27"/>
  <c r="A17" i="27"/>
  <c r="K16" i="27"/>
  <c r="D16" i="27"/>
  <c r="C16" i="27"/>
  <c r="B16" i="27"/>
  <c r="A16" i="27"/>
  <c r="D15" i="27"/>
  <c r="C15" i="27"/>
  <c r="B15" i="27"/>
  <c r="A15" i="27"/>
  <c r="K14" i="27"/>
  <c r="D14" i="27"/>
  <c r="C14" i="27"/>
  <c r="B14" i="27"/>
  <c r="A14" i="27"/>
  <c r="D13" i="27"/>
  <c r="B13" i="27"/>
  <c r="A13" i="27"/>
  <c r="K12" i="27"/>
  <c r="D12" i="27"/>
  <c r="C12" i="27"/>
  <c r="B12" i="27"/>
  <c r="A12" i="27"/>
  <c r="E7" i="27"/>
  <c r="A7" i="27"/>
  <c r="E6" i="27"/>
  <c r="A5" i="27"/>
  <c r="F4" i="27"/>
  <c r="C6" i="40"/>
  <c r="E6" i="40" s="1"/>
  <c r="D5" i="40"/>
  <c r="C5" i="40"/>
  <c r="D15" i="39"/>
  <c r="G12" i="39"/>
  <c r="A12" i="39"/>
  <c r="D9" i="39"/>
  <c r="A9" i="39"/>
  <c r="A6" i="39"/>
  <c r="A30" i="34"/>
  <c r="N26" i="34"/>
  <c r="B26" i="34"/>
  <c r="A26" i="34"/>
  <c r="N25" i="34"/>
  <c r="B25" i="34"/>
  <c r="A25" i="34"/>
  <c r="N24" i="34"/>
  <c r="B24" i="34"/>
  <c r="A24" i="34"/>
  <c r="L23" i="34"/>
  <c r="B23" i="34"/>
  <c r="A23" i="34"/>
  <c r="J22" i="34"/>
  <c r="B22" i="34"/>
  <c r="A22" i="34"/>
  <c r="F21" i="34"/>
  <c r="B21" i="34"/>
  <c r="A21" i="34"/>
  <c r="B20" i="34"/>
  <c r="A20" i="34"/>
  <c r="G12" i="34"/>
  <c r="A12" i="34"/>
  <c r="D9" i="34"/>
  <c r="A9" i="34"/>
  <c r="A6" i="34"/>
  <c r="F37" i="33"/>
  <c r="A31" i="33"/>
  <c r="E29" i="33"/>
  <c r="E28" i="33"/>
  <c r="D28" i="33"/>
  <c r="G25" i="33"/>
  <c r="F25" i="33"/>
  <c r="G24" i="33"/>
  <c r="F24" i="33"/>
  <c r="G23" i="33"/>
  <c r="F23" i="33"/>
  <c r="E20" i="33"/>
  <c r="A20" i="33"/>
  <c r="E19" i="33"/>
  <c r="A19" i="33"/>
  <c r="E18" i="33"/>
  <c r="A18" i="33"/>
  <c r="E17" i="33"/>
  <c r="A17" i="33"/>
  <c r="E16" i="33"/>
  <c r="A16" i="33"/>
  <c r="A6" i="33"/>
  <c r="G12" i="19"/>
  <c r="G39" i="19" s="1"/>
  <c r="H39" i="19" s="1"/>
  <c r="G45" i="19" l="1"/>
  <c r="H45" i="19" s="1"/>
  <c r="G44" i="19"/>
  <c r="H44" i="19" s="1"/>
  <c r="E5" i="40"/>
  <c r="E7" i="40" s="1"/>
  <c r="G7" i="40" s="1"/>
  <c r="G38" i="19"/>
  <c r="H38" i="19" s="1"/>
  <c r="G57" i="19"/>
  <c r="H57" i="19" s="1"/>
  <c r="G32" i="19"/>
  <c r="G25" i="19"/>
  <c r="H25" i="19" s="1"/>
  <c r="G37" i="19"/>
  <c r="H37" i="19" s="1"/>
  <c r="G60" i="19"/>
  <c r="H60" i="19" s="1"/>
  <c r="G27" i="19"/>
  <c r="H27" i="19" s="1"/>
  <c r="G47" i="19"/>
  <c r="H47" i="19" s="1"/>
  <c r="G51" i="19"/>
  <c r="H51" i="19" s="1"/>
  <c r="G35" i="19"/>
  <c r="G53" i="19"/>
  <c r="H53" i="19" s="1"/>
  <c r="G64" i="19"/>
  <c r="H64" i="19" s="1"/>
  <c r="G55" i="19"/>
  <c r="H55" i="19" s="1"/>
  <c r="G58" i="19"/>
  <c r="H58" i="19" s="1"/>
  <c r="G26" i="19"/>
  <c r="H26" i="19" s="1"/>
  <c r="G30" i="19"/>
  <c r="H30" i="19" s="1"/>
  <c r="G46" i="19"/>
  <c r="H46" i="19" s="1"/>
  <c r="G50" i="19"/>
  <c r="H50" i="19" s="1"/>
  <c r="G52" i="19"/>
  <c r="H52" i="19" s="1"/>
  <c r="G54" i="19"/>
  <c r="H54" i="19" s="1"/>
  <c r="G56" i="19"/>
  <c r="H56" i="19" s="1"/>
  <c r="G59" i="19"/>
  <c r="H59" i="19" s="1"/>
  <c r="G63" i="19"/>
  <c r="H63" i="19" s="1"/>
  <c r="G67" i="19"/>
  <c r="H67" i="19" s="1"/>
  <c r="G24" i="19"/>
  <c r="H24" i="19" s="1"/>
  <c r="G21" i="19"/>
  <c r="H21" i="19" s="1"/>
  <c r="H22" i="19" s="1"/>
  <c r="C19" i="34" s="1"/>
  <c r="E19" i="34" s="1"/>
  <c r="G31" i="19"/>
  <c r="G36" i="19"/>
  <c r="H36" i="19" s="1"/>
  <c r="G43" i="19"/>
  <c r="H43" i="19" s="1"/>
  <c r="H35" i="19" l="1"/>
  <c r="H41" i="19" s="1"/>
  <c r="H32" i="19"/>
  <c r="H31" i="19"/>
  <c r="H61" i="19"/>
  <c r="C24" i="34" s="1"/>
  <c r="O24" i="34" s="1"/>
  <c r="H48" i="19"/>
  <c r="C23" i="34" s="1"/>
  <c r="M23" i="34" s="1"/>
  <c r="H28" i="19"/>
  <c r="H65" i="19"/>
  <c r="C25" i="34" s="1"/>
  <c r="O25" i="34" s="1"/>
  <c r="C22" i="34" l="1"/>
  <c r="G22" i="34" s="1"/>
  <c r="H33" i="19"/>
  <c r="C21" i="34" s="1"/>
  <c r="E21" i="34" s="1"/>
  <c r="H68" i="19"/>
  <c r="C26" i="34" s="1"/>
  <c r="O26" i="34" s="1"/>
  <c r="C20" i="34"/>
  <c r="E20" i="34" s="1"/>
  <c r="E28" i="34" s="1"/>
  <c r="E29" i="34" s="1"/>
  <c r="M28" i="34"/>
  <c r="K23" i="34"/>
  <c r="I22" i="34" l="1"/>
  <c r="I28" i="34" s="1"/>
  <c r="K22" i="34"/>
  <c r="K28" i="34" s="1"/>
  <c r="H69" i="19"/>
  <c r="G21" i="34"/>
  <c r="G28" i="34" s="1"/>
  <c r="G29" i="34" s="1"/>
  <c r="O28" i="34"/>
  <c r="C27" i="34"/>
  <c r="H28" i="34" s="1"/>
  <c r="I29" i="34" l="1"/>
  <c r="K29" i="34" s="1"/>
  <c r="M29" i="34" s="1"/>
  <c r="O29" i="34" s="1"/>
  <c r="H18" i="19"/>
  <c r="I22" i="19" s="1"/>
  <c r="J28" i="34"/>
  <c r="D28" i="34"/>
  <c r="D29" i="34" s="1"/>
  <c r="L28" i="34"/>
  <c r="N28" i="34"/>
  <c r="F28" i="34"/>
  <c r="I33" i="19" l="1"/>
  <c r="I61" i="19"/>
  <c r="I65" i="19"/>
  <c r="I41" i="19"/>
  <c r="I68" i="19"/>
  <c r="I48" i="19"/>
  <c r="I28" i="19"/>
  <c r="F29" i="34"/>
  <c r="H29" i="34" s="1"/>
  <c r="J29" i="34" s="1"/>
  <c r="L29" i="34" s="1"/>
  <c r="N29" i="34" s="1"/>
  <c r="I69" i="19" l="1"/>
</calcChain>
</file>

<file path=xl/sharedStrings.xml><?xml version="1.0" encoding="utf-8"?>
<sst xmlns="http://schemas.openxmlformats.org/spreadsheetml/2006/main" count="403" uniqueCount="268">
  <si>
    <t>PLANILHA ORÇAMENTÁRIA</t>
  </si>
  <si>
    <t>Proponente:</t>
  </si>
  <si>
    <t>CNPJ:</t>
  </si>
  <si>
    <t>PREFEITURA MUNICIPAL DE CHAPADA GAÚCHA - MG</t>
  </si>
  <si>
    <t>01.612.489/0001-15</t>
  </si>
  <si>
    <t>OBRA:</t>
  </si>
  <si>
    <t>Modalidade:</t>
  </si>
  <si>
    <t xml:space="preserve">CONSTRUÇÃO </t>
  </si>
  <si>
    <t>Endereço:</t>
  </si>
  <si>
    <t>COORDENADAS GEOGRÁFICAS:</t>
  </si>
  <si>
    <t>Bairro:</t>
  </si>
  <si>
    <t>Município:</t>
  </si>
  <si>
    <t>CEP:</t>
  </si>
  <si>
    <t>BDI:</t>
  </si>
  <si>
    <t>CHAPADA GAÚCHA - MG</t>
  </si>
  <si>
    <t>38.689-000</t>
  </si>
  <si>
    <t xml:space="preserve">REGIME DE EXECUÇÃO DE OBRAS:  </t>
  </si>
  <si>
    <t xml:space="preserve">Bancos Utilizados: </t>
  </si>
  <si>
    <t xml:space="preserve">EMPREITADA GLOBAL (LICITAÇÃO). </t>
  </si>
  <si>
    <t>SINAPI - Comp. e insumos; JAN. de 2025 - MG / Desonerado</t>
  </si>
  <si>
    <t>ÁREA DE CONSTRUÇÃO (M²).</t>
  </si>
  <si>
    <t xml:space="preserve">VALOR ANALISADO EM </t>
  </si>
  <si>
    <t>ITEM</t>
  </si>
  <si>
    <t xml:space="preserve">CÓDIGO </t>
  </si>
  <si>
    <t>DESCRIÇÃO DOS SERVIÇOS</t>
  </si>
  <si>
    <t>UNID.</t>
  </si>
  <si>
    <t>QUANT.</t>
  </si>
  <si>
    <t>PREÇO                    UNITÁRIO S/BDI (R$)</t>
  </si>
  <si>
    <t>PREÇO                    UNITÁRIO C/BDI (R$)</t>
  </si>
  <si>
    <t>PREÇO TOTAL               (R$)</t>
  </si>
  <si>
    <t xml:space="preserve">Peso Total % </t>
  </si>
  <si>
    <t>SERVIÇOS PRELIMINARES</t>
  </si>
  <si>
    <t>01.01</t>
  </si>
  <si>
    <t>m²</t>
  </si>
  <si>
    <t>m</t>
  </si>
  <si>
    <t xml:space="preserve">SUB-TOTAL ITEM 01 </t>
  </si>
  <si>
    <t>FUNDAÇÕES</t>
  </si>
  <si>
    <t>02.1</t>
  </si>
  <si>
    <t>LOCAÇÃO DE OBRA COM GABARITO DE TÁBUAS CORRIDAS
PONTALETADAS A CADA 2,00M, REAPROVEITAMENTO (2X),
INCLUSIVE ACOMPANHAMENTO DE EQUIPE TOPOGRÁFICA PARA MARCAÇÃO DE PONTO TOPOGRÁFICO</t>
  </si>
  <si>
    <t>02.2</t>
  </si>
  <si>
    <t>ED-51107  - SETOP</t>
  </si>
  <si>
    <t>ESCAVAÇÃO MANUAL DE VALA COM PROFUNDIDADE MENOR OU IGUAL A 1,5M, INCLUSIVE DESCARGA LATERAL</t>
  </si>
  <si>
    <t>m³</t>
  </si>
  <si>
    <t>02.4</t>
  </si>
  <si>
    <t>ED-49620 - SETOP</t>
  </si>
  <si>
    <t>FORNECIMENTO DE CONCRETO ESTRUTURAL, PREPARADO EM OBRA, COM FCK 30MPA, INCLUSIVE LANÇAMENTO, ADENSAMENTO E ACABAMENTO</t>
  </si>
  <si>
    <t>02.5</t>
  </si>
  <si>
    <t>KG</t>
  </si>
  <si>
    <t>SUB-TOTAL ITEM 2</t>
  </si>
  <si>
    <t>03.1</t>
  </si>
  <si>
    <t>03.2</t>
  </si>
  <si>
    <t>03.3</t>
  </si>
  <si>
    <t>04.1</t>
  </si>
  <si>
    <t>ED-48231- SETOP</t>
  </si>
  <si>
    <t xml:space="preserve">ALVENARIA DE VEDAÇÃO COM TIJOLO CERÂMICO FURADO, ESP. 9CM, PARA REVESTIMENTO, INCLUSIVE ARGAMASSA PARA ASSENTAMENTO. </t>
  </si>
  <si>
    <t>04.2</t>
  </si>
  <si>
    <t>04.3</t>
  </si>
  <si>
    <t>ED-50761- SETOP</t>
  </si>
  <si>
    <t>REBOCO COM ARGAMASSA, TRAÇO 1:2:8 (CIMENTO, CAL E AREIA) , ESP. 20MM, APLICAÇÃO MANUAL, INCLUSIVE ARGAMASSA COM PREPARO MECANIZADO, EXCLUSIVE CHAPISCO</t>
  </si>
  <si>
    <t>04.4</t>
  </si>
  <si>
    <t>ED-50727- SETOP</t>
  </si>
  <si>
    <t>CHAPISCO COM ARGAMASSA, TRAÇO 1:3 (CIMENTO E AREIA), ESP. 5MM, APLICADO EM ALVENARIA / ESTRUTURA DE CONCRETO COM COLHER, INCLUSIVE ARGAMASSA COM PREPARO MECANIZADO</t>
  </si>
  <si>
    <t>04.5</t>
  </si>
  <si>
    <t>04.6</t>
  </si>
  <si>
    <t>SUB-TOTAL ITEM 4</t>
  </si>
  <si>
    <t xml:space="preserve">COBERTURA </t>
  </si>
  <si>
    <t>ED-20603 - SETOP</t>
  </si>
  <si>
    <t>FORNECIMENTO DE ESTRUTURA METÁLICA E ENGRADAMENTO METÁLICO, EM AÇO, PARA TELHADO, EXCLUSIVE TELHA, INCLUSIVE FABRICAÇÃO, TRANSPORTE, MONTAGEM E APLICAÇÃO DE FUNDO PREPARADOR ANTICORROSIVO EM SUPERFÍCIE METÁLICA, UMA (1) DEMÃO</t>
  </si>
  <si>
    <t>ED-48420  - SETOP</t>
  </si>
  <si>
    <t>ED-48400  - SETOP</t>
  </si>
  <si>
    <t>CUMEEIRA PARA TELHA CERÂMICA, INCLUSIVE EMBOÇAMENTO COM ARGAMASSA, TRAÇO 1:2:9 (CIMENTO, CAL E AREIA), COM PREPARO MECANIZADO</t>
  </si>
  <si>
    <t>6.1</t>
  </si>
  <si>
    <t>6.2</t>
  </si>
  <si>
    <t>6.3</t>
  </si>
  <si>
    <t>6.4</t>
  </si>
  <si>
    <t>6.5</t>
  </si>
  <si>
    <t>ED-51144 - SETOP</t>
  </si>
  <si>
    <t>6.6</t>
  </si>
  <si>
    <t>6.7</t>
  </si>
  <si>
    <t>6.8</t>
  </si>
  <si>
    <t>6.9</t>
  </si>
  <si>
    <t>6.10</t>
  </si>
  <si>
    <t>SUB-TOTAL ITEM 6</t>
  </si>
  <si>
    <t>7.1</t>
  </si>
  <si>
    <t>7.2</t>
  </si>
  <si>
    <t>SUB-TOTAL ITEM 7</t>
  </si>
  <si>
    <t xml:space="preserve">ELÉTRICA </t>
  </si>
  <si>
    <t>8.1</t>
  </si>
  <si>
    <t>ED-49500 - SETOP</t>
  </si>
  <si>
    <t xml:space="preserve"> QUADRO DE DISTRIBUIÇÃO PARA 20 MÓDULOS COM BARRAMENTO 100 A</t>
  </si>
  <si>
    <t>ED-49244  - SETOP</t>
  </si>
  <si>
    <t>DISJUNTOR BIPOLAR TERMOMAGNÉTICO 10KA, DE 50A</t>
  </si>
  <si>
    <t>ED-49235 - SETOP</t>
  </si>
  <si>
    <t>DISJUNTOR MONOPOLAR TERMOMAGNÉTICO 5KA, DE 35A</t>
  </si>
  <si>
    <t>ED-49231 - SETOP</t>
  </si>
  <si>
    <t>DISJUNTOR MONOPOLAR TERMOMAGNÉTICO 5KA, DE 20A</t>
  </si>
  <si>
    <t>ED-15117 - SETOP</t>
  </si>
  <si>
    <t>M</t>
  </si>
  <si>
    <t>SUB-TOTAL ITEM 8</t>
  </si>
  <si>
    <t>ED-49872 - SETOP</t>
  </si>
  <si>
    <t>CAIXA DE ESGOTO DE INSPEÇÃO/PASSAGEM EM ALVENARIA (30X30X60CM), REVESTIMENTO EM ARGAMASSA COM ADITIVO IMPERMEABILIZANTE, COM TAMPA DE CONCRETO, INCLUSIVE ESCAVAÇÃO, REATERRO E TRANSPORTE E RETIRADA DO MATERIAL ESCAVADO (EM CAÇAMBA)</t>
  </si>
  <si>
    <t>ED-50266 - SETOP</t>
  </si>
  <si>
    <t xml:space="preserve"> LIMPEZA FINAL PARA ENTREGA DA OBRA</t>
  </si>
  <si>
    <t xml:space="preserve">TOTAL GERAL ANALISADO </t>
  </si>
  <si>
    <t>______________________________________________________</t>
  </si>
  <si>
    <t>______________________________________</t>
  </si>
  <si>
    <t>LUCAS LISBOA DE ANDRADE</t>
  </si>
  <si>
    <t xml:space="preserve">JOSÉ RONE RODRIGUES PEREIRA </t>
  </si>
  <si>
    <t>ENGENHEIRO CIVIL</t>
  </si>
  <si>
    <t xml:space="preserve">PREFEITO MUNICIPAL </t>
  </si>
  <si>
    <t>CREA: 31.285/D-DF</t>
  </si>
  <si>
    <t>BDI - benefícios e despesas indiretas</t>
  </si>
  <si>
    <t>PROPONENTE / TOMADOR</t>
  </si>
  <si>
    <t>PREFEITURA MUNICIPAL DE CHAPADA GAÚCHA</t>
  </si>
  <si>
    <t>OBJETO</t>
  </si>
  <si>
    <t>TIPO DE OBRA DO EMPREENDIMENTO</t>
  </si>
  <si>
    <t>DESONERAÇÃO</t>
  </si>
  <si>
    <t>Construção de Praças Urbanas, Rodovias, Ferrovias e recapeamento e pavimentação de vias urbanas</t>
  </si>
  <si>
    <t>Não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</si>
  <si>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</si>
  <si>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</si>
  <si>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</si>
  <si>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</si>
  <si>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% Adotado</t>
  </si>
  <si>
    <t>Situação</t>
  </si>
  <si>
    <t>Intervalo de admissibilidade</t>
  </si>
  <si>
    <t>1º Quartil</t>
  </si>
  <si>
    <t>Médio</t>
  </si>
  <si>
    <t>3º Quartil</t>
  </si>
  <si>
    <t>-</t>
  </si>
  <si>
    <t>Tributos (impostos COFINS 3%, e  PIS 0,65%)</t>
  </si>
  <si>
    <t>CP</t>
  </si>
  <si>
    <t>Tributos (ISS, variável de acordo com o município)</t>
  </si>
  <si>
    <t>ISS</t>
  </si>
  <si>
    <t>Tributos (Contribuição Previdenciária - 0% ou 4,5%, conforme Lei 12.844/2013 -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</si>
  <si>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</si>
  <si>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</si>
  <si>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</si>
  <si>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</si>
  <si>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</si>
  <si>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</si>
  <si>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 xml:space="preserve"> - 1</t>
  </si>
  <si>
    <t>Observações:</t>
  </si>
  <si>
    <t>Local:</t>
  </si>
  <si>
    <t>Data:</t>
  </si>
  <si>
    <t>Responsável Técnico</t>
  </si>
  <si>
    <t>Responsável Tomador</t>
  </si>
  <si>
    <t>Nome:</t>
  </si>
  <si>
    <t xml:space="preserve">JOSE RONE RODRIGUES PEREIRA </t>
  </si>
  <si>
    <t>Título:</t>
  </si>
  <si>
    <t>Cargo:</t>
  </si>
  <si>
    <t>CREA:</t>
  </si>
  <si>
    <t xml:space="preserve">CRONOGRAMA FÍSICO E FINANCEIRO </t>
  </si>
  <si>
    <t xml:space="preserve">SERVIÇOS </t>
  </si>
  <si>
    <t xml:space="preserve">VALOR </t>
  </si>
  <si>
    <t>1° MÊS</t>
  </si>
  <si>
    <t>2° MÊS</t>
  </si>
  <si>
    <t>3° MÊS</t>
  </si>
  <si>
    <t>4° MÊS</t>
  </si>
  <si>
    <t>5° MÊS</t>
  </si>
  <si>
    <t>6° MÊS</t>
  </si>
  <si>
    <t>EXECUÇÃO (%)</t>
  </si>
  <si>
    <t>VALOR (R$)</t>
  </si>
  <si>
    <t xml:space="preserve">TOTAL GERAL </t>
  </si>
  <si>
    <t xml:space="preserve">VALOR MENSAL </t>
  </si>
  <si>
    <t>VALOR ACUMULADO</t>
  </si>
  <si>
    <t>MEMÓRIA DE CÁLCULO</t>
  </si>
  <si>
    <t>CÓDIGO</t>
  </si>
  <si>
    <t>DESCRIÇÃO</t>
  </si>
  <si>
    <t>UND</t>
  </si>
  <si>
    <t>Comp.(m)</t>
  </si>
  <si>
    <t>Larg.(m)</t>
  </si>
  <si>
    <t>Altura(m)</t>
  </si>
  <si>
    <t>Área Parc.(m²)</t>
  </si>
  <si>
    <t>Vol. parc.(m³)</t>
  </si>
  <si>
    <t>Repetição</t>
  </si>
  <si>
    <t>Área Tot.(m²)</t>
  </si>
  <si>
    <t>Vol. Tot.(m³)</t>
  </si>
  <si>
    <t>PREFEITURA MUNICIPAL DE URUCUIA-MG.</t>
  </si>
  <si>
    <t>META:</t>
  </si>
  <si>
    <t>VALOR</t>
  </si>
  <si>
    <t>COBERTURA COM A INCLINAÇÃO</t>
  </si>
  <si>
    <t xml:space="preserve">EMPENA DAS DUAS LARERAIS </t>
  </si>
  <si>
    <t>URICUIA-MG; 31 DE SETEMBRO DE 2023.</t>
  </si>
  <si>
    <t>RUTÍLIO EUGÊNIO CAVALCANTI FILHO</t>
  </si>
  <si>
    <t>ED-50227 - SETOP</t>
  </si>
  <si>
    <t>6.11</t>
  </si>
  <si>
    <t>SETOP DESONERADO AGO/2023</t>
  </si>
  <si>
    <t>ED-48298  - SETOP</t>
  </si>
  <si>
    <t>SETOP DESONERADO 2025</t>
  </si>
  <si>
    <t xml:space="preserve">MATERIAL </t>
  </si>
  <si>
    <t>QUANTIDADE (M)</t>
  </si>
  <si>
    <t>PESO</t>
  </si>
  <si>
    <t>kg/m</t>
  </si>
  <si>
    <t>perfil U de 68x30 mm #14 (2,00 mm)</t>
  </si>
  <si>
    <t xml:space="preserve">PESO TOTAL </t>
  </si>
  <si>
    <t>perfil U de 75x40 mm #14 (2,00 mm)</t>
  </si>
  <si>
    <t xml:space="preserve">DISTÂNCIA </t>
  </si>
  <si>
    <t xml:space="preserve">ESPAÇAMENTO </t>
  </si>
  <si>
    <t xml:space="preserve">QUANTIDADE </t>
  </si>
  <si>
    <t xml:space="preserve">LOCALIZAÇÃO </t>
  </si>
  <si>
    <t xml:space="preserve">TESOURA </t>
  </si>
  <si>
    <t xml:space="preserve">RIPAS </t>
  </si>
  <si>
    <t xml:space="preserve">LEVANTAMENTO DO PESO DE AÇO DA ESTRUTURA DA COBERTURA </t>
  </si>
  <si>
    <t>Kg/m²</t>
  </si>
  <si>
    <t xml:space="preserve">COEFICIENTE </t>
  </si>
  <si>
    <t xml:space="preserve">ÁREA DE COBERTURA </t>
  </si>
  <si>
    <t>CORTE, DOBRA E MONTAGEM DE AÇO CA-50/60, INCLUSIVE ESPAÇADOR</t>
  </si>
  <si>
    <t xml:space="preserve">CHAPADA GAÚCHA - MG; 27 DE AGOSTO DE 2025. </t>
  </si>
  <si>
    <t xml:space="preserve">COBERTURA DE PÁTIO DA ESCOLA MUNICIPAL SANTO ANTÔNIO </t>
  </si>
  <si>
    <t>DISTRITO DE SERRA DAS ARARAS</t>
  </si>
  <si>
    <t xml:space="preserve">RUA FRANCISCO RODRIGUES DE ALMEIDA N° 340 </t>
  </si>
  <si>
    <t>15°30'20.6"S 45°23'55.4"W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</si>
  <si>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</si>
  <si>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ED-28427 - SETOP</t>
  </si>
  <si>
    <t>Telha Transparente Monte Carmelo / Plan Mineira Transparente</t>
  </si>
  <si>
    <t>ED-17989 - SETOP</t>
  </si>
  <si>
    <t>MERCADO</t>
  </si>
  <si>
    <t>ED-48440 - SETOP</t>
  </si>
  <si>
    <t>PINTURA COM RESINA ACRÍLICA EM PISOS CIMENTADOS, DUAS (2) DEMÃOS, COM APLICAÇÃO MANUAL, INCLUSIVE PREPARAÇÃO E LIMPEZA DA SUPERFÍCIE</t>
  </si>
  <si>
    <t>ED-50464  - SETOP</t>
  </si>
  <si>
    <t>RO-00214 - SETOP</t>
  </si>
  <si>
    <t>PASSEIOS DE CONCRETO E = 8 CM, FCK = 15 MPA PADRÃO PREFEITURA</t>
  </si>
  <si>
    <t xml:space="preserve">EXECUÇÃO DO PISO DO PÁTIO </t>
  </si>
  <si>
    <t>ED-51125 - SETOP</t>
  </si>
  <si>
    <t>TRANSPORTE DE MATERIAL DEMOLIDO EM CAÇAMBA, INCLUSIVE CARGA MANUAL OU MECÂNICA</t>
  </si>
  <si>
    <t xml:space="preserve">Compactação de aterros a 95% do Proctor normal (Inclui espalhamento) </t>
  </si>
  <si>
    <t xml:space="preserve">MURETA </t>
  </si>
  <si>
    <t xml:space="preserve">12 TESOURAS </t>
  </si>
  <si>
    <t>COBERTURA EM TELHA CERÂMICA, TIPO PLAN, INCLUSIVE FIXAÇÃO, EXCLUSIVE ENGRADAMENTO E MANTA ISOLANTE/ TÉRMICA</t>
  </si>
  <si>
    <t xml:space="preserve">PILARES </t>
  </si>
  <si>
    <t>perfil ENRIJ. de 150x60 mm #14 (2,00 mm)</t>
  </si>
  <si>
    <t>ED-50659 - SETOP</t>
  </si>
  <si>
    <t>ED-48946 - SETOP</t>
  </si>
  <si>
    <t>ED-48951 - SETOP</t>
  </si>
  <si>
    <t>ED-13357 - SETOP</t>
  </si>
  <si>
    <t>LUMINÁRIA PLAFON REDONDO DE VIDRO JATEADO REDONDO
COMPLETA, DIÂMETRO 25 CM, PARA UMA (1) LÂMPADA LED, POTÊNCIA 9W, BULBO A60, FORNECIMENTO E INSTALAÇÃO, INCLUSIVE BASE E LÂMPADA</t>
  </si>
  <si>
    <t>REFLETOR DE LED, POTÊNCIA DE 300W, EXCLUSIVE SUPORTE E POSTE</t>
  </si>
  <si>
    <t>ED-22351 - SETOP</t>
  </si>
  <si>
    <t>PONTO DE EMBUTIR PARA UM (1) INTERRUPTOR SIMPLES (10A250V), COM PLACA 4"X2" DE UM (1) POSTO, COM ELETRODUTO FLEXÍVEL CORRUGADO, ANTI-CHAMA, DN 25MM (3/4"), EMBUTIDO NA ALVENARIA E CABO DE COBRE FLEXÍVEL, CLASSE 5, ISOLAMENTO TIPO LSHF/ATOX, NÃO HALOGENADO, SEÇÃO 1, 5MM2 (70°C-450/750V), COM DISTÂNCIA DE ATÉ DEZ (10) METROS DO PONTO DE DERIVAÇÃO, INCLUSIVE CAIXA DE LIGAÇÃO, SUPORTE E FIXAÇÃO DO ELETRODUTO COM ENCHIMENTO DO RASGO NA ALVENARIA/CONCRETO COM ARGAMASSA</t>
  </si>
  <si>
    <t>ELETRODUTO DE PVC RÍGIDO ROSCÁVEL, DN 20 MM (3/4"),
INCLUSIVE CONEXÕES, SUPORTES E FIXAÇÃO</t>
  </si>
  <si>
    <t>ED-49308 - SETOP</t>
  </si>
  <si>
    <t xml:space="preserve">LIMPEZA FINAL DE OBRA  </t>
  </si>
  <si>
    <t>ED-48669 - SETOP</t>
  </si>
  <si>
    <t xml:space="preserve">HIDRÁULICA - ÁGUA PLUVIAL </t>
  </si>
  <si>
    <t>5.1</t>
  </si>
  <si>
    <t>5.2</t>
  </si>
  <si>
    <t>5.3</t>
  </si>
  <si>
    <t>5.4</t>
  </si>
  <si>
    <t>5.5</t>
  </si>
  <si>
    <t>FORNECIMENTO E ASSENTAMENTO DE TUBO PVC RÍGIDO, DRENAGEM/PLUVIAL, PBV - SÉRIE NORMAL, DN 100 MM (4"), INCLUSIVE CONEXÕESAL ESCAVADO</t>
  </si>
  <si>
    <t>DISJUNTOR DE PROTEÇÃO DIFERENCIAL RESIDUAL (DR), TETRAPOLAR, TIPO DIN, CORRENTE NOMINAL DE 63A, ALTA SENSIBILIDADE, CORRENTE DIFERENCIAL RESIDUAL NOMINAL COM ATUAÇÃO DE 30MA</t>
  </si>
  <si>
    <t>CABO DE COBRE FLEXÍVEL, CLASSE 5, ISOLAMENTO TIPO LSHF/ ATOX, NÃO HALOGENADO, ANTICHAMA, TERMOPLÁSTICO, UNIPOLAR, SEÇÃO 1,5 MM2, 70°C, 450/750V</t>
  </si>
  <si>
    <t>CABO DE COBRE FLEXÍVEL, CLASSE 5, ISOLAMENTO TIPO LSHF/ATOX, NÃO HALOGENADO, ANTICHAMA, TERMOPLÁSTICO, UNIPOLAR, SEÇÃO 2,5 MM2, 70°C, 450/750V</t>
  </si>
  <si>
    <t>DEMOLIÇÃO MANUAL DE CONCRETO, SEM ARMAÇÃO, INCLUSIVE AFASTAMENTO E EMPILHAMENTO, EXCLUSIVE TRANSPORTE E RETIRADA DO MATERIAL DEMOLIDO</t>
  </si>
  <si>
    <t>CALHA EM CHAPA GALVANIZADA, ESP. 0,65MM (GSG-24), COM DESENVOLVIMENTO DE 75CM, INCLUSIVE IÇAMENTO MANUAL VERTICAL</t>
  </si>
  <si>
    <t>SUB-TOTAL ITEM 3</t>
  </si>
  <si>
    <t>SUB-TOTAL ITEM 5</t>
  </si>
  <si>
    <t>ED-50497 - SETOP</t>
  </si>
  <si>
    <t xml:space="preserve">PINTURA ESMALTE BASE SOLVENTE EM ESTRUTURA METÁLICA, DUAS (2) DEMÃOS, COM APLICAÇÃO MANUAL, INCLUSIVE UMA (1) DEMÃO FUNDO GALVANIZADO                   - APLICAÇÃO NOS PILARES. </t>
  </si>
  <si>
    <t xml:space="preserve">ÁREA QUADRA PARA LIMPEZA FINAL </t>
  </si>
  <si>
    <t xml:space="preserve">LEVANTAMENTO COM BASE EM PROJETO ELETRICO </t>
  </si>
  <si>
    <t xml:space="preserve">ÁREA QUADRA PARA EXECUÇÃO DO PISO - LEVANTAMENTO COM BASE NO PROJETO ARQUITETÔNICO  </t>
  </si>
  <si>
    <t xml:space="preserve">CONFECÇÃO DE PLACA DE OBRA </t>
  </si>
  <si>
    <t xml:space="preserve">LOCAÇÃO DE OBRA 2X13 PONTOS </t>
  </si>
  <si>
    <t xml:space="preserve">LEVANTAMENTO COM BASE EM PROJETO ESTRUTURAL </t>
  </si>
  <si>
    <t xml:space="preserve">ÁREA QUADRA PARA COBERTURA </t>
  </si>
  <si>
    <t xml:space="preserve">METROS LINEARES DA CUMEEIRA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</si>
</sst>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ddd"/>
    <numFmt numFmtId="168" formatCode="_(&quot;R$&quot;* #,##0.0000_);_(&quot;R$&quot;* \(#,##0.0000\);_(&quot;R$&quot;* &quot;-&quot;????_);_(@_)"/>
    <numFmt numFmtId="169" formatCode="d/mm/yyyy"/>
    <numFmt numFmtId="170" formatCode="&quot;R$ &quot;#,##0.00"/>
    <numFmt numFmtId="171" formatCode="_(&quot;$&quot;* #,##0_);_(&quot;$&quot;* \(#,##0\);_(&quot;$&quot;* &quot;-&quot;_);_(@_)"/>
    <numFmt numFmtId="172" formatCode="_([$€-2]* #,##0.00_);_([$€-2]* \(#,##0.00\);_([$€-2]* &quot;-&quot;??_)"/>
    <numFmt numFmtId="173" formatCode="00"/>
    <numFmt numFmtId="174" formatCode="_(&quot;R$ &quot;* #,##0.00_);_(&quot;R$ &quot;* \(#,##0.00\);_(&quot;R$ &quot;* &quot;-&quot;??_);_(@_)"/>
    <numFmt numFmtId="175" formatCode="dd\ &quot;de&quot;\ mmmm\ &quot;de&quot;\ yyyy"/>
    <numFmt numFmtId="176" formatCode="0.00_)"/>
    <numFmt numFmtId="177" formatCode="_(* #,##0.000_);_(* \(#,##0.000\);_(* &quot;-&quot;??_);_(@_)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"/>
      <color indexed="8"/>
      <name val="Courier"/>
      <family val="3"/>
    </font>
    <font>
      <b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11"/>
      <color indexed="12"/>
      <name val="Arial"/>
      <family val="2"/>
    </font>
    <font>
      <sz val="10"/>
      <name val="Arial"/>
      <family val="2"/>
    </font>
    <font>
      <b/>
      <sz val="22"/>
      <color theme="1"/>
      <name val="Arial"/>
      <family val="2"/>
    </font>
    <font>
      <b/>
      <sz val="11"/>
      <color indexed="8"/>
      <name val="Arial"/>
      <family val="2"/>
    </font>
    <font>
      <b/>
      <sz val="12"/>
      <color theme="0"/>
      <name val="Arial"/>
      <family val="2"/>
    </font>
    <font>
      <b/>
      <sz val="6.5"/>
      <name val="Arial"/>
      <family val="2"/>
    </font>
    <font>
      <b/>
      <sz val="11"/>
      <color rgb="FFFF0000"/>
      <name val="Arial"/>
      <family val="2"/>
    </font>
    <font>
      <b/>
      <sz val="11"/>
      <color indexed="10"/>
      <name val="Arial"/>
      <family val="2"/>
    </font>
    <font>
      <b/>
      <sz val="11"/>
      <color rgb="FFC00000"/>
      <name val="Arial"/>
      <family val="2"/>
    </font>
    <font>
      <b/>
      <sz val="22"/>
      <name val="Arial"/>
      <family val="2"/>
    </font>
    <font>
      <b/>
      <sz val="10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lightTrellis">
        <fgColor indexed="8"/>
        <bgColor theme="0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1">
    <xf numFmtId="0" fontId="0" fillId="0" borderId="0"/>
    <xf numFmtId="164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6" fillId="0" borderId="0">
      <protection locked="0"/>
    </xf>
    <xf numFmtId="172" fontId="11" fillId="0" borderId="0" applyFont="0" applyFill="0" applyBorder="0" applyAlignment="0" applyProtection="0"/>
    <xf numFmtId="170" fontId="4" fillId="0" borderId="0">
      <protection locked="0"/>
    </xf>
    <xf numFmtId="166" fontId="12" fillId="0" borderId="0" applyFont="0" applyFill="0" applyBorder="0" applyAlignment="0" applyProtection="0"/>
    <xf numFmtId="0" fontId="11" fillId="0" borderId="0"/>
    <xf numFmtId="167" fontId="4" fillId="0" borderId="0">
      <protection locked="0"/>
    </xf>
    <xf numFmtId="169" fontId="4" fillId="0" borderId="0">
      <protection locked="0"/>
    </xf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4" fillId="0" borderId="0">
      <protection locked="0"/>
    </xf>
    <xf numFmtId="168" fontId="4" fillId="0" borderId="0">
      <protection locked="0"/>
    </xf>
    <xf numFmtId="168" fontId="4" fillId="0" borderId="1">
      <protection locked="0"/>
    </xf>
    <xf numFmtId="0" fontId="4" fillId="0" borderId="0"/>
    <xf numFmtId="0" fontId="13" fillId="0" borderId="0"/>
    <xf numFmtId="17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356"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20"/>
    <xf numFmtId="0" fontId="10" fillId="0" borderId="0" xfId="20" applyFont="1"/>
    <xf numFmtId="0" fontId="10" fillId="0" borderId="2" xfId="20" applyFont="1" applyBorder="1" applyAlignment="1">
      <alignment horizontal="center" vertical="center"/>
    </xf>
    <xf numFmtId="0" fontId="13" fillId="0" borderId="2" xfId="20" applyFont="1" applyBorder="1" applyAlignment="1">
      <alignment horizontal="center" vertical="center"/>
    </xf>
    <xf numFmtId="10" fontId="13" fillId="2" borderId="2" xfId="20" applyNumberFormat="1" applyFont="1" applyFill="1" applyBorder="1" applyAlignment="1" applyProtection="1">
      <alignment horizontal="center" vertical="center"/>
      <protection locked="0"/>
    </xf>
    <xf numFmtId="4" fontId="9" fillId="0" borderId="2" xfId="20" applyNumberFormat="1" applyFont="1" applyBorder="1" applyAlignment="1">
      <alignment horizontal="center" vertical="center"/>
    </xf>
    <xf numFmtId="10" fontId="13" fillId="0" borderId="2" xfId="20" applyNumberFormat="1" applyFont="1" applyBorder="1" applyAlignment="1">
      <alignment horizontal="center" vertical="center"/>
    </xf>
    <xf numFmtId="10" fontId="13" fillId="0" borderId="2" xfId="20" applyNumberFormat="1" applyFont="1" applyBorder="1" applyAlignment="1">
      <alignment horizontal="center" vertical="center" wrapText="1"/>
    </xf>
    <xf numFmtId="0" fontId="13" fillId="0" borderId="2" xfId="20" applyFont="1" applyBorder="1" applyAlignment="1">
      <alignment horizontal="center" vertical="center" wrapText="1"/>
    </xf>
    <xf numFmtId="0" fontId="4" fillId="0" borderId="0" xfId="20" applyAlignment="1">
      <alignment horizontal="center" vertical="top"/>
    </xf>
    <xf numFmtId="0" fontId="18" fillId="0" borderId="0" xfId="20" applyFont="1" applyAlignment="1">
      <alignment horizontal="center" vertical="top"/>
    </xf>
    <xf numFmtId="0" fontId="15" fillId="0" borderId="0" xfId="20" applyFont="1"/>
    <xf numFmtId="0" fontId="4" fillId="0" borderId="0" xfId="20" applyAlignment="1">
      <alignment horizontal="right"/>
    </xf>
    <xf numFmtId="175" fontId="4" fillId="0" borderId="0" xfId="20" applyNumberFormat="1"/>
    <xf numFmtId="0" fontId="9" fillId="0" borderId="0" xfId="21" applyFont="1" applyAlignment="1">
      <alignment horizontal="left" vertical="top"/>
    </xf>
    <xf numFmtId="0" fontId="13" fillId="0" borderId="0" xfId="20" applyFont="1"/>
    <xf numFmtId="43" fontId="0" fillId="0" borderId="0" xfId="0" applyNumberFormat="1"/>
    <xf numFmtId="0" fontId="0" fillId="0" borderId="0" xfId="2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5" fillId="0" borderId="2" xfId="13" applyFont="1" applyFill="1" applyBorder="1" applyAlignment="1">
      <alignment vertical="center"/>
    </xf>
    <xf numFmtId="0" fontId="0" fillId="0" borderId="0" xfId="0" applyAlignment="1">
      <alignment vertical="center"/>
    </xf>
    <xf numFmtId="0" fontId="10" fillId="0" borderId="9" xfId="0" applyFont="1" applyBorder="1"/>
    <xf numFmtId="0" fontId="15" fillId="0" borderId="2" xfId="20" applyFont="1" applyBorder="1" applyAlignment="1">
      <alignment horizontal="center" vertical="center" wrapText="1"/>
    </xf>
    <xf numFmtId="10" fontId="14" fillId="0" borderId="2" xfId="20" applyNumberFormat="1" applyFont="1" applyBorder="1" applyAlignment="1">
      <alignment horizontal="center" vertical="center"/>
    </xf>
    <xf numFmtId="4" fontId="14" fillId="0" borderId="2" xfId="2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65" fontId="14" fillId="4" borderId="0" xfId="13" applyFont="1" applyFill="1" applyAlignment="1">
      <alignment horizontal="center" vertical="center"/>
    </xf>
    <xf numFmtId="165" fontId="15" fillId="0" borderId="0" xfId="13" applyFont="1" applyAlignment="1">
      <alignment horizontal="center" vertical="center"/>
    </xf>
    <xf numFmtId="165" fontId="10" fillId="0" borderId="0" xfId="13" applyFont="1" applyAlignment="1">
      <alignment horizontal="left" vertical="center" wrapText="1"/>
    </xf>
    <xf numFmtId="0" fontId="14" fillId="6" borderId="2" xfId="2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5" fontId="0" fillId="0" borderId="0" xfId="13" applyFont="1" applyAlignment="1">
      <alignment vertical="center"/>
    </xf>
    <xf numFmtId="0" fontId="4" fillId="0" borderId="0" xfId="0" applyFont="1" applyAlignment="1">
      <alignment horizontal="center" vertical="center"/>
    </xf>
    <xf numFmtId="9" fontId="0" fillId="0" borderId="2" xfId="0" applyNumberFormat="1" applyBorder="1" applyAlignment="1">
      <alignment horizontal="left" vertical="center" wrapText="1"/>
    </xf>
    <xf numFmtId="165" fontId="0" fillId="0" borderId="2" xfId="13" applyFont="1" applyBorder="1" applyAlignment="1">
      <alignment horizontal="center" vertical="center" wrapText="1"/>
    </xf>
    <xf numFmtId="165" fontId="10" fillId="0" borderId="2" xfId="13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24" fillId="0" borderId="0" xfId="0" applyFont="1"/>
    <xf numFmtId="0" fontId="24" fillId="0" borderId="17" xfId="0" applyFont="1" applyBorder="1"/>
    <xf numFmtId="0" fontId="0" fillId="0" borderId="0" xfId="0" applyAlignment="1">
      <alignment horizontal="center" vertical="center"/>
    </xf>
    <xf numFmtId="0" fontId="26" fillId="0" borderId="14" xfId="0" applyFont="1" applyBorder="1" applyProtection="1">
      <protection locked="0"/>
    </xf>
    <xf numFmtId="10" fontId="8" fillId="0" borderId="10" xfId="10" applyNumberFormat="1" applyFont="1" applyBorder="1" applyAlignment="1">
      <alignment horizontal="right"/>
    </xf>
    <xf numFmtId="0" fontId="26" fillId="0" borderId="0" xfId="0" applyFont="1" applyProtection="1">
      <protection locked="0"/>
    </xf>
    <xf numFmtId="0" fontId="26" fillId="0" borderId="0" xfId="0" applyFont="1" applyAlignment="1" applyProtection="1">
      <alignment horizontal="left"/>
      <protection locked="0"/>
    </xf>
    <xf numFmtId="10" fontId="8" fillId="0" borderId="0" xfId="10" applyNumberFormat="1" applyFont="1" applyBorder="1" applyAlignment="1">
      <alignment horizontal="right"/>
    </xf>
    <xf numFmtId="0" fontId="26" fillId="0" borderId="0" xfId="0" applyFont="1" applyAlignment="1" applyProtection="1">
      <alignment horizontal="left" wrapText="1"/>
      <protection locked="0"/>
    </xf>
    <xf numFmtId="0" fontId="8" fillId="0" borderId="21" xfId="0" applyFont="1" applyBorder="1" applyAlignment="1">
      <alignment horizontal="left"/>
    </xf>
    <xf numFmtId="0" fontId="25" fillId="0" borderId="0" xfId="0" applyFont="1" applyAlignment="1">
      <alignment horizontal="left" wrapText="1"/>
    </xf>
    <xf numFmtId="165" fontId="5" fillId="0" borderId="2" xfId="0" applyNumberFormat="1" applyFont="1" applyBorder="1" applyAlignment="1">
      <alignment vertical="center"/>
    </xf>
    <xf numFmtId="44" fontId="5" fillId="0" borderId="2" xfId="24" applyFont="1" applyFill="1" applyBorder="1" applyAlignment="1">
      <alignment horizontal="right" vertical="center"/>
    </xf>
    <xf numFmtId="44" fontId="8" fillId="0" borderId="2" xfId="24" applyFont="1" applyFill="1" applyBorder="1" applyAlignment="1">
      <alignment horizontal="right" vertical="center"/>
    </xf>
    <xf numFmtId="44" fontId="5" fillId="0" borderId="12" xfId="24" applyFont="1" applyFill="1" applyBorder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0" fontId="10" fillId="0" borderId="0" xfId="0" applyFont="1"/>
    <xf numFmtId="173" fontId="8" fillId="0" borderId="4" xfId="0" quotePrefix="1" applyNumberFormat="1" applyFont="1" applyBorder="1" applyAlignment="1">
      <alignment horizontal="center" vertical="top"/>
    </xf>
    <xf numFmtId="176" fontId="4" fillId="8" borderId="20" xfId="0" applyNumberFormat="1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176" fontId="4" fillId="8" borderId="24" xfId="0" applyNumberFormat="1" applyFont="1" applyFill="1" applyBorder="1" applyAlignment="1">
      <alignment vertical="center"/>
    </xf>
    <xf numFmtId="10" fontId="8" fillId="0" borderId="8" xfId="10" applyNumberFormat="1" applyFont="1" applyBorder="1" applyAlignment="1">
      <alignment vertical="center"/>
    </xf>
    <xf numFmtId="173" fontId="5" fillId="0" borderId="4" xfId="0" quotePrefix="1" applyNumberFormat="1" applyFont="1" applyBorder="1" applyAlignment="1">
      <alignment horizontal="center" vertical="center"/>
    </xf>
    <xf numFmtId="0" fontId="4" fillId="0" borderId="0" xfId="27"/>
    <xf numFmtId="44" fontId="8" fillId="0" borderId="8" xfId="0" applyNumberFormat="1" applyFont="1" applyBorder="1" applyAlignment="1">
      <alignment vertical="justify"/>
    </xf>
    <xf numFmtId="173" fontId="8" fillId="0" borderId="4" xfId="0" quotePrefix="1" applyNumberFormat="1" applyFont="1" applyBorder="1" applyAlignment="1">
      <alignment horizontal="center" vertical="center"/>
    </xf>
    <xf numFmtId="44" fontId="8" fillId="0" borderId="8" xfId="0" applyNumberFormat="1" applyFont="1" applyBorder="1" applyAlignment="1">
      <alignment vertical="center"/>
    </xf>
    <xf numFmtId="44" fontId="8" fillId="0" borderId="8" xfId="0" applyNumberFormat="1" applyFont="1" applyBorder="1" applyAlignment="1">
      <alignment horizontal="left" vertical="justify"/>
    </xf>
    <xf numFmtId="49" fontId="8" fillId="6" borderId="4" xfId="0" applyNumberFormat="1" applyFont="1" applyFill="1" applyBorder="1" applyAlignment="1">
      <alignment horizontal="center" vertical="center" wrapText="1"/>
    </xf>
    <xf numFmtId="49" fontId="8" fillId="6" borderId="8" xfId="0" applyNumberFormat="1" applyFont="1" applyFill="1" applyBorder="1" applyAlignment="1">
      <alignment horizontal="center" vertical="center" wrapText="1"/>
    </xf>
    <xf numFmtId="10" fontId="8" fillId="0" borderId="4" xfId="10" applyNumberFormat="1" applyFont="1" applyBorder="1" applyAlignment="1">
      <alignment horizontal="center" vertical="center"/>
    </xf>
    <xf numFmtId="44" fontId="8" fillId="0" borderId="8" xfId="24" applyFont="1" applyBorder="1" applyAlignment="1">
      <alignment horizontal="center" vertical="center"/>
    </xf>
    <xf numFmtId="10" fontId="8" fillId="0" borderId="27" xfId="0" applyNumberFormat="1" applyFont="1" applyBorder="1" applyAlignment="1">
      <alignment horizontal="center" vertical="center"/>
    </xf>
    <xf numFmtId="44" fontId="8" fillId="0" borderId="28" xfId="0" applyNumberFormat="1" applyFont="1" applyBorder="1" applyAlignment="1">
      <alignment horizontal="center" vertical="center"/>
    </xf>
    <xf numFmtId="176" fontId="4" fillId="8" borderId="31" xfId="0" applyNumberFormat="1" applyFont="1" applyFill="1" applyBorder="1" applyAlignment="1">
      <alignment vertical="center"/>
    </xf>
    <xf numFmtId="173" fontId="8" fillId="0" borderId="37" xfId="0" quotePrefix="1" applyNumberFormat="1" applyFont="1" applyBorder="1" applyAlignment="1">
      <alignment horizontal="center" vertical="top"/>
    </xf>
    <xf numFmtId="0" fontId="10" fillId="0" borderId="15" xfId="0" applyFont="1" applyBorder="1" applyAlignment="1">
      <alignment horizontal="right" vertical="center" wrapText="1"/>
    </xf>
    <xf numFmtId="173" fontId="8" fillId="0" borderId="4" xfId="0" quotePrefix="1" applyNumberFormat="1" applyFont="1" applyBorder="1" applyAlignment="1">
      <alignment horizontal="left" vertical="center" wrapText="1"/>
    </xf>
    <xf numFmtId="173" fontId="8" fillId="0" borderId="4" xfId="0" quotePrefix="1" applyNumberFormat="1" applyFont="1" applyBorder="1" applyAlignment="1">
      <alignment horizontal="left" vertical="top"/>
    </xf>
    <xf numFmtId="44" fontId="0" fillId="0" borderId="0" xfId="0" applyNumberFormat="1" applyAlignment="1">
      <alignment horizontal="left"/>
    </xf>
    <xf numFmtId="0" fontId="14" fillId="0" borderId="13" xfId="0" applyFont="1" applyBorder="1" applyAlignment="1" applyProtection="1">
      <alignment horizontal="left"/>
      <protection locked="0"/>
    </xf>
    <xf numFmtId="44" fontId="8" fillId="0" borderId="19" xfId="24" applyFont="1" applyBorder="1" applyAlignment="1">
      <alignment horizontal="center" vertical="center"/>
    </xf>
    <xf numFmtId="165" fontId="8" fillId="0" borderId="0" xfId="13" applyFont="1"/>
    <xf numFmtId="165" fontId="8" fillId="0" borderId="0" xfId="13" applyFont="1" applyAlignment="1">
      <alignment horizontal="center"/>
    </xf>
    <xf numFmtId="44" fontId="31" fillId="0" borderId="30" xfId="0" applyNumberFormat="1" applyFont="1" applyBorder="1" applyAlignment="1">
      <alignment vertical="center" wrapText="1"/>
    </xf>
    <xf numFmtId="10" fontId="31" fillId="0" borderId="28" xfId="0" applyNumberFormat="1" applyFont="1" applyBorder="1" applyAlignment="1">
      <alignment vertical="center" wrapText="1"/>
    </xf>
    <xf numFmtId="0" fontId="8" fillId="0" borderId="2" xfId="0" applyFont="1" applyBorder="1" applyAlignment="1">
      <alignment horizontal="left" vertical="justify"/>
    </xf>
    <xf numFmtId="0" fontId="8" fillId="0" borderId="15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17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6" fillId="0" borderId="13" xfId="0" applyFont="1" applyBorder="1" applyAlignment="1" applyProtection="1">
      <alignment horizontal="left"/>
      <protection locked="0"/>
    </xf>
    <xf numFmtId="0" fontId="26" fillId="0" borderId="14" xfId="0" applyFont="1" applyBorder="1" applyAlignment="1" applyProtection="1">
      <alignment horizontal="left"/>
      <protection locked="0"/>
    </xf>
    <xf numFmtId="0" fontId="26" fillId="0" borderId="18" xfId="0" applyFont="1" applyBorder="1" applyAlignment="1" applyProtection="1">
      <alignment horizontal="left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17" xfId="0" applyFont="1" applyBorder="1" applyAlignment="1" applyProtection="1">
      <alignment horizontal="left" vertical="center"/>
      <protection locked="0"/>
    </xf>
    <xf numFmtId="0" fontId="14" fillId="0" borderId="14" xfId="0" applyFont="1" applyBorder="1" applyAlignment="1" applyProtection="1">
      <alignment horizontal="left"/>
      <protection locked="0"/>
    </xf>
    <xf numFmtId="0" fontId="27" fillId="0" borderId="15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4" fillId="0" borderId="0" xfId="20" applyAlignment="1">
      <alignment horizontal="left"/>
    </xf>
    <xf numFmtId="0" fontId="14" fillId="0" borderId="2" xfId="2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44" fontId="0" fillId="0" borderId="0" xfId="0" applyNumberFormat="1"/>
    <xf numFmtId="43" fontId="0" fillId="0" borderId="0" xfId="0" applyNumberFormat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165" fontId="0" fillId="0" borderId="2" xfId="13" applyFont="1" applyBorder="1"/>
    <xf numFmtId="165" fontId="0" fillId="0" borderId="2" xfId="13" applyFont="1" applyBorder="1" applyAlignment="1">
      <alignment horizontal="center" vertical="center"/>
    </xf>
    <xf numFmtId="43" fontId="10" fillId="0" borderId="2" xfId="0" applyNumberFormat="1" applyFont="1" applyBorder="1"/>
    <xf numFmtId="0" fontId="10" fillId="0" borderId="2" xfId="0" applyFont="1" applyBorder="1"/>
    <xf numFmtId="0" fontId="8" fillId="0" borderId="0" xfId="0" applyFont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0" borderId="0" xfId="0" applyFont="1"/>
    <xf numFmtId="165" fontId="5" fillId="0" borderId="0" xfId="13" applyFont="1"/>
    <xf numFmtId="44" fontId="0" fillId="0" borderId="0" xfId="24" applyFont="1"/>
    <xf numFmtId="0" fontId="9" fillId="0" borderId="1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44" fontId="0" fillId="0" borderId="0" xfId="0" applyNumberFormat="1" applyAlignment="1">
      <alignment vertical="center"/>
    </xf>
    <xf numFmtId="2" fontId="4" fillId="0" borderId="0" xfId="0" applyNumberFormat="1" applyFont="1"/>
    <xf numFmtId="0" fontId="0" fillId="0" borderId="11" xfId="0" applyBorder="1"/>
    <xf numFmtId="165" fontId="0" fillId="0" borderId="2" xfId="13" applyFont="1" applyBorder="1" applyAlignment="1">
      <alignment horizontal="right"/>
    </xf>
    <xf numFmtId="165" fontId="10" fillId="0" borderId="2" xfId="0" applyNumberFormat="1" applyFont="1" applyBorder="1" applyAlignment="1">
      <alignment horizontal="center" vertical="center"/>
    </xf>
    <xf numFmtId="0" fontId="0" fillId="6" borderId="0" xfId="0" applyFill="1"/>
    <xf numFmtId="0" fontId="22" fillId="6" borderId="2" xfId="0" applyFont="1" applyFill="1" applyBorder="1" applyAlignment="1">
      <alignment horizontal="center" vertical="center"/>
    </xf>
    <xf numFmtId="165" fontId="22" fillId="6" borderId="2" xfId="13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31" fillId="0" borderId="2" xfId="0" applyFont="1" applyBorder="1" applyAlignment="1">
      <alignment horizontal="left" vertical="center" wrapText="1"/>
    </xf>
    <xf numFmtId="0" fontId="0" fillId="6" borderId="0" xfId="0" applyFill="1" applyAlignment="1">
      <alignment wrapText="1"/>
    </xf>
    <xf numFmtId="0" fontId="35" fillId="6" borderId="2" xfId="0" applyFont="1" applyFill="1" applyBorder="1" applyAlignment="1">
      <alignment horizontal="center" vertical="center"/>
    </xf>
    <xf numFmtId="0" fontId="35" fillId="6" borderId="2" xfId="0" applyFont="1" applyFill="1" applyBorder="1" applyAlignment="1">
      <alignment horizontal="left" vertical="center" wrapText="1"/>
    </xf>
    <xf numFmtId="0" fontId="35" fillId="6" borderId="2" xfId="0" applyFont="1" applyFill="1" applyBorder="1" applyAlignment="1">
      <alignment horizontal="center" vertical="center" wrapText="1"/>
    </xf>
    <xf numFmtId="0" fontId="35" fillId="6" borderId="2" xfId="0" applyFont="1" applyFill="1" applyBorder="1" applyAlignment="1">
      <alignment horizontal="left" vertical="center"/>
    </xf>
    <xf numFmtId="165" fontId="0" fillId="0" borderId="0" xfId="13" applyFont="1"/>
    <xf numFmtId="165" fontId="0" fillId="0" borderId="0" xfId="13" applyFont="1" applyAlignment="1">
      <alignment horizontal="center" vertical="center"/>
    </xf>
    <xf numFmtId="165" fontId="26" fillId="0" borderId="0" xfId="13" applyFont="1" applyAlignment="1" applyProtection="1">
      <alignment horizontal="left" wrapText="1"/>
      <protection locked="0"/>
    </xf>
    <xf numFmtId="165" fontId="8" fillId="0" borderId="0" xfId="13" applyFont="1" applyAlignment="1">
      <alignment horizontal="left"/>
    </xf>
    <xf numFmtId="165" fontId="8" fillId="0" borderId="15" xfId="13" applyFont="1" applyBorder="1" applyAlignment="1">
      <alignment horizontal="left"/>
    </xf>
    <xf numFmtId="165" fontId="8" fillId="0" borderId="21" xfId="13" applyFont="1" applyBorder="1" applyAlignment="1">
      <alignment horizontal="left"/>
    </xf>
    <xf numFmtId="165" fontId="26" fillId="0" borderId="14" xfId="13" applyFont="1" applyBorder="1" applyAlignment="1" applyProtection="1">
      <alignment horizontal="left"/>
      <protection locked="0"/>
    </xf>
    <xf numFmtId="165" fontId="26" fillId="0" borderId="13" xfId="13" applyFont="1" applyBorder="1" applyAlignment="1" applyProtection="1">
      <alignment horizontal="left"/>
      <protection locked="0"/>
    </xf>
    <xf numFmtId="165" fontId="8" fillId="0" borderId="10" xfId="13" applyFont="1" applyBorder="1" applyAlignment="1">
      <alignment horizontal="right"/>
    </xf>
    <xf numFmtId="165" fontId="26" fillId="0" borderId="0" xfId="13" applyFont="1" applyAlignment="1" applyProtection="1">
      <alignment horizontal="left"/>
      <protection locked="0"/>
    </xf>
    <xf numFmtId="165" fontId="8" fillId="0" borderId="0" xfId="13" applyFont="1" applyBorder="1" applyAlignment="1">
      <alignment horizontal="right"/>
    </xf>
    <xf numFmtId="165" fontId="26" fillId="0" borderId="18" xfId="13" applyFont="1" applyBorder="1" applyAlignment="1" applyProtection="1">
      <alignment horizontal="left"/>
      <protection locked="0"/>
    </xf>
    <xf numFmtId="165" fontId="14" fillId="0" borderId="0" xfId="13" applyFont="1" applyAlignment="1">
      <alignment horizontal="right" vertical="center"/>
    </xf>
    <xf numFmtId="165" fontId="14" fillId="0" borderId="0" xfId="13" applyFont="1" applyAlignment="1">
      <alignment horizontal="center" vertical="center"/>
    </xf>
    <xf numFmtId="165" fontId="27" fillId="0" borderId="0" xfId="13" applyFont="1" applyAlignment="1">
      <alignment horizontal="left" vertical="center"/>
    </xf>
    <xf numFmtId="165" fontId="27" fillId="0" borderId="17" xfId="13" applyFont="1" applyBorder="1" applyAlignment="1">
      <alignment horizontal="left" vertical="center"/>
    </xf>
    <xf numFmtId="165" fontId="14" fillId="0" borderId="13" xfId="13" applyFont="1" applyBorder="1" applyAlignment="1">
      <alignment horizontal="right" vertical="center"/>
    </xf>
    <xf numFmtId="165" fontId="14" fillId="0" borderId="14" xfId="13" applyFont="1" applyBorder="1" applyAlignment="1">
      <alignment horizontal="center" vertical="center"/>
    </xf>
    <xf numFmtId="165" fontId="35" fillId="6" borderId="2" xfId="13" applyFont="1" applyFill="1" applyBorder="1" applyAlignment="1">
      <alignment horizontal="center" vertical="center"/>
    </xf>
    <xf numFmtId="165" fontId="35" fillId="6" borderId="2" xfId="13" applyFont="1" applyFill="1" applyBorder="1" applyAlignment="1">
      <alignment horizontal="center" vertical="center" wrapText="1"/>
    </xf>
    <xf numFmtId="165" fontId="0" fillId="0" borderId="0" xfId="13" applyFont="1" applyAlignment="1">
      <alignment horizontal="left"/>
    </xf>
    <xf numFmtId="165" fontId="0" fillId="0" borderId="0" xfId="13" applyFont="1" applyAlignment="1">
      <alignment horizontal="center"/>
    </xf>
    <xf numFmtId="165" fontId="22" fillId="6" borderId="2" xfId="13" applyFont="1" applyFill="1" applyBorder="1" applyAlignment="1">
      <alignment horizontal="center" vertical="center"/>
    </xf>
    <xf numFmtId="177" fontId="35" fillId="6" borderId="2" xfId="13" applyNumberFormat="1" applyFont="1" applyFill="1" applyBorder="1" applyAlignment="1">
      <alignment horizontal="center" vertical="center" wrapText="1"/>
    </xf>
    <xf numFmtId="0" fontId="26" fillId="0" borderId="13" xfId="0" applyFont="1" applyBorder="1" applyAlignment="1" applyProtection="1">
      <alignment horizontal="left" vertical="center" wrapText="1"/>
      <protection locked="0"/>
    </xf>
    <xf numFmtId="0" fontId="26" fillId="0" borderId="14" xfId="0" applyFont="1" applyBorder="1" applyAlignment="1" applyProtection="1">
      <alignment horizontal="left" vertical="center" wrapText="1"/>
      <protection locked="0"/>
    </xf>
    <xf numFmtId="0" fontId="26" fillId="0" borderId="18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>
      <alignment horizontal="left" vertical="justify"/>
    </xf>
    <xf numFmtId="0" fontId="8" fillId="0" borderId="4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44" fontId="32" fillId="0" borderId="32" xfId="24" applyFont="1" applyBorder="1" applyAlignment="1">
      <alignment horizontal="center" vertical="center"/>
    </xf>
    <xf numFmtId="44" fontId="32" fillId="0" borderId="36" xfId="24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justify"/>
    </xf>
    <xf numFmtId="0" fontId="8" fillId="0" borderId="14" xfId="0" applyFont="1" applyBorder="1" applyAlignment="1">
      <alignment horizontal="left" vertical="justify"/>
    </xf>
    <xf numFmtId="0" fontId="8" fillId="0" borderId="5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15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17" xfId="0" applyFont="1" applyBorder="1" applyAlignment="1">
      <alignment horizontal="left"/>
    </xf>
    <xf numFmtId="0" fontId="26" fillId="0" borderId="13" xfId="0" applyFont="1" applyBorder="1" applyAlignment="1" applyProtection="1">
      <alignment horizontal="left" wrapText="1"/>
      <protection locked="0"/>
    </xf>
    <xf numFmtId="0" fontId="26" fillId="0" borderId="14" xfId="0" applyFont="1" applyBorder="1" applyAlignment="1" applyProtection="1">
      <alignment horizontal="left" wrapText="1"/>
      <protection locked="0"/>
    </xf>
    <xf numFmtId="0" fontId="26" fillId="0" borderId="18" xfId="0" applyFont="1" applyBorder="1" applyAlignment="1" applyProtection="1">
      <alignment horizontal="left" wrapText="1"/>
      <protection locked="0"/>
    </xf>
    <xf numFmtId="0" fontId="26" fillId="0" borderId="12" xfId="0" applyFont="1" applyBorder="1" applyAlignment="1" applyProtection="1">
      <alignment horizontal="left"/>
      <protection locked="0"/>
    </xf>
    <xf numFmtId="0" fontId="26" fillId="0" borderId="6" xfId="0" applyFont="1" applyBorder="1" applyAlignment="1" applyProtection="1">
      <alignment horizontal="left"/>
      <protection locked="0"/>
    </xf>
    <xf numFmtId="0" fontId="26" fillId="0" borderId="7" xfId="0" applyFont="1" applyBorder="1" applyAlignment="1" applyProtection="1">
      <alignment horizontal="left"/>
      <protection locked="0"/>
    </xf>
    <xf numFmtId="0" fontId="32" fillId="0" borderId="3" xfId="0" applyFont="1" applyBorder="1" applyAlignment="1">
      <alignment horizontal="right" vertical="center"/>
    </xf>
    <xf numFmtId="0" fontId="32" fillId="0" borderId="22" xfId="0" applyFont="1" applyBorder="1" applyAlignment="1">
      <alignment horizontal="right" vertical="center"/>
    </xf>
    <xf numFmtId="0" fontId="32" fillId="0" borderId="23" xfId="0" applyFont="1" applyBorder="1" applyAlignment="1">
      <alignment horizontal="right" vertical="center"/>
    </xf>
    <xf numFmtId="0" fontId="26" fillId="0" borderId="13" xfId="0" applyFont="1" applyBorder="1" applyAlignment="1" applyProtection="1">
      <alignment horizontal="left"/>
      <protection locked="0"/>
    </xf>
    <xf numFmtId="0" fontId="26" fillId="0" borderId="14" xfId="0" applyFont="1" applyBorder="1" applyAlignment="1" applyProtection="1">
      <alignment horizontal="left"/>
      <protection locked="0"/>
    </xf>
    <xf numFmtId="0" fontId="28" fillId="0" borderId="0" xfId="0" applyFont="1" applyAlignment="1">
      <alignment horizontal="center" vertical="center"/>
    </xf>
    <xf numFmtId="0" fontId="25" fillId="0" borderId="13" xfId="0" applyFont="1" applyBorder="1" applyAlignment="1">
      <alignment horizontal="left" wrapText="1"/>
    </xf>
    <xf numFmtId="0" fontId="25" fillId="0" borderId="14" xfId="0" applyFont="1" applyBorder="1" applyAlignment="1">
      <alignment horizontal="left" wrapText="1"/>
    </xf>
    <xf numFmtId="0" fontId="25" fillId="0" borderId="18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8" fillId="0" borderId="12" xfId="0" applyFont="1" applyBorder="1" applyAlignment="1">
      <alignment horizontal="left" vertical="justify"/>
    </xf>
    <xf numFmtId="0" fontId="8" fillId="0" borderId="6" xfId="0" applyFont="1" applyBorder="1" applyAlignment="1">
      <alignment horizontal="left" vertical="justify"/>
    </xf>
    <xf numFmtId="0" fontId="8" fillId="0" borderId="19" xfId="0" applyFont="1" applyBorder="1" applyAlignment="1">
      <alignment horizontal="left" vertical="justify"/>
    </xf>
    <xf numFmtId="0" fontId="31" fillId="0" borderId="33" xfId="0" applyFont="1" applyBorder="1" applyAlignment="1">
      <alignment horizontal="right" vertical="center" wrapText="1"/>
    </xf>
    <xf numFmtId="0" fontId="31" fillId="0" borderId="34" xfId="0" applyFont="1" applyBorder="1" applyAlignment="1">
      <alignment horizontal="right" vertical="center" wrapText="1"/>
    </xf>
    <xf numFmtId="0" fontId="31" fillId="0" borderId="35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6" fillId="0" borderId="18" xfId="0" applyFont="1" applyBorder="1" applyAlignment="1" applyProtection="1">
      <alignment horizontal="left"/>
      <protection locked="0"/>
    </xf>
    <xf numFmtId="0" fontId="26" fillId="0" borderId="38" xfId="0" applyFont="1" applyBorder="1" applyAlignment="1" applyProtection="1">
      <alignment horizontal="left" vertical="center"/>
      <protection locked="0"/>
    </xf>
    <xf numFmtId="0" fontId="26" fillId="0" borderId="16" xfId="0" applyFont="1" applyBorder="1" applyAlignment="1" applyProtection="1">
      <alignment horizontal="left" vertical="center"/>
      <protection locked="0"/>
    </xf>
    <xf numFmtId="0" fontId="26" fillId="0" borderId="39" xfId="0" applyFont="1" applyBorder="1" applyAlignment="1" applyProtection="1">
      <alignment horizontal="left" vertical="center"/>
      <protection locked="0"/>
    </xf>
    <xf numFmtId="0" fontId="26" fillId="0" borderId="13" xfId="0" applyFont="1" applyBorder="1" applyAlignment="1" applyProtection="1">
      <alignment horizontal="left" vertical="center"/>
      <protection locked="0"/>
    </xf>
    <xf numFmtId="0" fontId="26" fillId="0" borderId="14" xfId="0" applyFont="1" applyBorder="1" applyAlignment="1" applyProtection="1">
      <alignment horizontal="left" vertical="center"/>
      <protection locked="0"/>
    </xf>
    <xf numFmtId="0" fontId="26" fillId="0" borderId="18" xfId="0" applyFont="1" applyBorder="1" applyAlignment="1" applyProtection="1">
      <alignment horizontal="left" vertical="center"/>
      <protection locked="0"/>
    </xf>
    <xf numFmtId="0" fontId="14" fillId="0" borderId="14" xfId="0" applyFont="1" applyBorder="1" applyAlignment="1" applyProtection="1">
      <alignment horizontal="left"/>
      <protection locked="0"/>
    </xf>
    <xf numFmtId="0" fontId="14" fillId="0" borderId="18" xfId="0" applyFont="1" applyBorder="1" applyAlignment="1" applyProtection="1">
      <alignment horizontal="left"/>
      <protection locked="0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3" fillId="0" borderId="0" xfId="20" applyFont="1" applyAlignment="1">
      <alignment horizontal="left"/>
    </xf>
    <xf numFmtId="0" fontId="4" fillId="0" borderId="16" xfId="20" applyBorder="1" applyAlignment="1">
      <alignment horizontal="center" vertical="center"/>
    </xf>
    <xf numFmtId="0" fontId="16" fillId="0" borderId="0" xfId="20" applyFont="1" applyAlignment="1">
      <alignment horizontal="right" vertical="center"/>
    </xf>
    <xf numFmtId="0" fontId="17" fillId="0" borderId="0" xfId="20" applyFont="1" applyAlignment="1">
      <alignment horizontal="center"/>
    </xf>
    <xf numFmtId="0" fontId="16" fillId="0" borderId="0" xfId="20" quotePrefix="1" applyFont="1" applyAlignment="1">
      <alignment horizontal="left" vertical="center"/>
    </xf>
    <xf numFmtId="0" fontId="16" fillId="0" borderId="0" xfId="20" applyFont="1" applyAlignment="1">
      <alignment horizontal="left" vertical="center"/>
    </xf>
    <xf numFmtId="0" fontId="16" fillId="0" borderId="0" xfId="20" applyFont="1" applyAlignment="1">
      <alignment horizontal="center" vertical="top"/>
    </xf>
    <xf numFmtId="0" fontId="4" fillId="0" borderId="2" xfId="20" applyBorder="1" applyAlignment="1">
      <alignment horizontal="center" vertical="center" wrapText="1"/>
    </xf>
    <xf numFmtId="49" fontId="4" fillId="2" borderId="12" xfId="20" applyNumberFormat="1" applyFill="1" applyBorder="1" applyAlignment="1">
      <alignment horizontal="left" vertical="top" wrapText="1"/>
    </xf>
    <xf numFmtId="49" fontId="4" fillId="2" borderId="6" xfId="20" applyNumberFormat="1" applyFill="1" applyBorder="1" applyAlignment="1">
      <alignment horizontal="left" vertical="top" wrapText="1"/>
    </xf>
    <xf numFmtId="49" fontId="4" fillId="2" borderId="7" xfId="20" applyNumberFormat="1" applyFill="1" applyBorder="1" applyAlignment="1">
      <alignment horizontal="left" vertical="top" wrapText="1"/>
    </xf>
    <xf numFmtId="0" fontId="4" fillId="0" borderId="0" xfId="20" applyAlignment="1">
      <alignment horizontal="left" vertical="center"/>
    </xf>
    <xf numFmtId="0" fontId="4" fillId="0" borderId="0" xfId="20" applyAlignment="1">
      <alignment horizontal="left"/>
    </xf>
    <xf numFmtId="0" fontId="14" fillId="0" borderId="0" xfId="20" applyFont="1" applyAlignment="1">
      <alignment horizontal="left" vertical="center"/>
    </xf>
    <xf numFmtId="175" fontId="4" fillId="0" borderId="0" xfId="20" applyNumberFormat="1" applyAlignment="1" applyProtection="1">
      <alignment horizontal="center"/>
      <protection locked="0"/>
    </xf>
    <xf numFmtId="49" fontId="13" fillId="0" borderId="0" xfId="20" applyNumberFormat="1" applyFont="1" applyAlignment="1" applyProtection="1">
      <alignment horizontal="left"/>
      <protection locked="0"/>
    </xf>
    <xf numFmtId="0" fontId="4" fillId="0" borderId="0" xfId="20" applyAlignment="1">
      <alignment horizontal="center" vertical="center"/>
    </xf>
    <xf numFmtId="0" fontId="13" fillId="0" borderId="2" xfId="20" applyFont="1" applyBorder="1" applyAlignment="1">
      <alignment horizontal="left" wrapText="1"/>
    </xf>
    <xf numFmtId="10" fontId="13" fillId="2" borderId="2" xfId="20" applyNumberFormat="1" applyFont="1" applyFill="1" applyBorder="1" applyAlignment="1" applyProtection="1">
      <alignment horizontal="center"/>
      <protection locked="0"/>
    </xf>
    <xf numFmtId="0" fontId="13" fillId="0" borderId="2" xfId="20" applyFont="1" applyBorder="1" applyAlignment="1">
      <alignment horizontal="left"/>
    </xf>
    <xf numFmtId="0" fontId="14" fillId="0" borderId="2" xfId="20" applyFont="1" applyBorder="1" applyAlignment="1">
      <alignment horizontal="center" vertical="center"/>
    </xf>
    <xf numFmtId="4" fontId="14" fillId="0" borderId="2" xfId="20" applyNumberFormat="1" applyFont="1" applyBorder="1" applyAlignment="1">
      <alignment horizontal="center" vertical="center" wrapText="1"/>
    </xf>
    <xf numFmtId="0" fontId="14" fillId="0" borderId="2" xfId="20" applyFont="1" applyBorder="1" applyAlignment="1">
      <alignment horizontal="center"/>
    </xf>
    <xf numFmtId="0" fontId="13" fillId="0" borderId="2" xfId="20" applyFont="1" applyBorder="1" applyAlignment="1">
      <alignment horizontal="left" vertical="center"/>
    </xf>
    <xf numFmtId="0" fontId="13" fillId="0" borderId="2" xfId="20" applyFont="1" applyBorder="1" applyAlignment="1">
      <alignment horizontal="left" vertical="center" wrapText="1"/>
    </xf>
    <xf numFmtId="0" fontId="15" fillId="0" borderId="2" xfId="20" applyFont="1" applyBorder="1" applyAlignment="1">
      <alignment horizontal="left" vertical="center" wrapText="1"/>
    </xf>
    <xf numFmtId="0" fontId="10" fillId="0" borderId="15" xfId="21" applyFont="1" applyBorder="1" applyAlignment="1">
      <alignment horizontal="left" vertical="top"/>
    </xf>
    <xf numFmtId="0" fontId="10" fillId="0" borderId="0" xfId="21" applyFont="1" applyAlignment="1">
      <alignment horizontal="left" vertical="top"/>
    </xf>
    <xf numFmtId="0" fontId="10" fillId="0" borderId="17" xfId="21" applyFont="1" applyBorder="1" applyAlignment="1">
      <alignment horizontal="left" vertical="top"/>
    </xf>
    <xf numFmtId="2" fontId="19" fillId="0" borderId="2" xfId="20" applyNumberFormat="1" applyFont="1" applyBorder="1" applyAlignment="1">
      <alignment horizontal="center" vertical="center"/>
    </xf>
    <xf numFmtId="0" fontId="8" fillId="0" borderId="0" xfId="20" applyFont="1" applyAlignment="1">
      <alignment horizontal="center"/>
    </xf>
    <xf numFmtId="49" fontId="0" fillId="0" borderId="13" xfId="20" applyNumberFormat="1" applyFont="1" applyBorder="1" applyAlignment="1">
      <alignment horizontal="left" vertical="top" wrapText="1"/>
    </xf>
    <xf numFmtId="49" fontId="0" fillId="0" borderId="14" xfId="20" applyNumberFormat="1" applyFont="1" applyBorder="1" applyAlignment="1">
      <alignment horizontal="left" vertical="top" wrapText="1"/>
    </xf>
    <xf numFmtId="49" fontId="0" fillId="0" borderId="18" xfId="20" applyNumberFormat="1" applyFont="1" applyBorder="1" applyAlignment="1">
      <alignment horizontal="left" vertical="top" wrapText="1"/>
    </xf>
    <xf numFmtId="0" fontId="13" fillId="0" borderId="10" xfId="22" applyNumberFormat="1" applyFont="1" applyFill="1" applyBorder="1" applyAlignment="1" applyProtection="1">
      <alignment horizontal="left" vertical="center" wrapText="1"/>
    </xf>
    <xf numFmtId="174" fontId="13" fillId="2" borderId="13" xfId="22" applyFont="1" applyFill="1" applyBorder="1" applyAlignment="1" applyProtection="1">
      <alignment horizontal="left" wrapText="1"/>
      <protection locked="0"/>
    </xf>
    <xf numFmtId="174" fontId="13" fillId="2" borderId="14" xfId="22" applyFont="1" applyFill="1" applyBorder="1" applyAlignment="1" applyProtection="1">
      <alignment horizontal="left" wrapText="1"/>
      <protection locked="0"/>
    </xf>
    <xf numFmtId="174" fontId="13" fillId="2" borderId="18" xfId="22" applyFont="1" applyFill="1" applyBorder="1" applyAlignment="1" applyProtection="1">
      <alignment horizontal="left" wrapText="1"/>
      <protection locked="0"/>
    </xf>
    <xf numFmtId="0" fontId="4" fillId="2" borderId="13" xfId="20" applyFill="1" applyBorder="1" applyAlignment="1" applyProtection="1">
      <alignment horizontal="center" vertical="top" wrapText="1"/>
      <protection locked="0"/>
    </xf>
    <xf numFmtId="0" fontId="4" fillId="2" borderId="18" xfId="20" applyFill="1" applyBorder="1" applyAlignment="1" applyProtection="1">
      <alignment horizontal="center" vertical="top" wrapText="1"/>
      <protection locked="0"/>
    </xf>
    <xf numFmtId="49" fontId="23" fillId="7" borderId="25" xfId="0" applyNumberFormat="1" applyFont="1" applyFill="1" applyBorder="1" applyAlignment="1">
      <alignment horizontal="center" vertical="center"/>
    </xf>
    <xf numFmtId="49" fontId="23" fillId="7" borderId="26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6" fillId="0" borderId="15" xfId="0" applyFont="1" applyBorder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17" xfId="0" applyFont="1" applyBorder="1" applyAlignment="1" applyProtection="1">
      <alignment horizontal="left" vertical="center"/>
      <protection locked="0"/>
    </xf>
    <xf numFmtId="0" fontId="29" fillId="0" borderId="0" xfId="0" applyFont="1" applyAlignment="1" applyProtection="1">
      <alignment horizontal="left" vertical="center" wrapText="1"/>
      <protection locked="0"/>
    </xf>
    <xf numFmtId="173" fontId="8" fillId="0" borderId="5" xfId="0" quotePrefix="1" applyNumberFormat="1" applyFont="1" applyBorder="1" applyAlignment="1">
      <alignment horizontal="right" vertical="top"/>
    </xf>
    <xf numFmtId="173" fontId="8" fillId="0" borderId="7" xfId="0" quotePrefix="1" applyNumberFormat="1" applyFont="1" applyBorder="1" applyAlignment="1">
      <alignment horizontal="right" vertical="top"/>
    </xf>
    <xf numFmtId="173" fontId="8" fillId="0" borderId="4" xfId="0" quotePrefix="1" applyNumberFormat="1" applyFont="1" applyBorder="1" applyAlignment="1">
      <alignment horizontal="right" vertical="top"/>
    </xf>
    <xf numFmtId="173" fontId="8" fillId="0" borderId="2" xfId="0" quotePrefix="1" applyNumberFormat="1" applyFont="1" applyBorder="1" applyAlignment="1">
      <alignment horizontal="right" vertical="top"/>
    </xf>
    <xf numFmtId="173" fontId="8" fillId="0" borderId="8" xfId="0" quotePrefix="1" applyNumberFormat="1" applyFont="1" applyBorder="1" applyAlignment="1">
      <alignment horizontal="right" vertical="top"/>
    </xf>
    <xf numFmtId="173" fontId="8" fillId="0" borderId="27" xfId="0" quotePrefix="1" applyNumberFormat="1" applyFont="1" applyBorder="1" applyAlignment="1">
      <alignment horizontal="right" vertical="top"/>
    </xf>
    <xf numFmtId="173" fontId="8" fillId="0" borderId="30" xfId="0" quotePrefix="1" applyNumberFormat="1" applyFont="1" applyBorder="1" applyAlignment="1">
      <alignment horizontal="right" vertical="top"/>
    </xf>
    <xf numFmtId="173" fontId="8" fillId="0" borderId="28" xfId="0" quotePrefix="1" applyNumberFormat="1" applyFont="1" applyBorder="1" applyAlignment="1">
      <alignment horizontal="right" vertical="top"/>
    </xf>
    <xf numFmtId="0" fontId="8" fillId="0" borderId="5" xfId="0" applyFont="1" applyBorder="1" applyAlignment="1">
      <alignment horizontal="center" vertical="justify"/>
    </xf>
    <xf numFmtId="0" fontId="8" fillId="0" borderId="19" xfId="0" applyFont="1" applyBorder="1" applyAlignment="1">
      <alignment horizontal="center" vertical="justify"/>
    </xf>
    <xf numFmtId="0" fontId="8" fillId="0" borderId="2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5" fontId="22" fillId="5" borderId="2" xfId="13" applyFont="1" applyFill="1" applyBorder="1" applyAlignment="1">
      <alignment horizontal="center" vertical="center" wrapText="1"/>
    </xf>
    <xf numFmtId="165" fontId="30" fillId="5" borderId="2" xfId="13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left" vertical="center"/>
    </xf>
    <xf numFmtId="0" fontId="22" fillId="6" borderId="6" xfId="0" applyFont="1" applyFill="1" applyBorder="1" applyAlignment="1">
      <alignment horizontal="left" vertical="center"/>
    </xf>
    <xf numFmtId="0" fontId="22" fillId="6" borderId="7" xfId="0" applyFont="1" applyFill="1" applyBorder="1" applyAlignment="1">
      <alignment horizontal="left" vertical="center"/>
    </xf>
    <xf numFmtId="0" fontId="22" fillId="6" borderId="2" xfId="0" applyFont="1" applyFill="1" applyBorder="1" applyAlignment="1">
      <alignment horizontal="left" vertical="center"/>
    </xf>
    <xf numFmtId="165" fontId="35" fillId="6" borderId="12" xfId="13" applyFont="1" applyFill="1" applyBorder="1" applyAlignment="1">
      <alignment horizontal="center" vertical="center"/>
    </xf>
    <xf numFmtId="165" fontId="35" fillId="6" borderId="6" xfId="13" applyFont="1" applyFill="1" applyBorder="1" applyAlignment="1">
      <alignment horizontal="center" vertical="center"/>
    </xf>
    <xf numFmtId="165" fontId="35" fillId="6" borderId="7" xfId="13" applyFont="1" applyFill="1" applyBorder="1" applyAlignment="1">
      <alignment horizontal="center" vertical="center"/>
    </xf>
    <xf numFmtId="165" fontId="4" fillId="0" borderId="0" xfId="13" applyFont="1" applyAlignment="1">
      <alignment horizontal="center"/>
    </xf>
    <xf numFmtId="0" fontId="22" fillId="5" borderId="2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left" vertical="center" wrapText="1"/>
    </xf>
    <xf numFmtId="165" fontId="10" fillId="0" borderId="0" xfId="13" applyFont="1" applyAlignment="1">
      <alignment horizontal="left"/>
    </xf>
    <xf numFmtId="165" fontId="35" fillId="6" borderId="12" xfId="13" applyFont="1" applyFill="1" applyBorder="1" applyAlignment="1">
      <alignment horizontal="left" vertical="center" wrapText="1"/>
    </xf>
    <xf numFmtId="165" fontId="35" fillId="6" borderId="6" xfId="13" applyFont="1" applyFill="1" applyBorder="1" applyAlignment="1">
      <alignment horizontal="left" vertical="center" wrapText="1"/>
    </xf>
    <xf numFmtId="165" fontId="35" fillId="6" borderId="7" xfId="13" applyFont="1" applyFill="1" applyBorder="1" applyAlignment="1">
      <alignment horizontal="left" vertical="center" wrapText="1"/>
    </xf>
    <xf numFmtId="165" fontId="35" fillId="6" borderId="12" xfId="13" applyFont="1" applyFill="1" applyBorder="1" applyAlignment="1">
      <alignment horizontal="center" vertical="center" wrapText="1"/>
    </xf>
    <xf numFmtId="165" fontId="35" fillId="6" borderId="6" xfId="13" applyFont="1" applyFill="1" applyBorder="1" applyAlignment="1">
      <alignment horizontal="center" vertical="center" wrapText="1"/>
    </xf>
    <xf numFmtId="165" fontId="35" fillId="6" borderId="7" xfId="13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right"/>
    </xf>
    <xf numFmtId="0" fontId="10" fillId="0" borderId="6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10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0" fontId="14" fillId="4" borderId="12" xfId="26" applyNumberFormat="1" applyFont="1" applyFill="1" applyBorder="1" applyAlignment="1">
      <alignment horizontal="left" vertical="center"/>
    </xf>
    <xf numFmtId="0" fontId="14" fillId="4" borderId="6" xfId="26" applyNumberFormat="1" applyFont="1" applyFill="1" applyBorder="1" applyAlignment="1">
      <alignment horizontal="left" vertical="center"/>
    </xf>
    <xf numFmtId="0" fontId="14" fillId="4" borderId="7" xfId="26" applyNumberFormat="1" applyFont="1" applyFill="1" applyBorder="1" applyAlignment="1">
      <alignment horizontal="left" vertical="center"/>
    </xf>
    <xf numFmtId="165" fontId="14" fillId="4" borderId="12" xfId="13" applyFont="1" applyFill="1" applyBorder="1" applyAlignment="1">
      <alignment horizontal="left" vertical="center"/>
    </xf>
    <xf numFmtId="165" fontId="14" fillId="4" borderId="6" xfId="13" applyFont="1" applyFill="1" applyBorder="1" applyAlignment="1">
      <alignment horizontal="left" vertical="center"/>
    </xf>
    <xf numFmtId="165" fontId="14" fillId="4" borderId="7" xfId="13" applyFont="1" applyFill="1" applyBorder="1" applyAlignment="1">
      <alignment horizontal="left" vertical="center"/>
    </xf>
    <xf numFmtId="0" fontId="8" fillId="0" borderId="2" xfId="26" applyNumberFormat="1" applyFont="1" applyBorder="1" applyAlignment="1">
      <alignment horizontal="left" vertical="center" wrapText="1" indent="1"/>
    </xf>
    <xf numFmtId="165" fontId="10" fillId="0" borderId="2" xfId="13" applyFont="1" applyBorder="1" applyAlignment="1">
      <alignment horizontal="left" vertical="center" wrapText="1" indent="1"/>
    </xf>
    <xf numFmtId="0" fontId="7" fillId="0" borderId="13" xfId="26" applyNumberFormat="1" applyFont="1" applyBorder="1" applyAlignment="1">
      <alignment horizontal="center" vertical="center"/>
    </xf>
    <xf numFmtId="0" fontId="7" fillId="0" borderId="14" xfId="26" applyNumberFormat="1" applyFont="1" applyBorder="1" applyAlignment="1">
      <alignment horizontal="center" vertical="center"/>
    </xf>
    <xf numFmtId="0" fontId="21" fillId="3" borderId="15" xfId="25" applyFont="1" applyFill="1" applyBorder="1" applyAlignment="1">
      <alignment horizontal="center"/>
    </xf>
    <xf numFmtId="0" fontId="21" fillId="3" borderId="0" xfId="25" applyFont="1" applyFill="1" applyAlignment="1">
      <alignment horizontal="center"/>
    </xf>
    <xf numFmtId="0" fontId="14" fillId="0" borderId="12" xfId="26" applyNumberFormat="1" applyFont="1" applyBorder="1" applyAlignment="1">
      <alignment horizontal="left" vertical="center"/>
    </xf>
    <xf numFmtId="0" fontId="14" fillId="0" borderId="6" xfId="26" applyNumberFormat="1" applyFont="1" applyBorder="1" applyAlignment="1">
      <alignment horizontal="left" vertical="center"/>
    </xf>
    <xf numFmtId="0" fontId="14" fillId="0" borderId="7" xfId="26" applyNumberFormat="1" applyFont="1" applyBorder="1" applyAlignment="1">
      <alignment horizontal="left" vertical="center"/>
    </xf>
    <xf numFmtId="165" fontId="7" fillId="4" borderId="11" xfId="13" applyFont="1" applyFill="1" applyBorder="1" applyAlignment="1">
      <alignment horizontal="center" vertical="center"/>
    </xf>
    <xf numFmtId="165" fontId="7" fillId="4" borderId="10" xfId="13" applyFont="1" applyFill="1" applyBorder="1" applyAlignment="1">
      <alignment horizontal="center" vertical="center"/>
    </xf>
    <xf numFmtId="44" fontId="7" fillId="4" borderId="2" xfId="24" applyFont="1" applyFill="1" applyBorder="1" applyAlignment="1">
      <alignment horizontal="center" vertical="center"/>
    </xf>
    <xf numFmtId="0" fontId="14" fillId="0" borderId="2" xfId="26" applyNumberFormat="1" applyFont="1" applyBorder="1" applyAlignment="1">
      <alignment horizontal="left" vertical="center" wrapText="1" indent="1"/>
    </xf>
    <xf numFmtId="0" fontId="22" fillId="5" borderId="11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/>
    </xf>
    <xf numFmtId="165" fontId="22" fillId="5" borderId="11" xfId="13" applyFont="1" applyFill="1" applyBorder="1" applyAlignment="1">
      <alignment horizontal="center" vertical="center" wrapText="1"/>
    </xf>
    <xf numFmtId="165" fontId="22" fillId="5" borderId="10" xfId="13" applyFont="1" applyFill="1" applyBorder="1" applyAlignment="1">
      <alignment horizontal="center" vertical="center" wrapText="1"/>
    </xf>
    <xf numFmtId="0" fontId="14" fillId="6" borderId="2" xfId="20" applyFont="1" applyFill="1" applyBorder="1" applyAlignment="1">
      <alignment horizontal="left" vertical="center"/>
    </xf>
    <xf numFmtId="0" fontId="14" fillId="6" borderId="2" xfId="2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9" fontId="0" fillId="0" borderId="11" xfId="0" applyNumberFormat="1" applyBorder="1" applyAlignment="1">
      <alignment horizontal="left" vertical="center" wrapText="1"/>
    </xf>
    <xf numFmtId="9" fontId="0" fillId="0" borderId="10" xfId="0" applyNumberFormat="1" applyBorder="1" applyAlignment="1">
      <alignment horizontal="left" vertical="center" wrapText="1"/>
    </xf>
    <xf numFmtId="165" fontId="10" fillId="0" borderId="11" xfId="13" applyFont="1" applyBorder="1" applyAlignment="1">
      <alignment horizontal="center" vertical="center" wrapText="1"/>
    </xf>
    <xf numFmtId="165" fontId="10" fillId="0" borderId="10" xfId="13" applyFont="1" applyBorder="1" applyAlignment="1">
      <alignment horizontal="center" vertical="center" wrapText="1"/>
    </xf>
    <xf numFmtId="165" fontId="4" fillId="0" borderId="12" xfId="13" applyFont="1" applyBorder="1" applyAlignment="1">
      <alignment horizontal="center" vertical="center" wrapText="1"/>
    </xf>
    <xf numFmtId="165" fontId="0" fillId="0" borderId="6" xfId="13" applyFont="1" applyBorder="1" applyAlignment="1">
      <alignment horizontal="center" vertical="center" wrapText="1"/>
    </xf>
    <xf numFmtId="165" fontId="0" fillId="0" borderId="7" xfId="13" applyFont="1" applyBorder="1" applyAlignment="1">
      <alignment horizontal="center" vertical="center" wrapText="1"/>
    </xf>
    <xf numFmtId="165" fontId="0" fillId="0" borderId="12" xfId="13" applyFont="1" applyBorder="1" applyAlignment="1">
      <alignment horizontal="left" vertical="center" wrapText="1"/>
    </xf>
    <xf numFmtId="165" fontId="0" fillId="0" borderId="6" xfId="13" applyFont="1" applyBorder="1" applyAlignment="1">
      <alignment horizontal="left" vertical="center" wrapText="1"/>
    </xf>
    <xf numFmtId="165" fontId="0" fillId="0" borderId="7" xfId="13" applyFont="1" applyBorder="1" applyAlignment="1">
      <alignment horizontal="left" vertical="center" wrapText="1"/>
    </xf>
  </cellXfs>
  <cellStyles count="31">
    <cellStyle name="Comma [0]" xfId="1" xr:uid="{00000000-0005-0000-0000-000000000000}"/>
    <cellStyle name="Comma 2" xfId="26" xr:uid="{00000000-0005-0000-0000-000001000000}"/>
    <cellStyle name="Currency [0]" xfId="2" xr:uid="{00000000-0005-0000-0000-000002000000}"/>
    <cellStyle name="Data" xfId="3" xr:uid="{00000000-0005-0000-0000-000003000000}"/>
    <cellStyle name="Euro" xfId="4" xr:uid="{00000000-0005-0000-0000-000004000000}"/>
    <cellStyle name="Fixo" xfId="5" xr:uid="{00000000-0005-0000-0000-000005000000}"/>
    <cellStyle name="Moeda" xfId="24" builtinId="4"/>
    <cellStyle name="Moeda 2" xfId="6" xr:uid="{00000000-0005-0000-0000-000007000000}"/>
    <cellStyle name="Moeda_Composicao BDI v2.1" xfId="22" xr:uid="{00000000-0005-0000-0000-000008000000}"/>
    <cellStyle name="Normal" xfId="0" builtinId="0"/>
    <cellStyle name="Normal 2" xfId="7" xr:uid="{00000000-0005-0000-0000-00000A000000}"/>
    <cellStyle name="Normal 2 2" xfId="20" xr:uid="{00000000-0005-0000-0000-00000B000000}"/>
    <cellStyle name="Normal 3" xfId="28" xr:uid="{00000000-0005-0000-0000-00000C000000}"/>
    <cellStyle name="Normal 3 2" xfId="27" xr:uid="{00000000-0005-0000-0000-00000D000000}"/>
    <cellStyle name="Normal 4" xfId="30" xr:uid="{00000000-0005-0000-0000-00000E000000}"/>
    <cellStyle name="Normal 7" xfId="25" xr:uid="{00000000-0005-0000-0000-00000F000000}"/>
    <cellStyle name="Normal_FICHA DE VERIFICAÇÃO PRELIMINAR - Plano R" xfId="21" xr:uid="{00000000-0005-0000-0000-000010000000}"/>
    <cellStyle name="Percentual" xfId="8" xr:uid="{00000000-0005-0000-0000-000011000000}"/>
    <cellStyle name="Ponto" xfId="9" xr:uid="{00000000-0005-0000-0000-000012000000}"/>
    <cellStyle name="Porcentagem" xfId="10" builtinId="5"/>
    <cellStyle name="Porcentagem 2" xfId="11" xr:uid="{00000000-0005-0000-0000-000014000000}"/>
    <cellStyle name="Porcentagem 2 2" xfId="23" xr:uid="{00000000-0005-0000-0000-000015000000}"/>
    <cellStyle name="Porcentagem 3" xfId="12" xr:uid="{00000000-0005-0000-0000-000016000000}"/>
    <cellStyle name="Separador de milhares 2" xfId="14" xr:uid="{00000000-0005-0000-0000-000017000000}"/>
    <cellStyle name="Separador de milhares 2 2" xfId="15" xr:uid="{00000000-0005-0000-0000-000018000000}"/>
    <cellStyle name="Separador de milhares 3" xfId="16" xr:uid="{00000000-0005-0000-0000-000019000000}"/>
    <cellStyle name="Titulo1" xfId="17" xr:uid="{00000000-0005-0000-0000-00001A000000}"/>
    <cellStyle name="Titulo2" xfId="18" xr:uid="{00000000-0005-0000-0000-00001B000000}"/>
    <cellStyle name="Total" xfId="19" builtinId="25" customBuiltin="1"/>
    <cellStyle name="Vírgula" xfId="13" builtinId="3"/>
    <cellStyle name="Vírgula 2" xfId="29" xr:uid="{00000000-0005-0000-0000-00001E000000}"/>
  </cellStyles>
  <dxfs count="6">
    <dxf>
      <font>
        <color theme="0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2\orcament\ORGAOS\INFRAERO\Concorr&#234;ncia\CO%20009%202003%20Aerop%20Udia\Planilha%20Or&#231;ament&#225;ria%20-%20Brig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2\ORCAMENT\CIDADES\OSASCO\Concorr&#234;ncia\Cp%20028-02\Anexo%20III%20-%20Planilha%20de%20Or&#231;amento\Planilha%20de%20Or&#231;ament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2\orcament\CIDADES\Uberl&#226;ndia\CP377-99\Planilha%20Proposta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2\ORCAMENT\ORGAOS\COPASA\TOMADAPR\DVLI.0.103-00-TNO\Dvli.0.103-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&#233;lio\Meus%20documentos\Medi&#231;&#245;es%20SCO%20MI\Documents%20and%20Settings\Admin\Meus%20documentos\Buritis\Planilhas%20ESGOTO%20Buritis\PLAN_ESG%20BURITIS%20REDE%20BACIA%20A%20%20rede%20condominial%2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1\ORCAMENT\ProducaoGeral\CTR%20-%20Pre&#231;os\Pre&#231;os%20CTR%20industria%20%2025-07-2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C&#233;lio\Meus%20documentos\PROJETOS%20PREFEITURA%20BURITIS%20(ELOILTON)03-06-2011\PAVIMENTA&#199;&#195;O%20BAIRRO%20VEREDAS\Fechamento%20Veredas\CTR%20-%20Pre&#231;os\Pre&#231;os%20CTR%20industria%20T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2\ORCAMENT\Or&#231;amento\Planilhas%20Or&#231;amento\HomeHor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2\ORCAMENT\Or&#231;amento\Planilhas%20Or&#231;amento\BDITAX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UDI1\users\ProducaoGeral\CTR%20-%20Pre&#231;os\Pre&#231;os%20CTR%20Tubos%20%2017-04-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rosoft/Desktop/&#193;REA%20DE%20TRABALHO%2020-09-2023/Planilha%20Urucuia%20PM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ço"/>
      <sheetName val="Planilha de Preço"/>
      <sheetName val="Cronograma"/>
      <sheetName val="Demonstrativo B.D.I.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ódulo4"/>
      <sheetName val="Módulo3"/>
      <sheetName val="Módulo2"/>
      <sheetName val="Módulo1"/>
      <sheetName val="Custo"/>
      <sheetName val="Preço"/>
      <sheetName val="demons"/>
      <sheetName val="demons (2)"/>
      <sheetName val="pci"/>
      <sheetName val="Orçamento"/>
      <sheetName val="mão de obra"/>
      <sheetName val="MO-EQUIP"/>
      <sheetName val="SEGURANÇA"/>
      <sheetName val="Indiretos"/>
      <sheetName val="Crono"/>
      <sheetName val="LocFormas"/>
      <sheetName val="formas"/>
      <sheetName val="LevGaleria"/>
      <sheetName val="planilha transp"/>
      <sheetName val="Fresagem"/>
      <sheetName val="composições"/>
      <sheetName val="Escavação"/>
      <sheetName val="frete mf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"/>
      <sheetName val="Preço"/>
      <sheetName val="Custo - contrato"/>
      <sheetName val="Preço-custo-BDI contrato"/>
      <sheetName val="Resumo"/>
      <sheetName val="Planilha Proposta"/>
      <sheetName val="Planilha 10% - SUB EMPREITADA"/>
      <sheetName val="Cronograma"/>
      <sheetName val="Encargos Sociais"/>
      <sheetName val="Demonstrativo B.D.I. não"/>
      <sheetName val="B.D.I."/>
      <sheetName val="Planilha Preços m2"/>
      <sheetName val="Planilha Preços m2 e m.fio"/>
      <sheetName val="Planilha Preços recap m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"/>
      <sheetName val="Preço"/>
      <sheetName val="Planilha DVLI.0.103-00-TNO"/>
      <sheetName val="Comp.Anal. Custo"/>
      <sheetName val="Enc. Sociais"/>
      <sheetName val="B.D.I."/>
      <sheetName val="B.D.I. Demonstrativo"/>
      <sheetName val="Taxa Adm. so materiais"/>
      <sheetName val="B.D.I. Demonstrativo (2)"/>
    </sheetNames>
    <sheetDataSet>
      <sheetData sheetId="0"/>
      <sheetData sheetId="1"/>
      <sheetData sheetId="2"/>
      <sheetData sheetId="3"/>
      <sheetData sheetId="4"/>
      <sheetData sheetId="5">
        <row r="7">
          <cell r="D7">
            <v>22386.5</v>
          </cell>
        </row>
        <row r="12">
          <cell r="D12">
            <v>13000</v>
          </cell>
        </row>
      </sheetData>
      <sheetData sheetId="6"/>
      <sheetData sheetId="7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fábio"/>
    </sheetNames>
    <sheetDataSet>
      <sheetData sheetId="0">
        <row r="13">
          <cell r="G13">
            <v>100</v>
          </cell>
        </row>
        <row r="15">
          <cell r="G15">
            <v>100</v>
          </cell>
        </row>
        <row r="17">
          <cell r="G17">
            <v>100</v>
          </cell>
        </row>
        <row r="19">
          <cell r="G19">
            <v>100</v>
          </cell>
        </row>
        <row r="21">
          <cell r="G21">
            <v>100</v>
          </cell>
        </row>
        <row r="23">
          <cell r="G23">
            <v>100</v>
          </cell>
        </row>
        <row r="25">
          <cell r="G25">
            <v>100</v>
          </cell>
        </row>
        <row r="27">
          <cell r="G27">
            <v>100</v>
          </cell>
        </row>
        <row r="29">
          <cell r="G29">
            <v>100</v>
          </cell>
        </row>
        <row r="31">
          <cell r="G31">
            <v>100</v>
          </cell>
        </row>
        <row r="33">
          <cell r="G33">
            <v>100</v>
          </cell>
        </row>
        <row r="35">
          <cell r="G35">
            <v>100</v>
          </cell>
        </row>
        <row r="37">
          <cell r="G37">
            <v>100</v>
          </cell>
        </row>
        <row r="39">
          <cell r="G39">
            <v>100</v>
          </cell>
        </row>
        <row r="41">
          <cell r="G41">
            <v>100</v>
          </cell>
        </row>
      </sheetData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de Telas"/>
      <sheetName val="Preços insumos"/>
      <sheetName val="Tabela de Produdos"/>
      <sheetName val="Traços concreto"/>
      <sheetName val="Traços CBUQ-PMQ"/>
    </sheetNames>
    <sheetDataSet>
      <sheetData sheetId="0"/>
      <sheetData sheetId="1">
        <row r="11">
          <cell r="F11">
            <v>1.19</v>
          </cell>
        </row>
      </sheetData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de Telas"/>
      <sheetName val="Preços insumos"/>
      <sheetName val="Tabela de Produtos"/>
      <sheetName val="Traços concreto"/>
      <sheetName val="Traços concreto - red. ICMS"/>
      <sheetName val="Traços CBUQ-PMQ"/>
    </sheetNames>
    <sheetDataSet>
      <sheetData sheetId="0"/>
      <sheetData sheetId="1">
        <row r="11">
          <cell r="F11">
            <v>2.75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Salários"/>
      <sheetName val="Equipe"/>
      <sheetName val="Calc"/>
      <sheetName val="Insumos"/>
      <sheetName val="HH"/>
      <sheetName val="Mensal"/>
      <sheetName val="Total"/>
      <sheetName val="Memorial"/>
      <sheetName val="Prog"/>
      <sheetName val="Module1"/>
      <sheetName val="Modul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7">
          <cell r="D27">
            <v>1.2401351210167211</v>
          </cell>
        </row>
      </sheetData>
      <sheetData sheetId="8"/>
      <sheetData sheetId="9">
        <row r="4">
          <cell r="B4">
            <v>1</v>
          </cell>
        </row>
      </sheetData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inistrativo"/>
      <sheetName val="Saída"/>
      <sheetName val="Financ"/>
      <sheetName val="BDI"/>
      <sheetName val="Module2"/>
      <sheetName val="ADM"/>
      <sheetName val="OK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27">
          <cell r="A27">
            <v>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ços insumos"/>
      <sheetName val="Tabela de Produdos"/>
      <sheetName val="Traços concreto"/>
    </sheetNames>
    <sheetDataSet>
      <sheetData sheetId="0">
        <row r="6">
          <cell r="F6">
            <v>3.1689999999999996</v>
          </cell>
        </row>
        <row r="8">
          <cell r="F8">
            <v>3.7004166666666669</v>
          </cell>
        </row>
        <row r="9">
          <cell r="F9">
            <v>4.1120833333333335</v>
          </cell>
        </row>
      </sheetData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çamento"/>
      <sheetName val="MEMÓRIA DE CÁLCULO REV. 0001"/>
      <sheetName val="Cronograma"/>
      <sheetName val="BDI"/>
    </sheetNames>
    <sheetDataSet>
      <sheetData sheetId="0">
        <row r="4">
          <cell r="I4" t="str">
            <v>DATA REFERÊNCIA:  MAR/2023</v>
          </cell>
        </row>
        <row r="9">
          <cell r="E9" t="str">
            <v>m²</v>
          </cell>
        </row>
        <row r="11">
          <cell r="E11"/>
        </row>
        <row r="14">
          <cell r="E14" t="str">
            <v>m³</v>
          </cell>
        </row>
        <row r="23">
          <cell r="E23"/>
        </row>
        <row r="25">
          <cell r="E25" t="str">
            <v>und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"/>
  <sheetViews>
    <sheetView tabSelected="1" view="pageBreakPreview" topLeftCell="A55" zoomScale="70" zoomScaleNormal="80" zoomScaleSheetLayoutView="70" workbookViewId="0">
      <selection activeCell="F63" sqref="F63"/>
    </sheetView>
  </sheetViews>
  <sheetFormatPr defaultRowHeight="13.2" x14ac:dyDescent="0.25"/>
  <cols>
    <col min="1" max="1" width="9.77734375" customWidth="1"/>
    <col min="2" max="2" width="22.21875" bestFit="1" customWidth="1"/>
    <col min="3" max="3" width="93.5546875" customWidth="1"/>
    <col min="4" max="4" width="12.21875" style="22" customWidth="1"/>
    <col min="5" max="5" width="13.33203125" customWidth="1"/>
    <col min="6" max="6" width="23.77734375" bestFit="1" customWidth="1"/>
    <col min="7" max="7" width="23.5546875" customWidth="1"/>
    <col min="8" max="8" width="31.21875" customWidth="1"/>
    <col min="9" max="9" width="23.21875" customWidth="1"/>
    <col min="11" max="11" width="15.33203125" bestFit="1" customWidth="1"/>
    <col min="12" max="12" width="14.33203125" bestFit="1" customWidth="1"/>
    <col min="14" max="14" width="15.33203125" bestFit="1" customWidth="1"/>
  </cols>
  <sheetData>
    <row r="1" spans="1:14" ht="30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</row>
    <row r="2" spans="1:14" ht="15.6" x14ac:dyDescent="0.3">
      <c r="A2" s="91" t="s">
        <v>1</v>
      </c>
      <c r="B2" s="44"/>
      <c r="C2" s="45"/>
      <c r="D2" s="181" t="s">
        <v>2</v>
      </c>
      <c r="E2" s="182"/>
      <c r="F2" s="182"/>
      <c r="G2" s="183"/>
      <c r="H2" s="46"/>
    </row>
    <row r="3" spans="1:14" ht="13.8" x14ac:dyDescent="0.25">
      <c r="A3" s="196" t="s">
        <v>3</v>
      </c>
      <c r="B3" s="197"/>
      <c r="C3" s="198"/>
      <c r="D3" s="184" t="s">
        <v>4</v>
      </c>
      <c r="E3" s="185"/>
      <c r="F3" s="185"/>
      <c r="G3" s="186"/>
      <c r="H3" s="46"/>
    </row>
    <row r="4" spans="1:14" ht="7.95" customHeight="1" x14ac:dyDescent="0.25">
      <c r="A4" s="54"/>
      <c r="B4" s="54"/>
      <c r="C4" s="54"/>
      <c r="D4" s="52"/>
      <c r="E4" s="52"/>
      <c r="F4" s="52"/>
      <c r="G4" s="52"/>
      <c r="H4" s="46"/>
    </row>
    <row r="5" spans="1:14" ht="15.6" x14ac:dyDescent="0.3">
      <c r="A5" s="181" t="s">
        <v>5</v>
      </c>
      <c r="B5" s="182"/>
      <c r="C5" s="183"/>
      <c r="D5" s="181" t="s">
        <v>6</v>
      </c>
      <c r="E5" s="182"/>
      <c r="F5" s="182"/>
      <c r="G5" s="183"/>
      <c r="H5" s="46"/>
    </row>
    <row r="6" spans="1:14" ht="31.95" customHeight="1" x14ac:dyDescent="0.25">
      <c r="A6" s="165" t="s">
        <v>209</v>
      </c>
      <c r="B6" s="166"/>
      <c r="C6" s="167"/>
      <c r="D6" s="165" t="s">
        <v>7</v>
      </c>
      <c r="E6" s="166"/>
      <c r="F6" s="166"/>
      <c r="G6" s="167"/>
      <c r="H6" s="46"/>
    </row>
    <row r="7" spans="1:14" ht="7.95" customHeight="1" x14ac:dyDescent="0.25">
      <c r="A7" s="98"/>
      <c r="B7" s="98"/>
      <c r="C7" s="98"/>
      <c r="D7" s="52"/>
      <c r="E7" s="52"/>
      <c r="F7" s="52"/>
      <c r="G7" s="52"/>
      <c r="H7" s="46"/>
    </row>
    <row r="8" spans="1:14" ht="15.6" x14ac:dyDescent="0.3">
      <c r="A8" s="181" t="s">
        <v>8</v>
      </c>
      <c r="B8" s="182"/>
      <c r="C8" s="183"/>
      <c r="D8" s="181" t="s">
        <v>9</v>
      </c>
      <c r="E8" s="182"/>
      <c r="F8" s="182"/>
      <c r="G8" s="183"/>
      <c r="H8" s="46"/>
    </row>
    <row r="9" spans="1:14" ht="13.8" x14ac:dyDescent="0.25">
      <c r="A9" s="193" t="s">
        <v>211</v>
      </c>
      <c r="B9" s="194"/>
      <c r="C9" s="194"/>
      <c r="D9" s="184" t="s">
        <v>212</v>
      </c>
      <c r="E9" s="185"/>
      <c r="F9" s="185"/>
      <c r="G9" s="186"/>
      <c r="H9" s="46"/>
    </row>
    <row r="10" spans="1:14" ht="7.95" customHeight="1" x14ac:dyDescent="0.25">
      <c r="A10" s="50"/>
      <c r="B10" s="50"/>
      <c r="C10" s="50"/>
      <c r="D10" s="52"/>
      <c r="E10" s="52"/>
      <c r="F10" s="52"/>
      <c r="G10" s="52"/>
      <c r="H10" s="46"/>
    </row>
    <row r="11" spans="1:14" ht="15.6" x14ac:dyDescent="0.3">
      <c r="A11" s="181" t="s">
        <v>10</v>
      </c>
      <c r="B11" s="182"/>
      <c r="C11" s="93"/>
      <c r="D11" s="92" t="s">
        <v>11</v>
      </c>
      <c r="E11" s="92"/>
      <c r="F11" s="91" t="s">
        <v>12</v>
      </c>
      <c r="G11" s="53" t="s">
        <v>13</v>
      </c>
      <c r="H11" s="46"/>
    </row>
    <row r="12" spans="1:14" ht="15.6" x14ac:dyDescent="0.3">
      <c r="A12" s="193" t="s">
        <v>210</v>
      </c>
      <c r="B12" s="194"/>
      <c r="C12" s="209"/>
      <c r="D12" s="47" t="s">
        <v>14</v>
      </c>
      <c r="E12" s="96"/>
      <c r="F12" s="95" t="s">
        <v>15</v>
      </c>
      <c r="G12" s="48">
        <f>'BDI '!F25</f>
        <v>0.2414</v>
      </c>
      <c r="H12" s="46"/>
      <c r="N12" s="122"/>
    </row>
    <row r="13" spans="1:14" ht="7.2" customHeight="1" x14ac:dyDescent="0.3">
      <c r="A13" s="50"/>
      <c r="B13" s="50"/>
      <c r="C13" s="50"/>
      <c r="D13" s="49"/>
      <c r="E13" s="50"/>
      <c r="F13" s="50"/>
      <c r="G13" s="51"/>
      <c r="H13" s="46"/>
    </row>
    <row r="14" spans="1:14" ht="17.55" customHeight="1" x14ac:dyDescent="0.25">
      <c r="A14" s="216" t="s">
        <v>16</v>
      </c>
      <c r="B14" s="216"/>
      <c r="C14" s="217"/>
      <c r="D14" s="100" t="s">
        <v>17</v>
      </c>
      <c r="E14" s="96"/>
      <c r="F14" s="96"/>
      <c r="G14" s="97"/>
      <c r="H14" s="218"/>
      <c r="I14" s="219"/>
    </row>
    <row r="15" spans="1:14" ht="16.2" customHeight="1" x14ac:dyDescent="0.25">
      <c r="A15" s="210" t="s">
        <v>18</v>
      </c>
      <c r="B15" s="211"/>
      <c r="C15" s="212"/>
      <c r="D15" s="187" t="s">
        <v>189</v>
      </c>
      <c r="E15" s="188"/>
      <c r="F15" s="188"/>
      <c r="G15" s="189"/>
      <c r="H15" s="220"/>
      <c r="I15" s="221"/>
    </row>
    <row r="16" spans="1:14" ht="16.2" customHeight="1" x14ac:dyDescent="0.25">
      <c r="A16" s="213"/>
      <c r="B16" s="214"/>
      <c r="C16" s="215"/>
      <c r="D16" s="171" t="s">
        <v>19</v>
      </c>
      <c r="E16" s="172"/>
      <c r="F16" s="172"/>
      <c r="G16" s="173"/>
      <c r="H16" s="123" t="s">
        <v>20</v>
      </c>
      <c r="I16" s="119">
        <v>271.63</v>
      </c>
      <c r="K16" s="120"/>
    </row>
    <row r="17" spans="1:12" ht="6.6" customHeight="1" thickBot="1" x14ac:dyDescent="0.3">
      <c r="A17" s="98"/>
      <c r="B17" s="98"/>
      <c r="C17" s="98"/>
      <c r="D17" s="102"/>
      <c r="E17" s="102"/>
      <c r="F17" s="102"/>
      <c r="G17" s="103"/>
      <c r="H17" s="80"/>
      <c r="I17" s="118"/>
      <c r="K17" s="120"/>
    </row>
    <row r="18" spans="1:12" ht="22.8" x14ac:dyDescent="0.25">
      <c r="A18" s="190" t="s">
        <v>21</v>
      </c>
      <c r="B18" s="191"/>
      <c r="C18" s="191"/>
      <c r="D18" s="191"/>
      <c r="E18" s="191"/>
      <c r="F18" s="191"/>
      <c r="G18" s="192"/>
      <c r="H18" s="174">
        <f>H69</f>
        <v>199284.32919219998</v>
      </c>
      <c r="I18" s="175"/>
      <c r="K18" s="121"/>
      <c r="L18" s="110"/>
    </row>
    <row r="19" spans="1:12" ht="46.8" x14ac:dyDescent="0.25">
      <c r="A19" s="106" t="s">
        <v>22</v>
      </c>
      <c r="B19" s="107" t="s">
        <v>23</v>
      </c>
      <c r="C19" s="135" t="s">
        <v>24</v>
      </c>
      <c r="D19" s="107" t="s">
        <v>25</v>
      </c>
      <c r="E19" s="107" t="s">
        <v>26</v>
      </c>
      <c r="F19" s="107" t="s">
        <v>27</v>
      </c>
      <c r="G19" s="107" t="s">
        <v>28</v>
      </c>
      <c r="H19" s="107" t="s">
        <v>29</v>
      </c>
      <c r="I19" s="108" t="s">
        <v>30</v>
      </c>
      <c r="K19" s="120"/>
    </row>
    <row r="20" spans="1:12" ht="15.6" customHeight="1" x14ac:dyDescent="0.25">
      <c r="A20" s="61">
        <v>1</v>
      </c>
      <c r="B20" s="168" t="s">
        <v>31</v>
      </c>
      <c r="C20" s="168"/>
      <c r="D20" s="168"/>
      <c r="E20" s="168"/>
      <c r="F20" s="168"/>
      <c r="G20" s="168"/>
      <c r="H20" s="168"/>
      <c r="I20" s="62"/>
    </row>
    <row r="21" spans="1:12" s="24" customFormat="1" ht="75" x14ac:dyDescent="0.25">
      <c r="A21" s="63" t="s">
        <v>32</v>
      </c>
      <c r="B21" s="1" t="s">
        <v>214</v>
      </c>
      <c r="C21" s="59" t="s">
        <v>213</v>
      </c>
      <c r="D21" s="21" t="s">
        <v>25</v>
      </c>
      <c r="E21" s="55">
        <v>1</v>
      </c>
      <c r="F21" s="55">
        <v>1130.27</v>
      </c>
      <c r="G21" s="23">
        <f>ROUND((F21+(F21*$G$12)),2)</f>
        <v>1403.12</v>
      </c>
      <c r="H21" s="56">
        <f>G21*E21</f>
        <v>1403.12</v>
      </c>
      <c r="I21" s="64"/>
    </row>
    <row r="22" spans="1:12" s="24" customFormat="1" ht="15.6" x14ac:dyDescent="0.25">
      <c r="A22" s="178" t="s">
        <v>35</v>
      </c>
      <c r="B22" s="179"/>
      <c r="C22" s="179"/>
      <c r="D22" s="179"/>
      <c r="E22" s="179"/>
      <c r="F22" s="179"/>
      <c r="G22" s="180"/>
      <c r="H22" s="57">
        <f>SUM(H21:H21)</f>
        <v>1403.12</v>
      </c>
      <c r="I22" s="65">
        <f>H22/$H$18</f>
        <v>7.0407944552768088E-3</v>
      </c>
    </row>
    <row r="23" spans="1:12" s="24" customFormat="1" ht="15.6" x14ac:dyDescent="0.25">
      <c r="A23" s="79">
        <v>2</v>
      </c>
      <c r="B23" s="176" t="s">
        <v>36</v>
      </c>
      <c r="C23" s="177"/>
      <c r="D23" s="177"/>
      <c r="E23" s="177"/>
      <c r="F23" s="177"/>
      <c r="G23" s="177"/>
      <c r="H23" s="177"/>
      <c r="I23" s="78"/>
    </row>
    <row r="24" spans="1:12" s="24" customFormat="1" ht="60" x14ac:dyDescent="0.25">
      <c r="A24" s="63" t="s">
        <v>37</v>
      </c>
      <c r="B24" s="1" t="s">
        <v>216</v>
      </c>
      <c r="C24" s="59" t="s">
        <v>38</v>
      </c>
      <c r="D24" s="21" t="s">
        <v>34</v>
      </c>
      <c r="E24" s="55">
        <v>26</v>
      </c>
      <c r="F24" s="55">
        <v>60.94</v>
      </c>
      <c r="G24" s="23">
        <f>ROUND((F24+(F24*$G$12)),2)</f>
        <v>75.650000000000006</v>
      </c>
      <c r="H24" s="56">
        <f>G24*E24</f>
        <v>1966.9</v>
      </c>
      <c r="I24" s="64"/>
    </row>
    <row r="25" spans="1:12" s="24" customFormat="1" ht="30" x14ac:dyDescent="0.25">
      <c r="A25" s="63" t="s">
        <v>39</v>
      </c>
      <c r="B25" s="1" t="s">
        <v>40</v>
      </c>
      <c r="C25" s="59" t="s">
        <v>41</v>
      </c>
      <c r="D25" s="21" t="s">
        <v>42</v>
      </c>
      <c r="E25" s="55">
        <v>3.6926399999999995</v>
      </c>
      <c r="F25" s="55">
        <v>71.42</v>
      </c>
      <c r="G25" s="23">
        <f>ROUND((F25+(F25*$G$12)),2)</f>
        <v>88.66</v>
      </c>
      <c r="H25" s="56">
        <f>G25*E25</f>
        <v>327.38946239999996</v>
      </c>
      <c r="I25" s="64"/>
    </row>
    <row r="26" spans="1:12" s="24" customFormat="1" ht="30" x14ac:dyDescent="0.25">
      <c r="A26" s="63" t="s">
        <v>43</v>
      </c>
      <c r="B26" s="1" t="s">
        <v>44</v>
      </c>
      <c r="C26" s="59" t="s">
        <v>45</v>
      </c>
      <c r="D26" s="21" t="s">
        <v>42</v>
      </c>
      <c r="E26" s="55">
        <v>3.6926399999999995</v>
      </c>
      <c r="F26" s="55">
        <v>838.22</v>
      </c>
      <c r="G26" s="23">
        <f>ROUND((F26+(F26*$G$12)),2)</f>
        <v>1040.57</v>
      </c>
      <c r="H26" s="56">
        <f>G26*E26</f>
        <v>3842.4504047999994</v>
      </c>
      <c r="I26" s="64"/>
    </row>
    <row r="27" spans="1:12" s="24" customFormat="1" ht="15" x14ac:dyDescent="0.25">
      <c r="A27" s="63" t="s">
        <v>46</v>
      </c>
      <c r="B27" s="1" t="s">
        <v>188</v>
      </c>
      <c r="C27" s="59" t="s">
        <v>207</v>
      </c>
      <c r="D27" s="21" t="s">
        <v>47</v>
      </c>
      <c r="E27" s="55">
        <v>369.26399999999995</v>
      </c>
      <c r="F27" s="55">
        <v>14.1</v>
      </c>
      <c r="G27" s="23">
        <f t="shared" ref="G27:G37" si="0">ROUND((F27+(F27*$G$12)),2)</f>
        <v>17.5</v>
      </c>
      <c r="H27" s="56">
        <f>G27*E27</f>
        <v>6462.119999999999</v>
      </c>
      <c r="I27" s="64"/>
    </row>
    <row r="28" spans="1:12" s="24" customFormat="1" ht="15.6" x14ac:dyDescent="0.25">
      <c r="A28" s="169" t="s">
        <v>48</v>
      </c>
      <c r="B28" s="170"/>
      <c r="C28" s="170"/>
      <c r="D28" s="170"/>
      <c r="E28" s="170"/>
      <c r="F28" s="170"/>
      <c r="G28" s="170"/>
      <c r="H28" s="57">
        <f>SUM(H24:H27)</f>
        <v>12598.859867199999</v>
      </c>
      <c r="I28" s="65">
        <f>H28/$H$18</f>
        <v>6.3220524756108717E-2</v>
      </c>
    </row>
    <row r="29" spans="1:12" s="24" customFormat="1" ht="15.6" x14ac:dyDescent="0.25">
      <c r="A29" s="61">
        <v>3</v>
      </c>
      <c r="B29" s="168" t="s">
        <v>227</v>
      </c>
      <c r="C29" s="168"/>
      <c r="D29" s="168"/>
      <c r="E29" s="168"/>
      <c r="F29" s="168"/>
      <c r="G29" s="168"/>
      <c r="H29" s="168"/>
      <c r="I29" s="64"/>
    </row>
    <row r="30" spans="1:12" s="24" customFormat="1" ht="30" x14ac:dyDescent="0.25">
      <c r="A30" s="63" t="s">
        <v>49</v>
      </c>
      <c r="B30" s="1" t="s">
        <v>53</v>
      </c>
      <c r="C30" s="59" t="s">
        <v>54</v>
      </c>
      <c r="D30" s="21" t="s">
        <v>33</v>
      </c>
      <c r="E30" s="55">
        <v>10.888499999999999</v>
      </c>
      <c r="F30" s="55">
        <v>46.07</v>
      </c>
      <c r="G30" s="23">
        <f t="shared" si="0"/>
        <v>57.19</v>
      </c>
      <c r="H30" s="56">
        <f t="shared" ref="H30:H32" si="1">G30*E30</f>
        <v>622.71331499999985</v>
      </c>
      <c r="I30" s="64"/>
    </row>
    <row r="31" spans="1:12" s="24" customFormat="1" ht="45" x14ac:dyDescent="0.25">
      <c r="A31" s="63" t="s">
        <v>50</v>
      </c>
      <c r="B31" s="1" t="s">
        <v>57</v>
      </c>
      <c r="C31" s="59" t="s">
        <v>58</v>
      </c>
      <c r="D31" s="21" t="s">
        <v>33</v>
      </c>
      <c r="E31" s="55">
        <v>21.776999999999997</v>
      </c>
      <c r="F31" s="55">
        <v>33.979999999999997</v>
      </c>
      <c r="G31" s="23">
        <f t="shared" si="0"/>
        <v>42.18</v>
      </c>
      <c r="H31" s="56">
        <f t="shared" si="1"/>
        <v>918.55385999999987</v>
      </c>
      <c r="I31" s="64"/>
    </row>
    <row r="32" spans="1:12" s="24" customFormat="1" ht="45" x14ac:dyDescent="0.25">
      <c r="A32" s="63" t="s">
        <v>51</v>
      </c>
      <c r="B32" s="1" t="s">
        <v>60</v>
      </c>
      <c r="C32" s="59" t="s">
        <v>61</v>
      </c>
      <c r="D32" s="21" t="s">
        <v>33</v>
      </c>
      <c r="E32" s="55">
        <v>21.776999999999997</v>
      </c>
      <c r="F32" s="55">
        <v>8.89</v>
      </c>
      <c r="G32" s="23">
        <f t="shared" si="0"/>
        <v>11.04</v>
      </c>
      <c r="H32" s="56">
        <f t="shared" si="1"/>
        <v>240.41807999999995</v>
      </c>
      <c r="I32" s="64"/>
    </row>
    <row r="33" spans="1:11" s="24" customFormat="1" ht="15.6" x14ac:dyDescent="0.25">
      <c r="A33" s="169" t="s">
        <v>256</v>
      </c>
      <c r="B33" s="170"/>
      <c r="C33" s="170"/>
      <c r="D33" s="170"/>
      <c r="E33" s="170"/>
      <c r="F33" s="170"/>
      <c r="G33" s="170"/>
      <c r="H33" s="57">
        <f>SUM(H30:H32)</f>
        <v>1781.6852549999996</v>
      </c>
      <c r="I33" s="65">
        <f>H33/$H$18</f>
        <v>8.9404182567794956E-3</v>
      </c>
    </row>
    <row r="34" spans="1:11" s="24" customFormat="1" ht="15.6" x14ac:dyDescent="0.25">
      <c r="A34" s="61">
        <v>4</v>
      </c>
      <c r="B34" s="200" t="s">
        <v>65</v>
      </c>
      <c r="C34" s="201"/>
      <c r="D34" s="201"/>
      <c r="E34" s="201"/>
      <c r="F34" s="201"/>
      <c r="G34" s="201"/>
      <c r="H34" s="201"/>
      <c r="I34" s="202"/>
    </row>
    <row r="35" spans="1:11" s="24" customFormat="1" ht="60" x14ac:dyDescent="0.25">
      <c r="A35" s="63" t="s">
        <v>52</v>
      </c>
      <c r="B35" s="1" t="s">
        <v>66</v>
      </c>
      <c r="C35" s="59" t="s">
        <v>67</v>
      </c>
      <c r="D35" s="21" t="s">
        <v>47</v>
      </c>
      <c r="E35" s="55">
        <v>2666.5050000000001</v>
      </c>
      <c r="F35" s="55">
        <v>21.4</v>
      </c>
      <c r="G35" s="23">
        <f t="shared" si="0"/>
        <v>26.57</v>
      </c>
      <c r="H35" s="56">
        <f t="shared" ref="H35:H40" si="2">G35*E35</f>
        <v>70849.037850000008</v>
      </c>
      <c r="I35" s="64"/>
      <c r="J35" s="111"/>
      <c r="K35" s="126"/>
    </row>
    <row r="36" spans="1:11" s="24" customFormat="1" ht="30" x14ac:dyDescent="0.25">
      <c r="A36" s="63" t="s">
        <v>55</v>
      </c>
      <c r="B36" s="1" t="s">
        <v>68</v>
      </c>
      <c r="C36" s="59" t="s">
        <v>229</v>
      </c>
      <c r="D36" s="21" t="s">
        <v>33</v>
      </c>
      <c r="E36" s="55">
        <v>271.63</v>
      </c>
      <c r="F36" s="55">
        <v>104.68</v>
      </c>
      <c r="G36" s="23">
        <f t="shared" si="0"/>
        <v>129.94999999999999</v>
      </c>
      <c r="H36" s="56">
        <f t="shared" si="2"/>
        <v>35298.318499999994</v>
      </c>
      <c r="I36" s="64"/>
    </row>
    <row r="37" spans="1:11" s="24" customFormat="1" ht="30" x14ac:dyDescent="0.25">
      <c r="A37" s="63" t="s">
        <v>56</v>
      </c>
      <c r="B37" s="1" t="s">
        <v>69</v>
      </c>
      <c r="C37" s="59" t="s">
        <v>70</v>
      </c>
      <c r="D37" s="21" t="s">
        <v>34</v>
      </c>
      <c r="E37" s="55">
        <v>44.35</v>
      </c>
      <c r="F37" s="55">
        <v>43.58</v>
      </c>
      <c r="G37" s="23">
        <f t="shared" si="0"/>
        <v>54.1</v>
      </c>
      <c r="H37" s="56">
        <f t="shared" si="2"/>
        <v>2399.335</v>
      </c>
      <c r="I37" s="64"/>
    </row>
    <row r="38" spans="1:11" s="24" customFormat="1" ht="15" x14ac:dyDescent="0.25">
      <c r="A38" s="63" t="s">
        <v>59</v>
      </c>
      <c r="B38" s="1" t="s">
        <v>217</v>
      </c>
      <c r="C38" s="59" t="s">
        <v>215</v>
      </c>
      <c r="D38" s="21" t="s">
        <v>25</v>
      </c>
      <c r="E38" s="55">
        <v>60</v>
      </c>
      <c r="F38" s="55">
        <v>23.51</v>
      </c>
      <c r="G38" s="23">
        <f t="shared" ref="G38" si="3">ROUND((F38+(F38*$G$12)),2)</f>
        <v>29.19</v>
      </c>
      <c r="H38" s="56">
        <f t="shared" si="2"/>
        <v>1751.4</v>
      </c>
      <c r="I38" s="64"/>
    </row>
    <row r="39" spans="1:11" s="24" customFormat="1" ht="30" x14ac:dyDescent="0.25">
      <c r="A39" s="63" t="s">
        <v>62</v>
      </c>
      <c r="B39" s="1" t="s">
        <v>232</v>
      </c>
      <c r="C39" s="59" t="s">
        <v>255</v>
      </c>
      <c r="D39" s="21" t="s">
        <v>34</v>
      </c>
      <c r="E39" s="55">
        <v>88.7</v>
      </c>
      <c r="F39" s="55">
        <v>88.6</v>
      </c>
      <c r="G39" s="23">
        <f t="shared" ref="G39" si="4">ROUND((F39+(F39*$G$12)),2)</f>
        <v>109.99</v>
      </c>
      <c r="H39" s="56">
        <f t="shared" si="2"/>
        <v>9756.1129999999994</v>
      </c>
      <c r="I39" s="64"/>
    </row>
    <row r="40" spans="1:11" s="24" customFormat="1" ht="45" x14ac:dyDescent="0.25">
      <c r="A40" s="63" t="s">
        <v>63</v>
      </c>
      <c r="B40" s="1" t="s">
        <v>258</v>
      </c>
      <c r="C40" s="59" t="s">
        <v>259</v>
      </c>
      <c r="D40" s="21" t="s">
        <v>33</v>
      </c>
      <c r="E40" s="55">
        <v>38.880000000000003</v>
      </c>
      <c r="F40" s="55">
        <v>34.07</v>
      </c>
      <c r="G40" s="23">
        <f t="shared" ref="G40" si="5">ROUND((F40+(F40*$G$12)),2)</f>
        <v>42.29</v>
      </c>
      <c r="H40" s="56">
        <f t="shared" si="2"/>
        <v>1644.2352000000001</v>
      </c>
      <c r="I40" s="64"/>
    </row>
    <row r="41" spans="1:11" s="24" customFormat="1" ht="15.6" x14ac:dyDescent="0.25">
      <c r="A41" s="169" t="s">
        <v>64</v>
      </c>
      <c r="B41" s="170"/>
      <c r="C41" s="170"/>
      <c r="D41" s="170"/>
      <c r="E41" s="170"/>
      <c r="F41" s="170"/>
      <c r="G41" s="170"/>
      <c r="H41" s="57">
        <f>SUM(H35:H40)</f>
        <v>121698.43955</v>
      </c>
      <c r="I41" s="65">
        <f>H41/$H$18</f>
        <v>0.61067741775434736</v>
      </c>
    </row>
    <row r="42" spans="1:11" s="24" customFormat="1" ht="15.6" x14ac:dyDescent="0.25">
      <c r="A42" s="61">
        <v>5</v>
      </c>
      <c r="B42" s="200" t="s">
        <v>223</v>
      </c>
      <c r="C42" s="201"/>
      <c r="D42" s="201"/>
      <c r="E42" s="201"/>
      <c r="F42" s="201"/>
      <c r="G42" s="201"/>
      <c r="H42" s="201"/>
      <c r="I42" s="202"/>
    </row>
    <row r="43" spans="1:11" s="24" customFormat="1" ht="30" x14ac:dyDescent="0.25">
      <c r="A43" s="66" t="s">
        <v>245</v>
      </c>
      <c r="B43" s="1" t="s">
        <v>218</v>
      </c>
      <c r="C43" s="59" t="s">
        <v>254</v>
      </c>
      <c r="D43" s="21" t="s">
        <v>42</v>
      </c>
      <c r="E43" s="55">
        <v>6.4050000000000002</v>
      </c>
      <c r="F43" s="55">
        <v>302.24</v>
      </c>
      <c r="G43" s="23">
        <f t="shared" ref="G43:G47" si="6">ROUND((F43+(F43*$G$12)),2)</f>
        <v>375.2</v>
      </c>
      <c r="H43" s="58">
        <f t="shared" ref="H43:H47" si="7">G43*E43</f>
        <v>2403.1559999999999</v>
      </c>
      <c r="I43" s="64"/>
    </row>
    <row r="44" spans="1:11" s="24" customFormat="1" ht="30" x14ac:dyDescent="0.25">
      <c r="A44" s="66" t="s">
        <v>246</v>
      </c>
      <c r="B44" s="1" t="s">
        <v>224</v>
      </c>
      <c r="C44" s="59" t="s">
        <v>225</v>
      </c>
      <c r="D44" s="21" t="s">
        <v>42</v>
      </c>
      <c r="E44" s="55">
        <v>8.6467500000000008</v>
      </c>
      <c r="F44" s="55">
        <v>83</v>
      </c>
      <c r="G44" s="23">
        <f t="shared" ref="G44" si="8">ROUND((F44+(F44*$G$12)),2)</f>
        <v>103.04</v>
      </c>
      <c r="H44" s="58">
        <f t="shared" ref="H44" si="9">G44*E44</f>
        <v>890.96112000000016</v>
      </c>
      <c r="I44" s="64"/>
    </row>
    <row r="45" spans="1:11" s="24" customFormat="1" ht="15" x14ac:dyDescent="0.25">
      <c r="A45" s="66" t="s">
        <v>247</v>
      </c>
      <c r="B45" s="1" t="s">
        <v>221</v>
      </c>
      <c r="C45" s="59" t="s">
        <v>226</v>
      </c>
      <c r="D45" s="21" t="s">
        <v>42</v>
      </c>
      <c r="E45" s="55">
        <v>135.815</v>
      </c>
      <c r="F45" s="55">
        <v>4.83</v>
      </c>
      <c r="G45" s="23">
        <f t="shared" ref="G45" si="10">ROUND((F45+(F45*$G$12)),2)</f>
        <v>6</v>
      </c>
      <c r="H45" s="58">
        <f t="shared" ref="H45" si="11">G45*E45</f>
        <v>814.89</v>
      </c>
      <c r="I45" s="64"/>
    </row>
    <row r="46" spans="1:11" s="24" customFormat="1" ht="15" x14ac:dyDescent="0.25">
      <c r="A46" s="66" t="s">
        <v>248</v>
      </c>
      <c r="B46" s="1" t="s">
        <v>76</v>
      </c>
      <c r="C46" s="59" t="s">
        <v>222</v>
      </c>
      <c r="D46" s="21" t="s">
        <v>33</v>
      </c>
      <c r="E46" s="55">
        <v>271.63</v>
      </c>
      <c r="F46" s="55">
        <v>76.89</v>
      </c>
      <c r="G46" s="23">
        <f t="shared" si="6"/>
        <v>95.45</v>
      </c>
      <c r="H46" s="58">
        <f t="shared" si="7"/>
        <v>25927.083500000001</v>
      </c>
      <c r="I46" s="64"/>
    </row>
    <row r="47" spans="1:11" s="24" customFormat="1" ht="30" x14ac:dyDescent="0.25">
      <c r="A47" s="66" t="s">
        <v>249</v>
      </c>
      <c r="B47" s="1" t="s">
        <v>220</v>
      </c>
      <c r="C47" s="59" t="s">
        <v>219</v>
      </c>
      <c r="D47" s="21" t="s">
        <v>33</v>
      </c>
      <c r="E47" s="55">
        <v>271.63</v>
      </c>
      <c r="F47" s="55">
        <v>13.45</v>
      </c>
      <c r="G47" s="23">
        <f t="shared" si="6"/>
        <v>16.7</v>
      </c>
      <c r="H47" s="58">
        <f t="shared" si="7"/>
        <v>4536.2209999999995</v>
      </c>
      <c r="I47" s="64"/>
    </row>
    <row r="48" spans="1:11" s="24" customFormat="1" ht="15.6" x14ac:dyDescent="0.25">
      <c r="A48" s="169" t="s">
        <v>257</v>
      </c>
      <c r="B48" s="170"/>
      <c r="C48" s="170"/>
      <c r="D48" s="170"/>
      <c r="E48" s="170"/>
      <c r="F48" s="170"/>
      <c r="G48" s="170"/>
      <c r="H48" s="57">
        <f>SUM(H43:H47)</f>
        <v>34572.31162</v>
      </c>
      <c r="I48" s="65">
        <f>H48/$H$18</f>
        <v>0.17348233932963539</v>
      </c>
    </row>
    <row r="49" spans="1:9" s="24" customFormat="1" ht="15.6" x14ac:dyDescent="0.25">
      <c r="A49" s="61">
        <v>6</v>
      </c>
      <c r="B49" s="200" t="s">
        <v>86</v>
      </c>
      <c r="C49" s="201"/>
      <c r="D49" s="201"/>
      <c r="E49" s="201"/>
      <c r="F49" s="201"/>
      <c r="G49" s="201"/>
      <c r="H49" s="201"/>
      <c r="I49" s="202"/>
    </row>
    <row r="50" spans="1:9" s="24" customFormat="1" ht="15" x14ac:dyDescent="0.25">
      <c r="A50" s="63" t="s">
        <v>71</v>
      </c>
      <c r="B50" s="1" t="s">
        <v>88</v>
      </c>
      <c r="C50" s="59" t="s">
        <v>89</v>
      </c>
      <c r="D50" s="21" t="s">
        <v>25</v>
      </c>
      <c r="E50" s="55">
        <v>1</v>
      </c>
      <c r="F50" s="55">
        <v>288.5</v>
      </c>
      <c r="G50" s="23">
        <f>ROUND((F50+(F50*$G$12)),2)</f>
        <v>358.14</v>
      </c>
      <c r="H50" s="58">
        <f>G50*E50</f>
        <v>358.14</v>
      </c>
      <c r="I50" s="64"/>
    </row>
    <row r="51" spans="1:9" s="24" customFormat="1" ht="30" x14ac:dyDescent="0.25">
      <c r="A51" s="63" t="s">
        <v>72</v>
      </c>
      <c r="B51" s="1" t="s">
        <v>241</v>
      </c>
      <c r="C51" s="59" t="s">
        <v>240</v>
      </c>
      <c r="D51" s="21" t="s">
        <v>34</v>
      </c>
      <c r="E51" s="55">
        <v>60</v>
      </c>
      <c r="F51" s="55">
        <v>20.54</v>
      </c>
      <c r="G51" s="23">
        <f t="shared" ref="G51:G57" si="12">ROUND((F51+(F51*$G$12)),2)</f>
        <v>25.5</v>
      </c>
      <c r="H51" s="58">
        <f t="shared" ref="H51:H57" si="13">G51*E51</f>
        <v>1530</v>
      </c>
      <c r="I51" s="64"/>
    </row>
    <row r="52" spans="1:9" s="24" customFormat="1" ht="15" x14ac:dyDescent="0.25">
      <c r="A52" s="63" t="s">
        <v>73</v>
      </c>
      <c r="B52" s="1" t="s">
        <v>90</v>
      </c>
      <c r="C52" s="59" t="s">
        <v>91</v>
      </c>
      <c r="D52" s="21" t="s">
        <v>25</v>
      </c>
      <c r="E52" s="55">
        <v>2</v>
      </c>
      <c r="F52" s="55">
        <v>65.25</v>
      </c>
      <c r="G52" s="23">
        <f t="shared" si="12"/>
        <v>81</v>
      </c>
      <c r="H52" s="58">
        <f t="shared" si="13"/>
        <v>162</v>
      </c>
      <c r="I52" s="64"/>
    </row>
    <row r="53" spans="1:9" s="24" customFormat="1" ht="15" x14ac:dyDescent="0.25">
      <c r="A53" s="63" t="s">
        <v>74</v>
      </c>
      <c r="B53" s="1" t="s">
        <v>92</v>
      </c>
      <c r="C53" s="59" t="s">
        <v>93</v>
      </c>
      <c r="D53" s="21" t="s">
        <v>25</v>
      </c>
      <c r="E53" s="55">
        <v>2</v>
      </c>
      <c r="F53" s="55">
        <v>27.9</v>
      </c>
      <c r="G53" s="23">
        <f t="shared" si="12"/>
        <v>34.64</v>
      </c>
      <c r="H53" s="58">
        <f t="shared" si="13"/>
        <v>69.28</v>
      </c>
      <c r="I53" s="64"/>
    </row>
    <row r="54" spans="1:9" s="24" customFormat="1" ht="15" x14ac:dyDescent="0.25">
      <c r="A54" s="63" t="s">
        <v>75</v>
      </c>
      <c r="B54" s="1" t="s">
        <v>94</v>
      </c>
      <c r="C54" s="59" t="s">
        <v>95</v>
      </c>
      <c r="D54" s="21" t="s">
        <v>25</v>
      </c>
      <c r="E54" s="55">
        <v>2</v>
      </c>
      <c r="F54" s="55">
        <v>21.89</v>
      </c>
      <c r="G54" s="23">
        <f t="shared" si="12"/>
        <v>27.17</v>
      </c>
      <c r="H54" s="58">
        <f t="shared" si="13"/>
        <v>54.34</v>
      </c>
      <c r="I54" s="64"/>
    </row>
    <row r="55" spans="1:9" s="24" customFormat="1" ht="70.2" customHeight="1" x14ac:dyDescent="0.25">
      <c r="A55" s="63" t="s">
        <v>77</v>
      </c>
      <c r="B55" s="1" t="s">
        <v>96</v>
      </c>
      <c r="C55" s="59" t="s">
        <v>251</v>
      </c>
      <c r="D55" s="21" t="s">
        <v>25</v>
      </c>
      <c r="E55" s="55">
        <v>1</v>
      </c>
      <c r="F55" s="55">
        <v>164.47</v>
      </c>
      <c r="G55" s="23">
        <f>ROUND((F55+(F55*$G$12)),2)</f>
        <v>204.17</v>
      </c>
      <c r="H55" s="58">
        <f>G55*E55</f>
        <v>204.17</v>
      </c>
      <c r="I55" s="64"/>
    </row>
    <row r="56" spans="1:9" s="24" customFormat="1" ht="45" x14ac:dyDescent="0.25">
      <c r="A56" s="63" t="s">
        <v>78</v>
      </c>
      <c r="B56" s="1" t="s">
        <v>233</v>
      </c>
      <c r="C56" s="59" t="s">
        <v>252</v>
      </c>
      <c r="D56" s="21" t="s">
        <v>34</v>
      </c>
      <c r="E56" s="55">
        <v>400</v>
      </c>
      <c r="F56" s="55">
        <v>2.99</v>
      </c>
      <c r="G56" s="23">
        <f t="shared" si="12"/>
        <v>3.71</v>
      </c>
      <c r="H56" s="58">
        <f t="shared" si="13"/>
        <v>1484</v>
      </c>
      <c r="I56" s="64"/>
    </row>
    <row r="57" spans="1:9" s="24" customFormat="1" ht="45" x14ac:dyDescent="0.25">
      <c r="A57" s="63" t="s">
        <v>79</v>
      </c>
      <c r="B57" s="59" t="s">
        <v>234</v>
      </c>
      <c r="C57" s="59" t="s">
        <v>253</v>
      </c>
      <c r="D57" s="21" t="s">
        <v>34</v>
      </c>
      <c r="E57" s="55">
        <v>200</v>
      </c>
      <c r="F57" s="55">
        <v>4.12</v>
      </c>
      <c r="G57" s="23">
        <f t="shared" si="12"/>
        <v>5.1100000000000003</v>
      </c>
      <c r="H57" s="58">
        <f t="shared" si="13"/>
        <v>1022.0000000000001</v>
      </c>
      <c r="I57" s="64"/>
    </row>
    <row r="58" spans="1:9" s="24" customFormat="1" ht="45" x14ac:dyDescent="0.25">
      <c r="A58" s="63" t="s">
        <v>80</v>
      </c>
      <c r="B58" s="1" t="s">
        <v>235</v>
      </c>
      <c r="C58" s="59" t="s">
        <v>236</v>
      </c>
      <c r="D58" s="21" t="s">
        <v>25</v>
      </c>
      <c r="E58" s="55">
        <v>20</v>
      </c>
      <c r="F58" s="55">
        <v>62.34</v>
      </c>
      <c r="G58" s="23">
        <f t="shared" ref="G58:G64" si="14">ROUND((F58+(F58*$G$12)),2)</f>
        <v>77.39</v>
      </c>
      <c r="H58" s="58">
        <f t="shared" ref="H58:H64" si="15">G58*E58</f>
        <v>1547.8</v>
      </c>
      <c r="I58" s="64"/>
    </row>
    <row r="59" spans="1:9" s="24" customFormat="1" ht="105" x14ac:dyDescent="0.25">
      <c r="A59" s="63" t="s">
        <v>81</v>
      </c>
      <c r="B59" s="1" t="s">
        <v>185</v>
      </c>
      <c r="C59" s="59" t="s">
        <v>239</v>
      </c>
      <c r="D59" s="21" t="s">
        <v>25</v>
      </c>
      <c r="E59" s="55">
        <v>6</v>
      </c>
      <c r="F59" s="55">
        <v>244.1</v>
      </c>
      <c r="G59" s="23">
        <f t="shared" si="14"/>
        <v>303.02999999999997</v>
      </c>
      <c r="H59" s="58">
        <f t="shared" si="15"/>
        <v>1818.1799999999998</v>
      </c>
      <c r="I59" s="64"/>
    </row>
    <row r="60" spans="1:9" s="24" customFormat="1" ht="15" x14ac:dyDescent="0.25">
      <c r="A60" s="63" t="s">
        <v>186</v>
      </c>
      <c r="B60" s="1" t="s">
        <v>238</v>
      </c>
      <c r="C60" s="59" t="s">
        <v>237</v>
      </c>
      <c r="D60" s="21" t="s">
        <v>25</v>
      </c>
      <c r="E60" s="55">
        <v>6</v>
      </c>
      <c r="F60" s="55">
        <v>129.94999999999999</v>
      </c>
      <c r="G60" s="23">
        <f t="shared" si="14"/>
        <v>161.32</v>
      </c>
      <c r="H60" s="58">
        <f t="shared" si="15"/>
        <v>967.92</v>
      </c>
      <c r="I60" s="64"/>
    </row>
    <row r="61" spans="1:9" s="24" customFormat="1" ht="15.6" x14ac:dyDescent="0.25">
      <c r="A61" s="169" t="s">
        <v>82</v>
      </c>
      <c r="B61" s="170"/>
      <c r="C61" s="170"/>
      <c r="D61" s="170"/>
      <c r="E61" s="170"/>
      <c r="F61" s="170"/>
      <c r="G61" s="170"/>
      <c r="H61" s="57">
        <f>SUM(H50:H60)</f>
        <v>9217.83</v>
      </c>
      <c r="I61" s="65">
        <f>H61/$H$18</f>
        <v>4.6254665569362731E-2</v>
      </c>
    </row>
    <row r="62" spans="1:9" s="24" customFormat="1" ht="15.6" x14ac:dyDescent="0.25">
      <c r="A62" s="61">
        <v>7</v>
      </c>
      <c r="B62" s="200" t="s">
        <v>244</v>
      </c>
      <c r="C62" s="201"/>
      <c r="D62" s="201"/>
      <c r="E62" s="201"/>
      <c r="F62" s="201"/>
      <c r="G62" s="201"/>
      <c r="H62" s="201"/>
      <c r="I62" s="202"/>
    </row>
    <row r="63" spans="1:9" s="24" customFormat="1" ht="30" x14ac:dyDescent="0.25">
      <c r="A63" s="63" t="s">
        <v>83</v>
      </c>
      <c r="B63" s="1" t="s">
        <v>243</v>
      </c>
      <c r="C63" s="59" t="s">
        <v>250</v>
      </c>
      <c r="D63" s="21" t="s">
        <v>97</v>
      </c>
      <c r="E63" s="55">
        <v>172.7</v>
      </c>
      <c r="F63" s="55">
        <v>34.26</v>
      </c>
      <c r="G63" s="23">
        <f>ROUND((F63+(F63*$G$12)),2)</f>
        <v>42.53</v>
      </c>
      <c r="H63" s="58">
        <f>G63*E63</f>
        <v>7344.9309999999996</v>
      </c>
      <c r="I63" s="64"/>
    </row>
    <row r="64" spans="1:9" s="24" customFormat="1" ht="60" x14ac:dyDescent="0.25">
      <c r="A64" s="63" t="s">
        <v>84</v>
      </c>
      <c r="B64" s="1" t="s">
        <v>99</v>
      </c>
      <c r="C64" s="59" t="s">
        <v>100</v>
      </c>
      <c r="D64" s="21" t="s">
        <v>25</v>
      </c>
      <c r="E64" s="55">
        <v>24</v>
      </c>
      <c r="F64" s="55">
        <v>283.91000000000003</v>
      </c>
      <c r="G64" s="23">
        <f t="shared" si="14"/>
        <v>352.45</v>
      </c>
      <c r="H64" s="58">
        <f t="shared" si="15"/>
        <v>8458.7999999999993</v>
      </c>
      <c r="I64" s="64"/>
    </row>
    <row r="65" spans="1:9" s="24" customFormat="1" ht="15.6" x14ac:dyDescent="0.25">
      <c r="A65" s="169" t="s">
        <v>85</v>
      </c>
      <c r="B65" s="170"/>
      <c r="C65" s="170"/>
      <c r="D65" s="170"/>
      <c r="E65" s="170"/>
      <c r="F65" s="170"/>
      <c r="G65" s="170"/>
      <c r="H65" s="57">
        <f>SUM(H63:H64)</f>
        <v>15803.731</v>
      </c>
      <c r="I65" s="65">
        <f>H65/$H$18</f>
        <v>7.9302427160532402E-2</v>
      </c>
    </row>
    <row r="66" spans="1:9" s="24" customFormat="1" ht="15.6" x14ac:dyDescent="0.25">
      <c r="A66" s="61">
        <v>8</v>
      </c>
      <c r="B66" s="200" t="s">
        <v>242</v>
      </c>
      <c r="C66" s="201"/>
      <c r="D66" s="201"/>
      <c r="E66" s="201"/>
      <c r="F66" s="201"/>
      <c r="G66" s="201"/>
      <c r="H66" s="201"/>
      <c r="I66" s="202"/>
    </row>
    <row r="67" spans="1:9" s="24" customFormat="1" ht="15" x14ac:dyDescent="0.25">
      <c r="A67" s="63" t="s">
        <v>87</v>
      </c>
      <c r="B67" s="1" t="s">
        <v>101</v>
      </c>
      <c r="C67" s="59" t="s">
        <v>102</v>
      </c>
      <c r="D67" s="21" t="s">
        <v>33</v>
      </c>
      <c r="E67" s="55">
        <v>271.63</v>
      </c>
      <c r="F67" s="55">
        <v>6.55</v>
      </c>
      <c r="G67" s="23">
        <f t="shared" ref="G67" si="16">ROUND((F67+(F67*$G$12)),2)</f>
        <v>8.1300000000000008</v>
      </c>
      <c r="H67" s="58">
        <f t="shared" ref="H67" si="17">G67*E67</f>
        <v>2208.3519000000001</v>
      </c>
      <c r="I67" s="64"/>
    </row>
    <row r="68" spans="1:9" s="24" customFormat="1" ht="15.6" x14ac:dyDescent="0.25">
      <c r="A68" s="169" t="s">
        <v>98</v>
      </c>
      <c r="B68" s="170"/>
      <c r="C68" s="170"/>
      <c r="D68" s="170"/>
      <c r="E68" s="170"/>
      <c r="F68" s="170"/>
      <c r="G68" s="170"/>
      <c r="H68" s="57">
        <f>SUM(H67:H67)</f>
        <v>2208.3519000000001</v>
      </c>
      <c r="I68" s="65">
        <f>H68/$H$18</f>
        <v>1.108141271795713E-2</v>
      </c>
    </row>
    <row r="69" spans="1:9" ht="20.55" customHeight="1" thickBot="1" x14ac:dyDescent="0.3">
      <c r="A69" s="203" t="s">
        <v>103</v>
      </c>
      <c r="B69" s="204"/>
      <c r="C69" s="204"/>
      <c r="D69" s="204"/>
      <c r="E69" s="204"/>
      <c r="F69" s="204"/>
      <c r="G69" s="205"/>
      <c r="H69" s="88">
        <f>H22+H28+H33+H41+H48+H61+H65+H68</f>
        <v>199284.32919219998</v>
      </c>
      <c r="I69" s="89">
        <f>SUM(I68,I65,I61,I48,I41,I33,I28,I22)</f>
        <v>1</v>
      </c>
    </row>
    <row r="70" spans="1:9" ht="15" customHeight="1" x14ac:dyDescent="0.25">
      <c r="A70" s="208" t="s">
        <v>208</v>
      </c>
      <c r="B70" s="208"/>
      <c r="C70" s="208"/>
      <c r="D70" s="208"/>
      <c r="E70" s="208"/>
      <c r="F70" s="208"/>
      <c r="G70" s="208"/>
      <c r="H70" s="208"/>
      <c r="I70" s="208"/>
    </row>
    <row r="71" spans="1:9" ht="76.8" customHeight="1" x14ac:dyDescent="0.25">
      <c r="A71" s="94"/>
      <c r="B71" s="109"/>
      <c r="C71" s="207" t="s">
        <v>104</v>
      </c>
      <c r="D71" s="109"/>
      <c r="E71" s="109"/>
      <c r="F71" s="109"/>
      <c r="G71" s="199" t="s">
        <v>105</v>
      </c>
      <c r="H71" s="199"/>
      <c r="I71" s="109"/>
    </row>
    <row r="72" spans="1:9" ht="15" customHeight="1" x14ac:dyDescent="0.25">
      <c r="A72" s="94"/>
      <c r="B72" s="109"/>
      <c r="C72" s="207"/>
      <c r="D72" s="109"/>
      <c r="E72" s="109"/>
      <c r="F72" s="109"/>
      <c r="G72" s="199"/>
      <c r="H72" s="199"/>
      <c r="I72" s="109"/>
    </row>
    <row r="73" spans="1:9" x14ac:dyDescent="0.25">
      <c r="C73" s="60" t="s">
        <v>106</v>
      </c>
      <c r="G73" s="206" t="s">
        <v>107</v>
      </c>
      <c r="H73" s="206"/>
    </row>
    <row r="74" spans="1:9" x14ac:dyDescent="0.25">
      <c r="C74" s="2" t="s">
        <v>108</v>
      </c>
      <c r="G74" s="199" t="s">
        <v>109</v>
      </c>
      <c r="H74" s="199"/>
    </row>
    <row r="75" spans="1:9" x14ac:dyDescent="0.25">
      <c r="C75" s="2" t="s">
        <v>110</v>
      </c>
    </row>
    <row r="80" spans="1:9" x14ac:dyDescent="0.25">
      <c r="C80" s="29"/>
    </row>
  </sheetData>
  <mergeCells count="43">
    <mergeCell ref="A41:G41"/>
    <mergeCell ref="H14:I15"/>
    <mergeCell ref="A12:C12"/>
    <mergeCell ref="A15:C16"/>
    <mergeCell ref="A14:C14"/>
    <mergeCell ref="A28:G28"/>
    <mergeCell ref="B34:I34"/>
    <mergeCell ref="G74:H74"/>
    <mergeCell ref="B42:I42"/>
    <mergeCell ref="A48:G48"/>
    <mergeCell ref="B49:I49"/>
    <mergeCell ref="A69:G69"/>
    <mergeCell ref="A65:G65"/>
    <mergeCell ref="B66:I66"/>
    <mergeCell ref="G73:H73"/>
    <mergeCell ref="A68:G68"/>
    <mergeCell ref="A61:G61"/>
    <mergeCell ref="C71:C72"/>
    <mergeCell ref="G71:H72"/>
    <mergeCell ref="A70:I70"/>
    <mergeCell ref="B62:I62"/>
    <mergeCell ref="A1:I1"/>
    <mergeCell ref="D2:G2"/>
    <mergeCell ref="A3:C3"/>
    <mergeCell ref="D3:G3"/>
    <mergeCell ref="A5:C5"/>
    <mergeCell ref="D5:G5"/>
    <mergeCell ref="A6:C6"/>
    <mergeCell ref="D6:G6"/>
    <mergeCell ref="B29:H29"/>
    <mergeCell ref="A33:G33"/>
    <mergeCell ref="D16:G16"/>
    <mergeCell ref="H18:I18"/>
    <mergeCell ref="B23:H23"/>
    <mergeCell ref="A22:G22"/>
    <mergeCell ref="D8:G8"/>
    <mergeCell ref="D9:G9"/>
    <mergeCell ref="A8:C8"/>
    <mergeCell ref="B20:H20"/>
    <mergeCell ref="D15:G15"/>
    <mergeCell ref="A18:G18"/>
    <mergeCell ref="A9:C9"/>
    <mergeCell ref="A11:B11"/>
  </mergeCells>
  <phoneticPr fontId="0" type="noConversion"/>
  <pageMargins left="0.19685039370078741" right="0.19685039370078741" top="1.2598425196850394" bottom="0.70866141732283472" header="0.39370078740157483" footer="0.39370078740157483"/>
  <pageSetup scale="41" orientation="portrait" verticalDpi="4294967295" r:id="rId1"/>
  <headerFooter scaleWithDoc="0" alignWithMargins="0">
    <oddHeader>&amp;C&amp;G</oddHeader>
    <oddFooter>&amp;L&amp;9ENDEREÇO: GETÚLIO VARGAS, N° 500, CENTRO, CHAPADA GAÚCHA – MG, CEP: 38.689-000.&amp;RPágina &amp;P de &amp;N</oddFooter>
  </headerFooter>
  <rowBreaks count="1" manualBreakCount="1">
    <brk id="48" max="8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6"/>
  <sheetViews>
    <sheetView view="pageBreakPreview" zoomScaleNormal="100" zoomScaleSheetLayoutView="100" workbookViewId="0">
      <selection activeCell="B47" sqref="B47"/>
    </sheetView>
  </sheetViews>
  <sheetFormatPr defaultColWidth="9.21875" defaultRowHeight="13.2" x14ac:dyDescent="0.25"/>
  <cols>
    <col min="1" max="3" width="9.21875" style="3"/>
    <col min="4" max="4" width="15.21875" style="3" customWidth="1"/>
    <col min="5" max="5" width="9.21875" style="3"/>
    <col min="6" max="6" width="10.77734375" style="3" bestFit="1" customWidth="1"/>
    <col min="7" max="7" width="9.21875" style="3"/>
    <col min="8" max="8" width="11" style="3" customWidth="1"/>
    <col min="9" max="9" width="10.77734375" style="3" customWidth="1"/>
    <col min="10" max="10" width="10.21875" style="3" customWidth="1"/>
    <col min="11" max="16384" width="9.21875" style="3"/>
  </cols>
  <sheetData>
    <row r="1" spans="1:10" ht="15.6" x14ac:dyDescent="0.3">
      <c r="A1" s="252" t="s">
        <v>111</v>
      </c>
      <c r="B1" s="252"/>
      <c r="C1" s="252"/>
      <c r="D1" s="252"/>
      <c r="E1" s="252"/>
      <c r="F1" s="252"/>
      <c r="G1" s="252"/>
      <c r="H1" s="252"/>
      <c r="I1" s="252"/>
      <c r="J1" s="252"/>
    </row>
    <row r="2" spans="1:10" x14ac:dyDescent="0.25">
      <c r="A2" s="248" t="s">
        <v>112</v>
      </c>
      <c r="B2" s="249"/>
      <c r="C2" s="249"/>
      <c r="D2" s="249"/>
      <c r="E2" s="249"/>
      <c r="F2" s="249"/>
      <c r="G2" s="249"/>
      <c r="H2" s="249"/>
      <c r="I2" s="249"/>
      <c r="J2" s="250"/>
    </row>
    <row r="3" spans="1:10" ht="13.2" customHeight="1" x14ac:dyDescent="0.25">
      <c r="A3" s="253" t="s">
        <v>113</v>
      </c>
      <c r="B3" s="254"/>
      <c r="C3" s="254"/>
      <c r="D3" s="254"/>
      <c r="E3" s="254"/>
      <c r="F3" s="254"/>
      <c r="G3" s="254"/>
      <c r="H3" s="254"/>
      <c r="I3" s="254"/>
      <c r="J3" s="255"/>
    </row>
    <row r="4" spans="1:10" x14ac:dyDescent="0.25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x14ac:dyDescent="0.25">
      <c r="A5" s="248" t="s">
        <v>114</v>
      </c>
      <c r="B5" s="249"/>
      <c r="C5" s="249"/>
      <c r="D5" s="249"/>
      <c r="E5" s="249"/>
      <c r="F5" s="249"/>
      <c r="G5" s="249"/>
      <c r="H5" s="249"/>
      <c r="I5" s="249"/>
      <c r="J5" s="250"/>
    </row>
    <row r="6" spans="1:10" ht="25.95" customHeight="1" x14ac:dyDescent="0.25">
      <c r="A6" s="256" t="str">
        <f>'Plan. Orç. '!A6:C6</f>
        <v xml:space="preserve">COBERTURA DE PÁTIO DA ESCOLA MUNICIPAL SANTO ANTÔNIO </v>
      </c>
      <c r="B6" s="256"/>
      <c r="C6" s="256"/>
      <c r="D6" s="256"/>
      <c r="E6" s="256"/>
      <c r="F6" s="256"/>
      <c r="G6" s="256"/>
      <c r="H6" s="256"/>
      <c r="I6" s="256"/>
      <c r="J6" s="256"/>
    </row>
    <row r="7" spans="1:10" ht="6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5">
      <c r="A8" s="248" t="s">
        <v>115</v>
      </c>
      <c r="B8" s="249"/>
      <c r="C8" s="249"/>
      <c r="D8" s="249"/>
      <c r="E8" s="249"/>
      <c r="F8" s="249"/>
      <c r="G8" s="249"/>
      <c r="H8" s="249"/>
      <c r="I8" s="248" t="s">
        <v>116</v>
      </c>
      <c r="J8" s="250"/>
    </row>
    <row r="9" spans="1:10" ht="27" customHeight="1" x14ac:dyDescent="0.25">
      <c r="A9" s="257" t="s">
        <v>117</v>
      </c>
      <c r="B9" s="258"/>
      <c r="C9" s="258"/>
      <c r="D9" s="258"/>
      <c r="E9" s="258"/>
      <c r="F9" s="258"/>
      <c r="G9" s="258"/>
      <c r="H9" s="259"/>
      <c r="I9" s="260" t="s">
        <v>118</v>
      </c>
      <c r="J9" s="261"/>
    </row>
    <row r="11" spans="1:10" x14ac:dyDescent="0.25">
      <c r="A11" s="239" t="s">
        <v>119</v>
      </c>
      <c r="B11" s="239"/>
      <c r="C11" s="239"/>
      <c r="D11" s="239"/>
      <c r="E11" s="239"/>
      <c r="F11" s="239"/>
      <c r="G11" s="239"/>
      <c r="H11" s="239"/>
      <c r="I11" s="240">
        <v>1</v>
      </c>
      <c r="J11" s="240"/>
    </row>
    <row r="12" spans="1:10" x14ac:dyDescent="0.25">
      <c r="A12" s="241" t="s">
        <v>120</v>
      </c>
      <c r="B12" s="241"/>
      <c r="C12" s="241"/>
      <c r="D12" s="241"/>
      <c r="E12" s="241"/>
      <c r="F12" s="241"/>
      <c r="G12" s="241"/>
      <c r="H12" s="241"/>
      <c r="I12" s="240">
        <v>0.05</v>
      </c>
      <c r="J12" s="240"/>
    </row>
    <row r="14" spans="1:10" ht="13.8" x14ac:dyDescent="0.25">
      <c r="A14" s="242" t="s">
        <v>121</v>
      </c>
      <c r="B14" s="242"/>
      <c r="C14" s="242"/>
      <c r="D14" s="242"/>
      <c r="E14" s="242" t="s">
        <v>122</v>
      </c>
      <c r="F14" s="243" t="s">
        <v>123</v>
      </c>
      <c r="G14" s="243" t="s">
        <v>124</v>
      </c>
      <c r="H14" s="244" t="s">
        <v>125</v>
      </c>
      <c r="I14" s="244"/>
      <c r="J14" s="244"/>
    </row>
    <row r="15" spans="1:10" ht="13.8" x14ac:dyDescent="0.25">
      <c r="A15" s="242"/>
      <c r="B15" s="242"/>
      <c r="C15" s="242"/>
      <c r="D15" s="242"/>
      <c r="E15" s="242"/>
      <c r="F15" s="243"/>
      <c r="G15" s="243"/>
      <c r="H15" s="105" t="s">
        <v>126</v>
      </c>
      <c r="I15" s="105" t="s">
        <v>127</v>
      </c>
      <c r="J15" s="5" t="s">
        <v>128</v>
      </c>
    </row>
    <row r="16" spans="1:10" ht="20.100000000000001" customHeight="1" x14ac:dyDescent="0.25">
      <c r="A16" s="246" t="str">
        <f>IF($I$9=$A$59,"Encargos Sociais incidentes sobre a mão de obra","Administração Central")</f>
        <v>Administração Central</v>
      </c>
      <c r="B16" s="246"/>
      <c r="C16" s="246"/>
      <c r="D16" s="246"/>
      <c r="E16" s="6" t="str">
        <f>IF($I$9=$A$59,"K1","AC")</f>
        <v>AC</v>
      </c>
      <c r="F16" s="7">
        <v>0.03</v>
      </c>
      <c r="G16" s="8" t="s">
        <v>129</v>
      </c>
      <c r="H16" s="9">
        <v>3.7999999999999999E-2</v>
      </c>
      <c r="I16" s="9">
        <v>4.0099999999999997E-2</v>
      </c>
      <c r="J16" s="9">
        <v>4.6699999999999998E-2</v>
      </c>
    </row>
    <row r="17" spans="1:10" ht="20.100000000000001" customHeight="1" x14ac:dyDescent="0.25">
      <c r="A17" s="246" t="str">
        <f>IF($I$9=$A$59,"Administração Central da empresa ou consultoria - overhead","Seguro e Garantia")</f>
        <v>Seguro e Garantia</v>
      </c>
      <c r="B17" s="246"/>
      <c r="C17" s="246"/>
      <c r="D17" s="246"/>
      <c r="E17" s="6" t="str">
        <f>IF($I$9=$A$59,"K2","SG")</f>
        <v>SG</v>
      </c>
      <c r="F17" s="7">
        <v>8.5000000000000006E-3</v>
      </c>
      <c r="G17" s="8" t="s">
        <v>129</v>
      </c>
      <c r="H17" s="9">
        <v>3.2000000000000002E-3</v>
      </c>
      <c r="I17" s="9">
        <v>4.0000000000000001E-3</v>
      </c>
      <c r="J17" s="9">
        <v>7.4000000000000003E-3</v>
      </c>
    </row>
    <row r="18" spans="1:10" ht="20.100000000000001" customHeight="1" x14ac:dyDescent="0.25">
      <c r="A18" s="246" t="str">
        <f>IF($I$9=$A$59,"","Risco")</f>
        <v>Risco</v>
      </c>
      <c r="B18" s="246"/>
      <c r="C18" s="246"/>
      <c r="D18" s="246"/>
      <c r="E18" s="6" t="str">
        <f>IF($I$9=$A$59,"","R")</f>
        <v>R</v>
      </c>
      <c r="F18" s="7">
        <v>9.7000000000000003E-3</v>
      </c>
      <c r="G18" s="8" t="s">
        <v>129</v>
      </c>
      <c r="H18" s="9">
        <v>5.0000000000000001E-3</v>
      </c>
      <c r="I18" s="9">
        <v>5.5999999999999999E-3</v>
      </c>
      <c r="J18" s="9">
        <v>9.7000000000000003E-3</v>
      </c>
    </row>
    <row r="19" spans="1:10" ht="20.100000000000001" customHeight="1" x14ac:dyDescent="0.25">
      <c r="A19" s="246" t="str">
        <f>IF($I$9=$A$59,"","Despesas Financeiras")</f>
        <v>Despesas Financeiras</v>
      </c>
      <c r="B19" s="246"/>
      <c r="C19" s="246"/>
      <c r="D19" s="246"/>
      <c r="E19" s="6" t="str">
        <f>IF($I$9=$A$59,"","DF")</f>
        <v>DF</v>
      </c>
      <c r="F19" s="7">
        <v>6.1999999999999998E-3</v>
      </c>
      <c r="G19" s="8" t="s">
        <v>129</v>
      </c>
      <c r="H19" s="9">
        <v>1.0200000000000001E-2</v>
      </c>
      <c r="I19" s="9">
        <v>1.11E-2</v>
      </c>
      <c r="J19" s="9">
        <v>1.21E-2</v>
      </c>
    </row>
    <row r="20" spans="1:10" ht="20.100000000000001" customHeight="1" x14ac:dyDescent="0.25">
      <c r="A20" s="246" t="str">
        <f>IF($I$9=$A$59,"Margem bruta da empresa de consultoria","Lucro")</f>
        <v>Lucro</v>
      </c>
      <c r="B20" s="246"/>
      <c r="C20" s="246"/>
      <c r="D20" s="246"/>
      <c r="E20" s="6" t="str">
        <f>IF($I$9=$A$59,"K3","L")</f>
        <v>L</v>
      </c>
      <c r="F20" s="7">
        <v>7.3999999999999996E-2</v>
      </c>
      <c r="G20" s="8" t="s">
        <v>129</v>
      </c>
      <c r="H20" s="9">
        <v>6.6400000000000001E-2</v>
      </c>
      <c r="I20" s="9">
        <v>7.2999999999999995E-2</v>
      </c>
      <c r="J20" s="9">
        <v>8.6900000000000005E-2</v>
      </c>
    </row>
    <row r="21" spans="1:10" ht="20.100000000000001" customHeight="1" x14ac:dyDescent="0.25">
      <c r="A21" s="245" t="s">
        <v>130</v>
      </c>
      <c r="B21" s="245"/>
      <c r="C21" s="245"/>
      <c r="D21" s="245"/>
      <c r="E21" s="6" t="s">
        <v>131</v>
      </c>
      <c r="F21" s="7">
        <v>3.7499999999999999E-2</v>
      </c>
      <c r="G21" s="8" t="s">
        <v>129</v>
      </c>
      <c r="H21" s="9">
        <v>3.6499999999999998E-2</v>
      </c>
      <c r="I21" s="9">
        <v>3.6499999999999998E-2</v>
      </c>
      <c r="J21" s="9">
        <v>3.6499999999999998E-2</v>
      </c>
    </row>
    <row r="22" spans="1:10" ht="20.100000000000001" customHeight="1" x14ac:dyDescent="0.25">
      <c r="A22" s="246" t="s">
        <v>132</v>
      </c>
      <c r="B22" s="246"/>
      <c r="C22" s="246"/>
      <c r="D22" s="246"/>
      <c r="E22" s="6" t="s">
        <v>133</v>
      </c>
      <c r="F22" s="9">
        <v>0.05</v>
      </c>
      <c r="G22" s="8" t="s">
        <v>129</v>
      </c>
      <c r="H22" s="9">
        <v>0</v>
      </c>
      <c r="I22" s="9">
        <v>2.5000000000000001E-2</v>
      </c>
      <c r="J22" s="9">
        <v>0.05</v>
      </c>
    </row>
    <row r="23" spans="1:10" ht="24" customHeight="1" x14ac:dyDescent="0.25">
      <c r="A23" s="246" t="s">
        <v>134</v>
      </c>
      <c r="B23" s="246"/>
      <c r="C23" s="246"/>
      <c r="D23" s="246"/>
      <c r="E23" s="6" t="s">
        <v>135</v>
      </c>
      <c r="F23" s="9">
        <f>IF(I9="Sim",4.5%,0%)</f>
        <v>0</v>
      </c>
      <c r="G23" s="8" t="str">
        <f>IF(AND(F23&gt;=H23, F23&lt;=J23), "OK", "Não OK")</f>
        <v>OK</v>
      </c>
      <c r="H23" s="10">
        <v>0</v>
      </c>
      <c r="I23" s="10">
        <v>4.4999999999999998E-2</v>
      </c>
      <c r="J23" s="10">
        <v>4.4999999999999998E-2</v>
      </c>
    </row>
    <row r="24" spans="1:10" ht="18" customHeight="1" x14ac:dyDescent="0.25">
      <c r="A24" s="246" t="s">
        <v>136</v>
      </c>
      <c r="B24" s="246"/>
      <c r="C24" s="246"/>
      <c r="D24" s="246"/>
      <c r="E24" s="11" t="s">
        <v>137</v>
      </c>
      <c r="F24" s="9">
        <f>ROUND((((1+F16+F17+F18)*(1+F19)*(1+F20)/(1-(F21+F22)))-1),4)</f>
        <v>0.2414</v>
      </c>
      <c r="G24" s="8" t="str">
        <f>IF(OR($I$9=$A$59,AND(F24&gt;=H24, F24&lt;=J24)), "OK", "NÃO OK")</f>
        <v>OK</v>
      </c>
      <c r="H24" s="9">
        <v>0.19600000000000001</v>
      </c>
      <c r="I24" s="9">
        <v>0.2097</v>
      </c>
      <c r="J24" s="9">
        <v>0.24229999999999999</v>
      </c>
    </row>
    <row r="25" spans="1:10" ht="13.8" x14ac:dyDescent="0.25">
      <c r="A25" s="247" t="s">
        <v>138</v>
      </c>
      <c r="B25" s="247"/>
      <c r="C25" s="247"/>
      <c r="D25" s="247"/>
      <c r="E25" s="26" t="s">
        <v>139</v>
      </c>
      <c r="F25" s="27">
        <f>ROUND((((1+F16+F17+F18)*(1+F19)*(1+F20)/(1-(F21+F22+F23)))-1),4)</f>
        <v>0.2414</v>
      </c>
      <c r="G25" s="28" t="str">
        <f>IF(I9&lt;&gt;"Sim","",IF(COUNTIF(#REF!,"NÃO OK")&gt;0,"NÃO OK","OK"))</f>
        <v/>
      </c>
      <c r="H25" s="251"/>
      <c r="I25" s="251"/>
      <c r="J25" s="251"/>
    </row>
    <row r="27" spans="1:10" ht="37.5" customHeight="1" x14ac:dyDescent="0.25">
      <c r="A27" s="238" t="s">
        <v>140</v>
      </c>
      <c r="B27" s="238"/>
      <c r="C27" s="238"/>
      <c r="D27" s="238"/>
      <c r="E27" s="238"/>
      <c r="F27" s="238"/>
      <c r="G27" s="238"/>
      <c r="H27" s="238"/>
      <c r="I27" s="238"/>
      <c r="J27" s="238"/>
    </row>
    <row r="28" spans="1:10" ht="25.05" customHeight="1" x14ac:dyDescent="0.3">
      <c r="A28" s="12"/>
      <c r="B28" s="12"/>
      <c r="C28" s="12"/>
      <c r="D28" s="224" t="str">
        <f>IF(I9="Sim","BDI.DES =","BDI.PAD =")</f>
        <v>BDI.PAD =</v>
      </c>
      <c r="E28" s="225" t="str">
        <f>IF($I$9=$A$59,"(1+K1+K2)*(1+K3)","(1+AC + S + R + G)*(1 + DF)*(1+L)")</f>
        <v>(1+AC + S + R + G)*(1 + DF)*(1+L)</v>
      </c>
      <c r="F28" s="225"/>
      <c r="G28" s="225"/>
      <c r="H28" s="226" t="s">
        <v>141</v>
      </c>
      <c r="I28" s="12"/>
      <c r="J28" s="12"/>
    </row>
    <row r="29" spans="1:10" ht="25.05" customHeight="1" x14ac:dyDescent="0.25">
      <c r="A29" s="12"/>
      <c r="B29" s="12"/>
      <c r="C29" s="12"/>
      <c r="D29" s="224"/>
      <c r="E29" s="228" t="str">
        <f>IF(I9="Sim","(1-CP-ISS-CRPB)","(1-CP-ISS)")</f>
        <v>(1-CP-ISS)</v>
      </c>
      <c r="F29" s="228"/>
      <c r="G29" s="228"/>
      <c r="H29" s="227"/>
      <c r="I29" s="12"/>
      <c r="J29" s="12"/>
    </row>
    <row r="30" spans="1:10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</row>
    <row r="31" spans="1:10" ht="49.5" customHeight="1" x14ac:dyDescent="0.25">
      <c r="A31" s="229" t="str">
        <f>CONCATENATE("Declaro para os devidos fins que, conforme legislação tributária municipal, a base de cálculo para ",A9,", é de ",I11*100,"%, com a respectiva alíquota de ",I12*100,"%.")</f>
        <v>Declaro para os devidos fins que, conforme legislação tributária municipal, a base de cálculo para Construção de Praças Urbanas, Rodovias, Ferrovias e recapeamento e pavimentação de vias urbanas, é de 100%, com a respectiva alíquota de 5%.</v>
      </c>
      <c r="B31" s="229"/>
      <c r="C31" s="229"/>
      <c r="D31" s="229"/>
      <c r="E31" s="229"/>
      <c r="F31" s="229"/>
      <c r="G31" s="229"/>
      <c r="H31" s="229"/>
      <c r="I31" s="229"/>
      <c r="J31" s="229"/>
    </row>
    <row r="33" spans="1:10" x14ac:dyDescent="0.25">
      <c r="A33" s="3" t="s">
        <v>142</v>
      </c>
    </row>
    <row r="34" spans="1:10" ht="32.549999999999997" customHeight="1" x14ac:dyDescent="0.25">
      <c r="A34" s="230"/>
      <c r="B34" s="231"/>
      <c r="C34" s="231"/>
      <c r="D34" s="231"/>
      <c r="E34" s="231"/>
      <c r="F34" s="231"/>
      <c r="G34" s="231"/>
      <c r="H34" s="231"/>
      <c r="I34" s="231"/>
      <c r="J34" s="232"/>
    </row>
    <row r="36" spans="1:10" x14ac:dyDescent="0.25">
      <c r="A36" s="233" t="s">
        <v>143</v>
      </c>
      <c r="B36" s="233"/>
      <c r="C36" s="233"/>
      <c r="D36" s="233"/>
      <c r="J36" s="15" t="s">
        <v>144</v>
      </c>
    </row>
    <row r="37" spans="1:10" x14ac:dyDescent="0.25">
      <c r="A37" s="234"/>
      <c r="B37" s="234"/>
      <c r="C37" s="234"/>
      <c r="D37" s="234"/>
      <c r="F37" s="236" t="str">
        <f>'Plan. Orç. '!A70</f>
        <v xml:space="preserve">CHAPADA GAÚCHA - MG; 27 DE AGOSTO DE 2025. </v>
      </c>
      <c r="G37" s="236"/>
      <c r="H37" s="236"/>
      <c r="I37" s="236"/>
      <c r="J37" s="236"/>
    </row>
    <row r="38" spans="1:10" x14ac:dyDescent="0.25">
      <c r="A38" s="20"/>
      <c r="B38" s="104"/>
      <c r="C38" s="104"/>
      <c r="D38" s="104"/>
      <c r="F38" s="16"/>
      <c r="H38" s="16"/>
      <c r="I38" s="16"/>
      <c r="J38" s="16"/>
    </row>
    <row r="39" spans="1:10" x14ac:dyDescent="0.25">
      <c r="A39" s="20"/>
      <c r="B39" s="104"/>
      <c r="C39" s="104"/>
      <c r="D39" s="104"/>
      <c r="F39" s="16"/>
      <c r="H39" s="16"/>
      <c r="I39" s="16"/>
      <c r="J39" s="16"/>
    </row>
    <row r="41" spans="1:10" x14ac:dyDescent="0.25">
      <c r="H41" s="67"/>
    </row>
    <row r="42" spans="1:10" ht="13.8" x14ac:dyDescent="0.25">
      <c r="A42" s="235"/>
      <c r="B42" s="235"/>
      <c r="C42" s="235"/>
      <c r="D42" s="235"/>
      <c r="E42" s="14"/>
      <c r="F42" s="14"/>
      <c r="G42" s="235"/>
      <c r="H42" s="235"/>
      <c r="I42" s="235"/>
      <c r="J42" s="235"/>
    </row>
    <row r="43" spans="1:10" x14ac:dyDescent="0.25">
      <c r="A43" s="223" t="s">
        <v>145</v>
      </c>
      <c r="B43" s="223"/>
      <c r="C43" s="223"/>
      <c r="D43" s="223"/>
      <c r="G43" s="223" t="s">
        <v>146</v>
      </c>
      <c r="H43" s="223"/>
      <c r="I43" s="223"/>
      <c r="J43" s="223"/>
    </row>
    <row r="44" spans="1:10" x14ac:dyDescent="0.25">
      <c r="A44" s="17" t="s">
        <v>147</v>
      </c>
      <c r="B44" s="222" t="str">
        <f>'Plan. Orç. '!C73</f>
        <v>LUCAS LISBOA DE ANDRADE</v>
      </c>
      <c r="C44" s="222"/>
      <c r="D44" s="222"/>
      <c r="E44" s="18"/>
      <c r="F44" s="18"/>
      <c r="G44" s="17" t="s">
        <v>147</v>
      </c>
      <c r="H44" s="237" t="s">
        <v>148</v>
      </c>
      <c r="I44" s="237"/>
      <c r="J44" s="237"/>
    </row>
    <row r="45" spans="1:10" x14ac:dyDescent="0.25">
      <c r="A45" s="17" t="s">
        <v>149</v>
      </c>
      <c r="B45" s="222" t="s">
        <v>108</v>
      </c>
      <c r="C45" s="222"/>
      <c r="D45" s="222"/>
      <c r="E45" s="18"/>
      <c r="F45" s="18"/>
      <c r="G45" s="17" t="s">
        <v>150</v>
      </c>
      <c r="H45" s="237" t="s">
        <v>109</v>
      </c>
      <c r="I45" s="237"/>
      <c r="J45" s="237"/>
    </row>
    <row r="46" spans="1:10" x14ac:dyDescent="0.25">
      <c r="A46" s="17" t="s">
        <v>151</v>
      </c>
      <c r="B46" s="222" t="str">
        <f>'Plan. Orç. '!C75</f>
        <v>CREA: 31.285/D-DF</v>
      </c>
      <c r="C46" s="222"/>
      <c r="D46" s="222"/>
      <c r="E46" s="18"/>
      <c r="F46" s="18"/>
      <c r="G46" s="18"/>
      <c r="H46" s="18"/>
      <c r="I46" s="18"/>
      <c r="J46" s="18"/>
    </row>
  </sheetData>
  <mergeCells count="48">
    <mergeCell ref="A25:D25"/>
    <mergeCell ref="A5:J5"/>
    <mergeCell ref="H25:J25"/>
    <mergeCell ref="A1:J1"/>
    <mergeCell ref="A2:J2"/>
    <mergeCell ref="A3:J3"/>
    <mergeCell ref="A6:J6"/>
    <mergeCell ref="A16:D16"/>
    <mergeCell ref="A17:D17"/>
    <mergeCell ref="A18:D18"/>
    <mergeCell ref="A19:D19"/>
    <mergeCell ref="A20:D20"/>
    <mergeCell ref="A8:H8"/>
    <mergeCell ref="I8:J8"/>
    <mergeCell ref="A9:H9"/>
    <mergeCell ref="I9:J9"/>
    <mergeCell ref="A27:J27"/>
    <mergeCell ref="B44:D44"/>
    <mergeCell ref="H44:J44"/>
    <mergeCell ref="A11:H11"/>
    <mergeCell ref="I11:J11"/>
    <mergeCell ref="A12:H12"/>
    <mergeCell ref="I12:J12"/>
    <mergeCell ref="A14:D15"/>
    <mergeCell ref="E14:E15"/>
    <mergeCell ref="F14:F15"/>
    <mergeCell ref="G14:G15"/>
    <mergeCell ref="H14:J14"/>
    <mergeCell ref="A21:D21"/>
    <mergeCell ref="A22:D22"/>
    <mergeCell ref="A23:D23"/>
    <mergeCell ref="A24:D24"/>
    <mergeCell ref="B46:D46"/>
    <mergeCell ref="A43:D43"/>
    <mergeCell ref="G43:J43"/>
    <mergeCell ref="D28:D29"/>
    <mergeCell ref="E28:G28"/>
    <mergeCell ref="H28:H29"/>
    <mergeCell ref="E29:G29"/>
    <mergeCell ref="A31:J31"/>
    <mergeCell ref="A34:J34"/>
    <mergeCell ref="A36:D36"/>
    <mergeCell ref="A37:D37"/>
    <mergeCell ref="A42:D42"/>
    <mergeCell ref="G42:J42"/>
    <mergeCell ref="F37:J37"/>
    <mergeCell ref="B45:D45"/>
    <mergeCell ref="H45:J45"/>
  </mergeCells>
  <conditionalFormatting sqref="A24:F24">
    <cfRule type="expression" dxfId="5" priority="4" stopIfTrue="1">
      <formula>#REF!="Não"</formula>
    </cfRule>
  </conditionalFormatting>
  <conditionalFormatting sqref="A25:F25">
    <cfRule type="expression" dxfId="4" priority="5" stopIfTrue="1">
      <formula>#REF!="sim"</formula>
    </cfRule>
  </conditionalFormatting>
  <conditionalFormatting sqref="A11:H11 A31:J31">
    <cfRule type="expression" dxfId="3" priority="8" stopIfTrue="1">
      <formula>$I$9=$A$58</formula>
    </cfRule>
  </conditionalFormatting>
  <conditionalFormatting sqref="G16:G25">
    <cfRule type="cellIs" dxfId="2" priority="2" stopIfTrue="1" operator="equal">
      <formula>"NÃO OK"</formula>
    </cfRule>
    <cfRule type="cellIs" dxfId="1" priority="3" stopIfTrue="1" operator="equal">
      <formula>"OK"</formula>
    </cfRule>
  </conditionalFormatting>
  <conditionalFormatting sqref="I11:J12 A12:H12">
    <cfRule type="expression" dxfId="0" priority="9" stopIfTrue="1">
      <formula>$I$9=$A$58</formula>
    </cfRule>
  </conditionalFormatting>
  <dataValidations disablePrompts="1" count="7">
    <dataValidation type="decimal" allowBlank="1" showInputMessage="1" showErrorMessage="1" errorTitle="Erro de valores" error="Digite um valor entre 0% e 100%" sqref="F16:F21" xr:uid="{00000000-0002-0000-0100-000000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I12:J12" xr:uid="{00000000-0002-0000-0100-000001000000}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11:J11" xr:uid="{00000000-0002-0000-0100-000002000000}">
      <formula1>0</formula1>
      <formula2>1</formula2>
    </dataValidation>
    <dataValidation type="decimal" allowBlank="1" showInputMessage="1" showErrorMessage="1" errorTitle="Erro de valores" error="Digite um valor maior do que 0." sqref="F22" xr:uid="{00000000-0002-0000-0100-000003000000}">
      <formula1>0</formula1>
      <formula2>1</formula2>
    </dataValidation>
    <dataValidation operator="greaterThanOrEqual" allowBlank="1" showInputMessage="1" showErrorMessage="1" errorTitle="Erro de valores" error="Digite um valor igual a 0% ou 2%." sqref="F23" xr:uid="{00000000-0002-0000-0100-000004000000}"/>
    <dataValidation type="list" allowBlank="1" showInputMessage="1" showErrorMessage="1" sqref="A9:H9" xr:uid="{00000000-0002-0000-0100-000005000000}">
      <formula1>$A$53:$A$59</formula1>
    </dataValidation>
    <dataValidation type="list" allowBlank="1" showInputMessage="1" showErrorMessage="1" sqref="I9:J9" xr:uid="{00000000-0002-0000-0100-000006000000}">
      <formula1>"Sim,Não"</formula1>
    </dataValidation>
  </dataValidations>
  <pageMargins left="0.51181102362204722" right="0.51181102362204722" top="1.2598425196850394" bottom="0.78740157480314965" header="0.31496062992125984" footer="0.31496062992125984"/>
  <pageSetup paperSize="9" scale="88" orientation="portrait" r:id="rId1"/>
  <headerFooter>
    <oddHeader>&amp;C&amp;G</oddHeader>
    <oddFooter>&amp;LENDEREÇO: GETÚLIO VARGAS, N° 500, CENTRO, CHAPADA GAÚCHA – MG, CEP: 38.689-000.&amp;RPágina 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0"/>
  <sheetViews>
    <sheetView view="pageBreakPreview" zoomScale="80" zoomScaleNormal="80" zoomScaleSheetLayoutView="80" workbookViewId="0">
      <selection activeCell="J37" sqref="J37"/>
    </sheetView>
  </sheetViews>
  <sheetFormatPr defaultRowHeight="13.2" x14ac:dyDescent="0.25"/>
  <cols>
    <col min="1" max="1" width="9.77734375" customWidth="1"/>
    <col min="2" max="2" width="39.21875" customWidth="1"/>
    <col min="3" max="3" width="25.77734375" customWidth="1"/>
    <col min="4" max="4" width="17.21875" style="22" customWidth="1"/>
    <col min="5" max="5" width="18.5546875" customWidth="1"/>
    <col min="6" max="6" width="13.77734375" customWidth="1"/>
    <col min="7" max="7" width="17.44140625" bestFit="1" customWidth="1"/>
    <col min="8" max="8" width="14.21875" customWidth="1"/>
    <col min="9" max="9" width="17.44140625" bestFit="1" customWidth="1"/>
    <col min="10" max="10" width="14.77734375" customWidth="1"/>
    <col min="11" max="11" width="17.44140625" bestFit="1" customWidth="1"/>
    <col min="12" max="12" width="14.21875" customWidth="1"/>
    <col min="13" max="13" width="17.44140625" bestFit="1" customWidth="1"/>
    <col min="14" max="14" width="14.44140625" customWidth="1"/>
    <col min="15" max="15" width="17.44140625" bestFit="1" customWidth="1"/>
  </cols>
  <sheetData>
    <row r="1" spans="1:9" ht="30.75" customHeight="1" x14ac:dyDescent="0.25">
      <c r="A1" s="195" t="s">
        <v>152</v>
      </c>
      <c r="B1" s="195"/>
      <c r="C1" s="195"/>
      <c r="D1" s="195"/>
      <c r="E1" s="195"/>
      <c r="F1" s="195"/>
      <c r="G1" s="195"/>
      <c r="H1" s="195"/>
      <c r="I1" s="195"/>
    </row>
    <row r="2" spans="1:9" ht="15.6" x14ac:dyDescent="0.3">
      <c r="A2" s="91" t="s">
        <v>1</v>
      </c>
      <c r="B2" s="44"/>
      <c r="C2" s="45"/>
      <c r="D2" s="181" t="s">
        <v>2</v>
      </c>
      <c r="E2" s="182"/>
      <c r="F2" s="182"/>
      <c r="G2" s="183"/>
      <c r="H2" s="46"/>
    </row>
    <row r="3" spans="1:9" ht="13.8" x14ac:dyDescent="0.25">
      <c r="A3" s="196" t="s">
        <v>3</v>
      </c>
      <c r="B3" s="197"/>
      <c r="C3" s="198"/>
      <c r="D3" s="184" t="s">
        <v>4</v>
      </c>
      <c r="E3" s="185"/>
      <c r="F3" s="185"/>
      <c r="G3" s="186"/>
      <c r="H3" s="46"/>
    </row>
    <row r="4" spans="1:9" ht="7.95" customHeight="1" x14ac:dyDescent="0.25">
      <c r="A4" s="54"/>
      <c r="B4" s="54"/>
      <c r="C4" s="54"/>
      <c r="D4" s="52"/>
      <c r="E4" s="52"/>
      <c r="F4" s="52"/>
      <c r="G4" s="52"/>
      <c r="H4" s="46"/>
    </row>
    <row r="5" spans="1:9" ht="15.6" x14ac:dyDescent="0.3">
      <c r="A5" s="181" t="s">
        <v>5</v>
      </c>
      <c r="B5" s="182"/>
      <c r="C5" s="183"/>
      <c r="D5" s="181" t="s">
        <v>6</v>
      </c>
      <c r="E5" s="182"/>
      <c r="F5" s="182"/>
      <c r="G5" s="183"/>
      <c r="H5" s="46"/>
    </row>
    <row r="6" spans="1:9" ht="13.8" x14ac:dyDescent="0.25">
      <c r="A6" s="270" t="str">
        <f>'Plan. Orç. '!A6:C6</f>
        <v xml:space="preserve">COBERTURA DE PÁTIO DA ESCOLA MUNICIPAL SANTO ANTÔNIO </v>
      </c>
      <c r="B6" s="270"/>
      <c r="C6" s="270"/>
      <c r="D6" s="184" t="s">
        <v>7</v>
      </c>
      <c r="E6" s="185"/>
      <c r="F6" s="185"/>
      <c r="G6" s="186"/>
      <c r="H6" s="46"/>
    </row>
    <row r="7" spans="1:9" ht="14.55" customHeight="1" x14ac:dyDescent="0.25">
      <c r="A7" s="270"/>
      <c r="B7" s="270"/>
      <c r="C7" s="270"/>
      <c r="D7" s="52"/>
      <c r="E7" s="52"/>
      <c r="F7" s="52"/>
      <c r="G7" s="52"/>
      <c r="H7" s="46"/>
    </row>
    <row r="8" spans="1:9" ht="15.6" x14ac:dyDescent="0.3">
      <c r="A8" s="181" t="s">
        <v>8</v>
      </c>
      <c r="B8" s="182"/>
      <c r="C8" s="183"/>
      <c r="D8" s="181" t="s">
        <v>9</v>
      </c>
      <c r="E8" s="182"/>
      <c r="F8" s="182"/>
      <c r="G8" s="183"/>
      <c r="H8" s="46"/>
    </row>
    <row r="9" spans="1:9" ht="13.8" x14ac:dyDescent="0.25">
      <c r="A9" s="193" t="str">
        <f>'Plan. Orç. '!A9:C9</f>
        <v xml:space="preserve">RUA FRANCISCO RODRIGUES DE ALMEIDA N° 340 </v>
      </c>
      <c r="B9" s="194"/>
      <c r="C9" s="194"/>
      <c r="D9" s="184" t="str">
        <f>'Plan. Orç. '!D9:G9</f>
        <v>15°30'20.6"S 45°23'55.4"W</v>
      </c>
      <c r="E9" s="185"/>
      <c r="F9" s="185"/>
      <c r="G9" s="186"/>
      <c r="H9" s="46"/>
    </row>
    <row r="10" spans="1:9" ht="7.95" customHeight="1" x14ac:dyDescent="0.25">
      <c r="A10" s="50"/>
      <c r="B10" s="50"/>
      <c r="C10" s="50"/>
      <c r="D10" s="52"/>
      <c r="E10" s="52"/>
      <c r="F10" s="52"/>
      <c r="G10" s="52"/>
      <c r="H10" s="46"/>
    </row>
    <row r="11" spans="1:9" ht="15.6" x14ac:dyDescent="0.3">
      <c r="A11" s="181" t="s">
        <v>10</v>
      </c>
      <c r="B11" s="182"/>
      <c r="C11" s="93"/>
      <c r="D11" s="92" t="s">
        <v>11</v>
      </c>
      <c r="E11" s="92"/>
      <c r="F11" s="91" t="s">
        <v>12</v>
      </c>
      <c r="G11" s="53" t="s">
        <v>13</v>
      </c>
      <c r="H11" s="46"/>
    </row>
    <row r="12" spans="1:9" ht="15.6" x14ac:dyDescent="0.3">
      <c r="A12" s="193" t="str">
        <f>'Plan. Orç. '!A12:C12</f>
        <v>DISTRITO DE SERRA DAS ARARAS</v>
      </c>
      <c r="B12" s="194"/>
      <c r="C12" s="209"/>
      <c r="D12" s="47" t="s">
        <v>14</v>
      </c>
      <c r="E12" s="96"/>
      <c r="F12" s="95" t="s">
        <v>15</v>
      </c>
      <c r="G12" s="48">
        <f>'BDI '!F25</f>
        <v>0.2414</v>
      </c>
      <c r="H12" s="46"/>
    </row>
    <row r="13" spans="1:9" ht="7.2" customHeight="1" x14ac:dyDescent="0.3">
      <c r="A13" s="50"/>
      <c r="B13" s="50"/>
      <c r="C13" s="50"/>
      <c r="D13" s="49"/>
      <c r="E13" s="50"/>
      <c r="F13" s="50"/>
      <c r="G13" s="51"/>
      <c r="H13" s="46"/>
    </row>
    <row r="14" spans="1:9" ht="17.55" customHeight="1" x14ac:dyDescent="0.25">
      <c r="A14" s="216" t="s">
        <v>16</v>
      </c>
      <c r="B14" s="216"/>
      <c r="C14" s="217"/>
      <c r="D14" s="100" t="s">
        <v>17</v>
      </c>
      <c r="E14" s="96"/>
      <c r="F14" s="96"/>
      <c r="G14" s="97"/>
    </row>
    <row r="15" spans="1:9" ht="16.2" customHeight="1" x14ac:dyDescent="0.25">
      <c r="A15" s="267" t="s">
        <v>18</v>
      </c>
      <c r="B15" s="268"/>
      <c r="C15" s="269"/>
      <c r="D15" s="187" t="s">
        <v>187</v>
      </c>
      <c r="E15" s="188"/>
      <c r="F15" s="188"/>
      <c r="G15" s="189"/>
    </row>
    <row r="16" spans="1:9" ht="16.2" customHeight="1" thickBot="1" x14ac:dyDescent="0.3">
      <c r="A16" s="267"/>
      <c r="B16" s="268"/>
      <c r="C16" s="269"/>
      <c r="D16" s="264" t="s">
        <v>19</v>
      </c>
      <c r="E16" s="265"/>
      <c r="F16" s="265"/>
      <c r="G16" s="266"/>
    </row>
    <row r="17" spans="1:15" ht="16.2" customHeight="1" x14ac:dyDescent="0.25">
      <c r="A17" s="281" t="s">
        <v>22</v>
      </c>
      <c r="B17" s="283" t="s">
        <v>153</v>
      </c>
      <c r="C17" s="285" t="s">
        <v>154</v>
      </c>
      <c r="D17" s="262" t="s">
        <v>155</v>
      </c>
      <c r="E17" s="263"/>
      <c r="F17" s="262" t="s">
        <v>156</v>
      </c>
      <c r="G17" s="263"/>
      <c r="H17" s="262" t="s">
        <v>157</v>
      </c>
      <c r="I17" s="263"/>
      <c r="J17" s="262" t="s">
        <v>158</v>
      </c>
      <c r="K17" s="263"/>
      <c r="L17" s="262" t="s">
        <v>159</v>
      </c>
      <c r="M17" s="263"/>
      <c r="N17" s="262" t="s">
        <v>160</v>
      </c>
      <c r="O17" s="263"/>
    </row>
    <row r="18" spans="1:15" ht="37.200000000000003" customHeight="1" x14ac:dyDescent="0.25">
      <c r="A18" s="282"/>
      <c r="B18" s="284"/>
      <c r="C18" s="286"/>
      <c r="D18" s="72" t="s">
        <v>161</v>
      </c>
      <c r="E18" s="73" t="s">
        <v>162</v>
      </c>
      <c r="F18" s="72" t="s">
        <v>161</v>
      </c>
      <c r="G18" s="73" t="s">
        <v>162</v>
      </c>
      <c r="H18" s="72" t="s">
        <v>161</v>
      </c>
      <c r="I18" s="73" t="s">
        <v>162</v>
      </c>
      <c r="J18" s="72" t="s">
        <v>161</v>
      </c>
      <c r="K18" s="73" t="s">
        <v>162</v>
      </c>
      <c r="L18" s="72" t="s">
        <v>161</v>
      </c>
      <c r="M18" s="73" t="s">
        <v>162</v>
      </c>
      <c r="N18" s="72" t="s">
        <v>161</v>
      </c>
      <c r="O18" s="73" t="s">
        <v>162</v>
      </c>
    </row>
    <row r="19" spans="1:15" ht="15.6" customHeight="1" x14ac:dyDescent="0.25">
      <c r="A19" s="61">
        <v>1</v>
      </c>
      <c r="B19" s="90" t="s">
        <v>31</v>
      </c>
      <c r="C19" s="68">
        <f>'Plan. Orç. '!H22</f>
        <v>1403.12</v>
      </c>
      <c r="D19" s="74">
        <v>1</v>
      </c>
      <c r="E19" s="75">
        <f>D19*C19</f>
        <v>1403.12</v>
      </c>
      <c r="F19" s="74"/>
      <c r="G19" s="75"/>
      <c r="H19" s="74"/>
      <c r="I19" s="75"/>
      <c r="J19" s="74"/>
      <c r="K19" s="75"/>
      <c r="L19" s="74"/>
      <c r="M19" s="75"/>
      <c r="N19" s="74"/>
      <c r="O19" s="75"/>
    </row>
    <row r="20" spans="1:15" s="24" customFormat="1" ht="15.6" x14ac:dyDescent="0.25">
      <c r="A20" s="61">
        <f>'Plan. Orç. '!A23</f>
        <v>2</v>
      </c>
      <c r="B20" s="90" t="str">
        <f>'Plan. Orç. '!B23:H23</f>
        <v>FUNDAÇÕES</v>
      </c>
      <c r="C20" s="68">
        <f>'Plan. Orç. '!H28</f>
        <v>12598.859867199999</v>
      </c>
      <c r="D20" s="74">
        <v>1</v>
      </c>
      <c r="E20" s="75">
        <f>D20*C20</f>
        <v>12598.859867199999</v>
      </c>
      <c r="F20" s="74"/>
      <c r="G20" s="75"/>
      <c r="H20" s="74"/>
      <c r="I20" s="75"/>
      <c r="J20" s="74"/>
      <c r="K20" s="75"/>
      <c r="L20" s="74"/>
      <c r="M20" s="75"/>
      <c r="N20" s="74"/>
      <c r="O20" s="75"/>
    </row>
    <row r="21" spans="1:15" s="24" customFormat="1" ht="15.6" x14ac:dyDescent="0.25">
      <c r="A21" s="61">
        <f>'Plan. Orç. '!A29</f>
        <v>3</v>
      </c>
      <c r="B21" s="82" t="str">
        <f>'Plan. Orç. '!B29</f>
        <v xml:space="preserve">MURETA </v>
      </c>
      <c r="C21" s="68">
        <f>'Plan. Orç. '!H33</f>
        <v>1781.6852549999996</v>
      </c>
      <c r="D21" s="74">
        <v>0.28000000000000003</v>
      </c>
      <c r="E21" s="75">
        <f>D21*C21</f>
        <v>498.87187139999997</v>
      </c>
      <c r="F21" s="74">
        <f>100%-D21</f>
        <v>0.72</v>
      </c>
      <c r="G21" s="75">
        <f>F21*C21</f>
        <v>1282.8133835999997</v>
      </c>
      <c r="H21" s="74"/>
      <c r="I21" s="75"/>
      <c r="J21" s="74"/>
      <c r="K21" s="75"/>
      <c r="L21" s="74"/>
      <c r="M21" s="75"/>
      <c r="N21" s="74"/>
      <c r="O21" s="75"/>
    </row>
    <row r="22" spans="1:15" s="24" customFormat="1" ht="15.6" x14ac:dyDescent="0.25">
      <c r="A22" s="61">
        <f>'Plan. Orç. '!A34</f>
        <v>4</v>
      </c>
      <c r="B22" s="82" t="str">
        <f>'Plan. Orç. '!B34</f>
        <v xml:space="preserve">COBERTURA </v>
      </c>
      <c r="C22" s="68">
        <f>'Plan. Orç. '!H41</f>
        <v>121698.43955</v>
      </c>
      <c r="D22" s="74"/>
      <c r="E22" s="75"/>
      <c r="F22" s="74">
        <v>0.188</v>
      </c>
      <c r="G22" s="75">
        <f>F22*C22</f>
        <v>22879.3066354</v>
      </c>
      <c r="H22" s="74">
        <v>0.48149999999999998</v>
      </c>
      <c r="I22" s="75">
        <f>H22*C22</f>
        <v>58597.798643324997</v>
      </c>
      <c r="J22" s="74">
        <f>100%-(F22+H22)</f>
        <v>0.33050000000000002</v>
      </c>
      <c r="K22" s="75">
        <f>J22*C22</f>
        <v>40221.334271275002</v>
      </c>
      <c r="L22" s="74"/>
      <c r="M22" s="75"/>
      <c r="N22" s="74"/>
      <c r="O22" s="75"/>
    </row>
    <row r="23" spans="1:15" s="24" customFormat="1" ht="15.6" x14ac:dyDescent="0.25">
      <c r="A23" s="69">
        <f>'Plan. Orç. '!A42</f>
        <v>5</v>
      </c>
      <c r="B23" s="81" t="str">
        <f>'Plan. Orç. '!B42</f>
        <v xml:space="preserve">EXECUÇÃO DO PISO DO PÁTIO </v>
      </c>
      <c r="C23" s="70">
        <f>'Plan. Orç. '!H48</f>
        <v>34572.31162</v>
      </c>
      <c r="D23" s="74"/>
      <c r="E23" s="75"/>
      <c r="F23" s="74"/>
      <c r="G23" s="75"/>
      <c r="H23" s="74"/>
      <c r="I23" s="75"/>
      <c r="J23" s="74">
        <v>0.26200000000000001</v>
      </c>
      <c r="K23" s="75">
        <f>J23*C23</f>
        <v>9057.9456444400003</v>
      </c>
      <c r="L23" s="74">
        <f>100%-J23</f>
        <v>0.73799999999999999</v>
      </c>
      <c r="M23" s="75">
        <f>L23*C23</f>
        <v>25514.365975559998</v>
      </c>
      <c r="N23" s="74"/>
      <c r="O23" s="75"/>
    </row>
    <row r="24" spans="1:15" s="24" customFormat="1" ht="15.6" x14ac:dyDescent="0.25">
      <c r="A24" s="61">
        <f>'Plan. Orç. '!A49</f>
        <v>6</v>
      </c>
      <c r="B24" s="82" t="str">
        <f>'Plan. Orç. '!B49</f>
        <v xml:space="preserve">ELÉTRICA </v>
      </c>
      <c r="C24" s="68">
        <f>'Plan. Orç. '!H61</f>
        <v>9217.83</v>
      </c>
      <c r="D24" s="74"/>
      <c r="E24" s="75"/>
      <c r="F24" s="74"/>
      <c r="G24" s="75"/>
      <c r="H24" s="74"/>
      <c r="I24" s="75"/>
      <c r="J24" s="74"/>
      <c r="K24" s="75"/>
      <c r="L24" s="74"/>
      <c r="M24" s="75"/>
      <c r="N24" s="74">
        <f t="shared" ref="N24:N26" si="0">100%-L24</f>
        <v>1</v>
      </c>
      <c r="O24" s="75">
        <f t="shared" ref="O24:O26" si="1">N24*C24</f>
        <v>9217.83</v>
      </c>
    </row>
    <row r="25" spans="1:15" s="24" customFormat="1" ht="15.6" x14ac:dyDescent="0.25">
      <c r="A25" s="69">
        <f>'Plan. Orç. '!A62</f>
        <v>7</v>
      </c>
      <c r="B25" s="43" t="str">
        <f>'Plan. Orç. '!B62:I62</f>
        <v xml:space="preserve">HIDRÁULICA - ÁGUA PLUVIAL </v>
      </c>
      <c r="C25" s="70">
        <f>'Plan. Orç. '!H65</f>
        <v>15803.731</v>
      </c>
      <c r="D25" s="74"/>
      <c r="E25" s="75"/>
      <c r="F25" s="74"/>
      <c r="G25" s="75"/>
      <c r="H25" s="74"/>
      <c r="I25" s="75"/>
      <c r="J25" s="74"/>
      <c r="K25" s="75"/>
      <c r="L25" s="74"/>
      <c r="M25" s="75"/>
      <c r="N25" s="74">
        <f t="shared" si="0"/>
        <v>1</v>
      </c>
      <c r="O25" s="75">
        <f t="shared" si="1"/>
        <v>15803.731</v>
      </c>
    </row>
    <row r="26" spans="1:15" s="24" customFormat="1" ht="15.6" customHeight="1" x14ac:dyDescent="0.25">
      <c r="A26" s="61">
        <f>'Plan. Orç. '!A66</f>
        <v>8</v>
      </c>
      <c r="B26" s="82" t="str">
        <f>'Plan. Orç. '!B66</f>
        <v xml:space="preserve">LIMPEZA FINAL DE OBRA  </v>
      </c>
      <c r="C26" s="68">
        <f>'Plan. Orç. '!H68</f>
        <v>2208.3519000000001</v>
      </c>
      <c r="D26" s="74"/>
      <c r="E26" s="85"/>
      <c r="F26" s="74"/>
      <c r="G26" s="85"/>
      <c r="H26" s="74"/>
      <c r="I26" s="85"/>
      <c r="J26" s="74"/>
      <c r="K26" s="85"/>
      <c r="L26" s="74"/>
      <c r="M26" s="85"/>
      <c r="N26" s="74">
        <f t="shared" si="0"/>
        <v>1</v>
      </c>
      <c r="O26" s="75">
        <f t="shared" si="1"/>
        <v>2208.3519000000001</v>
      </c>
    </row>
    <row r="27" spans="1:15" s="24" customFormat="1" ht="15.6" x14ac:dyDescent="0.25">
      <c r="A27" s="271" t="s">
        <v>163</v>
      </c>
      <c r="B27" s="272"/>
      <c r="C27" s="71">
        <f>SUM(C19:C26)</f>
        <v>199284.32919219998</v>
      </c>
      <c r="D27" s="279"/>
      <c r="E27" s="280"/>
      <c r="F27" s="279"/>
      <c r="G27" s="280"/>
      <c r="H27" s="279"/>
      <c r="I27" s="280"/>
      <c r="J27" s="287"/>
      <c r="K27" s="288"/>
      <c r="L27" s="287"/>
      <c r="M27" s="288"/>
      <c r="N27" s="287"/>
      <c r="O27" s="288"/>
    </row>
    <row r="28" spans="1:15" s="24" customFormat="1" ht="15.6" x14ac:dyDescent="0.25">
      <c r="A28" s="273" t="s">
        <v>164</v>
      </c>
      <c r="B28" s="274"/>
      <c r="C28" s="275"/>
      <c r="D28" s="74">
        <f>E28/$C$27</f>
        <v>7.2764636323283796E-2</v>
      </c>
      <c r="E28" s="75">
        <f>SUM(E19:E25)</f>
        <v>14500.8517386</v>
      </c>
      <c r="F28" s="74">
        <f>G28/$C$27</f>
        <v>0.12124445568269857</v>
      </c>
      <c r="G28" s="75">
        <f>SUM(G19:G25)</f>
        <v>24162.120019000002</v>
      </c>
      <c r="H28" s="74">
        <f>I28/$C$27</f>
        <v>0.29404117664871826</v>
      </c>
      <c r="I28" s="75">
        <f>SUM(I19:I25)</f>
        <v>58597.798643324997</v>
      </c>
      <c r="J28" s="74">
        <f>K28/$C$27</f>
        <v>0.2472812594721763</v>
      </c>
      <c r="K28" s="75">
        <f>SUM(K19:K25)</f>
        <v>49279.279915715</v>
      </c>
      <c r="L28" s="74">
        <f>M28/$C$27</f>
        <v>0.1280299664252709</v>
      </c>
      <c r="M28" s="75">
        <f>SUM(M19:M25)</f>
        <v>25514.365975559998</v>
      </c>
      <c r="N28" s="74">
        <f>O28/$C$27</f>
        <v>0.13663850544785228</v>
      </c>
      <c r="O28" s="75">
        <f>SUM(O19:O26)</f>
        <v>27229.912900000003</v>
      </c>
    </row>
    <row r="29" spans="1:15" s="24" customFormat="1" ht="16.2" thickBot="1" x14ac:dyDescent="0.3">
      <c r="A29" s="276" t="s">
        <v>165</v>
      </c>
      <c r="B29" s="277"/>
      <c r="C29" s="278"/>
      <c r="D29" s="76">
        <f>D28</f>
        <v>7.2764636323283796E-2</v>
      </c>
      <c r="E29" s="77">
        <f>E28</f>
        <v>14500.8517386</v>
      </c>
      <c r="F29" s="76">
        <f t="shared" ref="F29:O29" si="2">F28+D29</f>
        <v>0.19400909200598238</v>
      </c>
      <c r="G29" s="77">
        <f t="shared" si="2"/>
        <v>38662.971757600004</v>
      </c>
      <c r="H29" s="76">
        <f t="shared" si="2"/>
        <v>0.48805026865470064</v>
      </c>
      <c r="I29" s="77">
        <f t="shared" si="2"/>
        <v>97260.770400925001</v>
      </c>
      <c r="J29" s="76">
        <f t="shared" si="2"/>
        <v>0.73533152812687697</v>
      </c>
      <c r="K29" s="77">
        <f t="shared" si="2"/>
        <v>146540.05031664</v>
      </c>
      <c r="L29" s="76">
        <f t="shared" si="2"/>
        <v>0.86336149455214783</v>
      </c>
      <c r="M29" s="77">
        <f t="shared" si="2"/>
        <v>172054.41629220001</v>
      </c>
      <c r="N29" s="76">
        <f t="shared" si="2"/>
        <v>1</v>
      </c>
      <c r="O29" s="77">
        <f t="shared" si="2"/>
        <v>199284.32919220001</v>
      </c>
    </row>
    <row r="30" spans="1:15" ht="15" customHeight="1" x14ac:dyDescent="0.25">
      <c r="A30" s="207" t="str">
        <f>'Plan. Orç. '!A70:I70</f>
        <v xml:space="preserve">CHAPADA GAÚCHA - MG; 27 DE AGOSTO DE 2025. </v>
      </c>
      <c r="B30" s="207"/>
      <c r="C30" s="207"/>
      <c r="D30" s="207"/>
      <c r="E30" s="207"/>
      <c r="F30" s="207"/>
      <c r="G30" s="207"/>
      <c r="H30" s="207"/>
      <c r="I30" s="207"/>
    </row>
    <row r="31" spans="1:15" ht="39.6" customHeight="1" x14ac:dyDescent="0.25">
      <c r="A31" s="94"/>
      <c r="B31" s="109"/>
      <c r="C31" s="207" t="s">
        <v>104</v>
      </c>
      <c r="D31" s="83"/>
      <c r="E31" s="109"/>
      <c r="F31" s="109"/>
      <c r="G31" s="199" t="s">
        <v>105</v>
      </c>
      <c r="H31" s="199"/>
      <c r="I31" s="109"/>
    </row>
    <row r="32" spans="1:15" ht="15" customHeight="1" x14ac:dyDescent="0.25">
      <c r="A32" s="94"/>
      <c r="B32" s="109"/>
      <c r="C32" s="207"/>
      <c r="D32" s="109"/>
      <c r="E32" s="109"/>
      <c r="F32" s="109"/>
      <c r="G32" s="199"/>
      <c r="H32" s="199"/>
      <c r="I32" s="109"/>
    </row>
    <row r="33" spans="1:14" x14ac:dyDescent="0.25">
      <c r="C33" s="60" t="s">
        <v>106</v>
      </c>
      <c r="G33" s="206" t="s">
        <v>107</v>
      </c>
      <c r="H33" s="206"/>
    </row>
    <row r="34" spans="1:14" x14ac:dyDescent="0.25">
      <c r="C34" s="2" t="s">
        <v>108</v>
      </c>
      <c r="G34" s="199" t="s">
        <v>109</v>
      </c>
      <c r="H34" s="199"/>
    </row>
    <row r="35" spans="1:14" x14ac:dyDescent="0.25">
      <c r="C35" s="2" t="s">
        <v>110</v>
      </c>
    </row>
    <row r="40" spans="1:14" s="22" customFormat="1" x14ac:dyDescent="0.25">
      <c r="A40"/>
      <c r="B40"/>
      <c r="C40" s="29"/>
      <c r="E40"/>
      <c r="F40"/>
      <c r="G40"/>
      <c r="H40"/>
      <c r="I40"/>
      <c r="J40"/>
      <c r="K40"/>
      <c r="L40"/>
      <c r="M40"/>
      <c r="N40"/>
    </row>
  </sheetData>
  <mergeCells count="41">
    <mergeCell ref="L27:M27"/>
    <mergeCell ref="N27:O27"/>
    <mergeCell ref="J17:K17"/>
    <mergeCell ref="L17:M17"/>
    <mergeCell ref="N17:O17"/>
    <mergeCell ref="J27:K27"/>
    <mergeCell ref="G33:H33"/>
    <mergeCell ref="G34:H34"/>
    <mergeCell ref="H17:I17"/>
    <mergeCell ref="A30:I30"/>
    <mergeCell ref="C31:C32"/>
    <mergeCell ref="G31:H32"/>
    <mergeCell ref="A27:B27"/>
    <mergeCell ref="A28:C28"/>
    <mergeCell ref="A29:C29"/>
    <mergeCell ref="D27:E27"/>
    <mergeCell ref="F27:G27"/>
    <mergeCell ref="H27:I27"/>
    <mergeCell ref="A17:A18"/>
    <mergeCell ref="B17:B18"/>
    <mergeCell ref="C17:C18"/>
    <mergeCell ref="D17:E17"/>
    <mergeCell ref="F17:G17"/>
    <mergeCell ref="D16:G16"/>
    <mergeCell ref="D6:G6"/>
    <mergeCell ref="A8:C8"/>
    <mergeCell ref="D8:G8"/>
    <mergeCell ref="A9:C9"/>
    <mergeCell ref="D9:G9"/>
    <mergeCell ref="A11:B11"/>
    <mergeCell ref="A12:C12"/>
    <mergeCell ref="A14:C14"/>
    <mergeCell ref="A15:C16"/>
    <mergeCell ref="D15:G15"/>
    <mergeCell ref="A6:C7"/>
    <mergeCell ref="A1:I1"/>
    <mergeCell ref="D2:G2"/>
    <mergeCell ref="A3:C3"/>
    <mergeCell ref="D3:G3"/>
    <mergeCell ref="A5:C5"/>
    <mergeCell ref="D5:G5"/>
  </mergeCells>
  <printOptions horizontalCentered="1"/>
  <pageMargins left="0.19685039370078741" right="0.19685039370078741" top="1.3779527559055118" bottom="0.70866141732283472" header="0.39370078740157483" footer="0.39370078740157483"/>
  <pageSetup scale="50" orientation="landscape" verticalDpi="4294967295" r:id="rId1"/>
  <headerFooter scaleWithDoc="0" alignWithMargins="0">
    <oddHeader>&amp;C&amp;G</oddHeader>
    <oddFooter>&amp;L&amp;9ENDEREÇO: GETÚLIO VARGAS, N° 500, CENTRO, CHAPADA GAÚCHA – MG, CEP: 38.689-000.&amp;RPágina &amp;P de &amp;N</oddFooter>
  </headerFooter>
  <colBreaks count="1" manualBreakCount="1">
    <brk id="15" max="40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71"/>
  <sheetViews>
    <sheetView view="pageBreakPreview" zoomScale="70" zoomScaleNormal="80" zoomScaleSheetLayoutView="70" workbookViewId="0">
      <selection activeCell="K62" sqref="K62"/>
    </sheetView>
  </sheetViews>
  <sheetFormatPr defaultRowHeight="15.6" x14ac:dyDescent="0.3"/>
  <cols>
    <col min="1" max="1" width="9.77734375" customWidth="1"/>
    <col min="2" max="2" width="22.77734375" customWidth="1"/>
    <col min="3" max="3" width="80" customWidth="1"/>
    <col min="4" max="4" width="10" style="22" customWidth="1"/>
    <col min="5" max="5" width="11.33203125" style="141" bestFit="1" customWidth="1"/>
    <col min="6" max="6" width="11.21875" style="141" bestFit="1" customWidth="1"/>
    <col min="7" max="7" width="10.88671875" style="141" bestFit="1" customWidth="1"/>
    <col min="8" max="8" width="16.33203125" style="141" bestFit="1" customWidth="1"/>
    <col min="9" max="9" width="15.33203125" style="141" bestFit="1" customWidth="1"/>
    <col min="10" max="10" width="19.77734375" style="141" bestFit="1" customWidth="1"/>
    <col min="11" max="11" width="16.109375" style="86" bestFit="1" customWidth="1"/>
    <col min="12" max="12" width="15" style="86" bestFit="1" customWidth="1"/>
    <col min="13" max="13" width="3.21875" customWidth="1"/>
    <col min="14" max="14" width="11.5546875" bestFit="1" customWidth="1"/>
  </cols>
  <sheetData>
    <row r="1" spans="1:9" ht="30.75" customHeight="1" x14ac:dyDescent="0.3">
      <c r="A1" s="195" t="s">
        <v>166</v>
      </c>
      <c r="B1" s="195"/>
      <c r="C1" s="195"/>
      <c r="D1" s="195"/>
      <c r="E1" s="195"/>
      <c r="F1" s="195"/>
      <c r="G1" s="195"/>
      <c r="H1" s="195"/>
      <c r="I1" s="195"/>
    </row>
    <row r="2" spans="1:9" x14ac:dyDescent="0.3">
      <c r="A2" s="91" t="s">
        <v>1</v>
      </c>
      <c r="B2" s="44"/>
      <c r="C2" s="45"/>
      <c r="D2" s="181" t="s">
        <v>2</v>
      </c>
      <c r="E2" s="182"/>
      <c r="F2" s="182"/>
      <c r="G2" s="183"/>
      <c r="H2" s="142"/>
    </row>
    <row r="3" spans="1:9" x14ac:dyDescent="0.3">
      <c r="A3" s="196" t="s">
        <v>3</v>
      </c>
      <c r="B3" s="197"/>
      <c r="C3" s="198"/>
      <c r="D3" s="184" t="s">
        <v>4</v>
      </c>
      <c r="E3" s="185"/>
      <c r="F3" s="185"/>
      <c r="G3" s="186"/>
      <c r="H3" s="142"/>
    </row>
    <row r="4" spans="1:9" ht="7.95" customHeight="1" x14ac:dyDescent="0.3">
      <c r="A4" s="54"/>
      <c r="B4" s="54"/>
      <c r="C4" s="54"/>
      <c r="D4" s="52"/>
      <c r="E4" s="143"/>
      <c r="F4" s="143"/>
      <c r="G4" s="143"/>
      <c r="H4" s="142"/>
    </row>
    <row r="5" spans="1:9" x14ac:dyDescent="0.3">
      <c r="A5" s="181" t="s">
        <v>5</v>
      </c>
      <c r="B5" s="182"/>
      <c r="C5" s="183"/>
      <c r="D5" s="181" t="s">
        <v>6</v>
      </c>
      <c r="E5" s="182"/>
      <c r="F5" s="182"/>
      <c r="G5" s="183"/>
      <c r="H5" s="142"/>
    </row>
    <row r="6" spans="1:9" ht="31.95" customHeight="1" x14ac:dyDescent="0.3">
      <c r="A6" s="165" t="str">
        <f>'Plan. Orç. '!A6:C6</f>
        <v xml:space="preserve">COBERTURA DE PÁTIO DA ESCOLA MUNICIPAL SANTO ANTÔNIO </v>
      </c>
      <c r="B6" s="166"/>
      <c r="C6" s="167"/>
      <c r="D6" s="165" t="s">
        <v>7</v>
      </c>
      <c r="E6" s="166"/>
      <c r="F6" s="166"/>
      <c r="G6" s="167"/>
      <c r="H6" s="142"/>
    </row>
    <row r="7" spans="1:9" ht="7.95" customHeight="1" x14ac:dyDescent="0.3">
      <c r="A7" s="98"/>
      <c r="B7" s="98"/>
      <c r="C7" s="98"/>
      <c r="D7" s="52"/>
      <c r="E7" s="143"/>
      <c r="F7" s="143"/>
      <c r="G7" s="143"/>
      <c r="H7" s="142"/>
    </row>
    <row r="8" spans="1:9" x14ac:dyDescent="0.3">
      <c r="A8" s="181" t="s">
        <v>8</v>
      </c>
      <c r="B8" s="182"/>
      <c r="C8" s="183"/>
      <c r="D8" s="181" t="s">
        <v>9</v>
      </c>
      <c r="E8" s="182"/>
      <c r="F8" s="182"/>
      <c r="G8" s="183"/>
      <c r="H8" s="142"/>
    </row>
    <row r="9" spans="1:9" x14ac:dyDescent="0.3">
      <c r="A9" s="193" t="str">
        <f>'Plan. Orç. '!A9:C9</f>
        <v xml:space="preserve">RUA FRANCISCO RODRIGUES DE ALMEIDA N° 340 </v>
      </c>
      <c r="B9" s="194"/>
      <c r="C9" s="194"/>
      <c r="D9" s="184" t="str">
        <f>'Plan. Orç. '!D9:G9</f>
        <v>15°30'20.6"S 45°23'55.4"W</v>
      </c>
      <c r="E9" s="185"/>
      <c r="F9" s="185"/>
      <c r="G9" s="186"/>
      <c r="H9" s="142"/>
    </row>
    <row r="10" spans="1:9" ht="7.95" customHeight="1" x14ac:dyDescent="0.3">
      <c r="A10" s="50"/>
      <c r="B10" s="50"/>
      <c r="C10" s="50"/>
      <c r="D10" s="52"/>
      <c r="E10" s="143"/>
      <c r="F10" s="143"/>
      <c r="G10" s="143"/>
      <c r="H10" s="142"/>
    </row>
    <row r="11" spans="1:9" x14ac:dyDescent="0.3">
      <c r="A11" s="181" t="s">
        <v>10</v>
      </c>
      <c r="B11" s="182"/>
      <c r="C11" s="93"/>
      <c r="D11" s="92" t="s">
        <v>11</v>
      </c>
      <c r="E11" s="144"/>
      <c r="F11" s="145" t="s">
        <v>12</v>
      </c>
      <c r="G11" s="146" t="s">
        <v>13</v>
      </c>
      <c r="H11" s="142"/>
    </row>
    <row r="12" spans="1:9" x14ac:dyDescent="0.3">
      <c r="A12" s="193" t="str">
        <f>'Plan. Orç. '!A12:C12</f>
        <v>DISTRITO DE SERRA DAS ARARAS</v>
      </c>
      <c r="B12" s="194"/>
      <c r="C12" s="209"/>
      <c r="D12" s="47" t="s">
        <v>14</v>
      </c>
      <c r="E12" s="147"/>
      <c r="F12" s="148" t="s">
        <v>15</v>
      </c>
      <c r="G12" s="149">
        <f>'BDI '!F25</f>
        <v>0.2414</v>
      </c>
      <c r="H12" s="142"/>
    </row>
    <row r="13" spans="1:9" ht="7.2" customHeight="1" x14ac:dyDescent="0.3">
      <c r="A13" s="50"/>
      <c r="B13" s="50"/>
      <c r="C13" s="50"/>
      <c r="D13" s="49"/>
      <c r="E13" s="150"/>
      <c r="F13" s="150"/>
      <c r="G13" s="151"/>
      <c r="H13" s="142"/>
    </row>
    <row r="14" spans="1:9" ht="17.55" customHeight="1" x14ac:dyDescent="0.3">
      <c r="A14" s="216" t="s">
        <v>16</v>
      </c>
      <c r="B14" s="216"/>
      <c r="C14" s="217"/>
      <c r="D14" s="84" t="s">
        <v>17</v>
      </c>
      <c r="E14" s="147"/>
      <c r="F14" s="147"/>
      <c r="G14" s="152"/>
      <c r="H14" s="153"/>
      <c r="I14" s="154"/>
    </row>
    <row r="15" spans="1:9" ht="16.2" customHeight="1" x14ac:dyDescent="0.3">
      <c r="A15" s="267" t="s">
        <v>18</v>
      </c>
      <c r="B15" s="268"/>
      <c r="C15" s="269"/>
      <c r="D15" s="187" t="str">
        <f>'Plan. Orç. '!D15:G15</f>
        <v>SETOP DESONERADO 2025</v>
      </c>
      <c r="E15" s="188"/>
      <c r="F15" s="188"/>
      <c r="G15" s="189"/>
      <c r="H15" s="153"/>
      <c r="I15" s="154"/>
    </row>
    <row r="16" spans="1:9" ht="16.2" customHeight="1" x14ac:dyDescent="0.3">
      <c r="A16" s="267"/>
      <c r="B16" s="268"/>
      <c r="C16" s="269"/>
      <c r="D16" s="264" t="s">
        <v>19</v>
      </c>
      <c r="E16" s="265"/>
      <c r="F16" s="265"/>
      <c r="G16" s="266"/>
      <c r="H16" s="153"/>
      <c r="I16" s="154"/>
    </row>
    <row r="17" spans="1:14" ht="7.8" customHeight="1" x14ac:dyDescent="0.3">
      <c r="A17" s="98"/>
      <c r="B17" s="98"/>
      <c r="C17" s="99"/>
      <c r="D17" s="101"/>
      <c r="E17" s="155"/>
      <c r="F17" s="155"/>
      <c r="G17" s="156"/>
      <c r="H17" s="157"/>
      <c r="I17" s="158"/>
    </row>
    <row r="18" spans="1:14" ht="16.2" customHeight="1" x14ac:dyDescent="0.25">
      <c r="A18" s="299" t="s">
        <v>22</v>
      </c>
      <c r="B18" s="299" t="s">
        <v>167</v>
      </c>
      <c r="C18" s="300" t="s">
        <v>168</v>
      </c>
      <c r="D18" s="299" t="s">
        <v>169</v>
      </c>
      <c r="E18" s="289" t="s">
        <v>170</v>
      </c>
      <c r="F18" s="289" t="s">
        <v>171</v>
      </c>
      <c r="G18" s="289" t="s">
        <v>172</v>
      </c>
      <c r="H18" s="289" t="s">
        <v>173</v>
      </c>
      <c r="I18" s="289" t="s">
        <v>174</v>
      </c>
      <c r="J18" s="289" t="s">
        <v>175</v>
      </c>
      <c r="K18" s="290" t="s">
        <v>176</v>
      </c>
      <c r="L18" s="290" t="s">
        <v>177</v>
      </c>
    </row>
    <row r="19" spans="1:14" ht="16.2" customHeight="1" x14ac:dyDescent="0.25">
      <c r="A19" s="299"/>
      <c r="B19" s="299"/>
      <c r="C19" s="300"/>
      <c r="D19" s="299"/>
      <c r="E19" s="289"/>
      <c r="F19" s="289"/>
      <c r="G19" s="289"/>
      <c r="H19" s="289"/>
      <c r="I19" s="289"/>
      <c r="J19" s="289"/>
      <c r="K19" s="290"/>
      <c r="L19" s="290"/>
    </row>
    <row r="20" spans="1:14" s="131" customFormat="1" ht="16.2" customHeight="1" x14ac:dyDescent="0.25">
      <c r="A20" s="132">
        <f>'Plan. Orç. '!A20</f>
        <v>1</v>
      </c>
      <c r="B20" s="291" t="str">
        <f>'Plan. Orç. '!B20</f>
        <v>SERVIÇOS PRELIMINARES</v>
      </c>
      <c r="C20" s="292"/>
      <c r="D20" s="292"/>
      <c r="E20" s="292"/>
      <c r="F20" s="292"/>
      <c r="G20" s="292"/>
      <c r="H20" s="292"/>
      <c r="I20" s="292"/>
      <c r="J20" s="292"/>
      <c r="K20" s="292"/>
      <c r="L20" s="293"/>
    </row>
    <row r="21" spans="1:14" s="134" customFormat="1" ht="69" x14ac:dyDescent="0.25">
      <c r="A21" s="137" t="str">
        <f>'Plan. Orç. '!A21</f>
        <v>01.01</v>
      </c>
      <c r="B21" s="137" t="str">
        <f>'Plan. Orç. '!B21</f>
        <v>ED-28427 - SETOP</v>
      </c>
      <c r="C21" s="138" t="str">
        <f>'Plan. Orç. '!C21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21" s="137" t="str">
        <f>'Plan. Orç. '!D21</f>
        <v>UNID.</v>
      </c>
      <c r="E21" s="295" t="s">
        <v>263</v>
      </c>
      <c r="F21" s="296"/>
      <c r="G21" s="296"/>
      <c r="H21" s="296"/>
      <c r="I21" s="296"/>
      <c r="J21" s="296"/>
      <c r="K21" s="297"/>
      <c r="L21" s="163">
        <v>1</v>
      </c>
      <c r="N21" s="55">
        <v>1</v>
      </c>
    </row>
    <row r="22" spans="1:14" s="131" customFormat="1" ht="16.2" customHeight="1" x14ac:dyDescent="0.25">
      <c r="A22" s="132">
        <f>'Plan. Orç. '!A23</f>
        <v>2</v>
      </c>
      <c r="B22" s="291" t="str">
        <f>'Plan. Orç. '!B23</f>
        <v>FUNDAÇÕES</v>
      </c>
      <c r="C22" s="292"/>
      <c r="D22" s="292"/>
      <c r="E22" s="292"/>
      <c r="F22" s="292"/>
      <c r="G22" s="292"/>
      <c r="H22" s="292"/>
      <c r="I22" s="292"/>
      <c r="J22" s="292"/>
      <c r="K22" s="292"/>
      <c r="L22" s="293"/>
    </row>
    <row r="23" spans="1:14" s="136" customFormat="1" ht="55.2" x14ac:dyDescent="0.25">
      <c r="A23" s="139" t="str">
        <f>'Plan. Orç. '!A24</f>
        <v>02.1</v>
      </c>
      <c r="B23" s="139" t="str">
        <f>'Plan. Orç. '!B24</f>
        <v>ED-17989 - SETOP</v>
      </c>
      <c r="C23" s="138" t="str">
        <f>'Plan. Orç. '!C24</f>
        <v>LOCAÇÃO DE OBRA COM GABARITO DE TÁBUAS CORRIDAS
PONTALETADAS A CADA 2,00M, REAPROVEITAMENTO (2X),
INCLUSIVE ACOMPANHAMENTO DE EQUIPE TOPOGRÁFICA PARA MARCAÇÃO DE PONTO TOPOGRÁFICO</v>
      </c>
      <c r="D23" s="139" t="str">
        <f>'Plan. Orç. '!D24</f>
        <v>m</v>
      </c>
      <c r="E23" s="295" t="s">
        <v>264</v>
      </c>
      <c r="F23" s="296"/>
      <c r="G23" s="296"/>
      <c r="H23" s="296"/>
      <c r="I23" s="296"/>
      <c r="J23" s="296"/>
      <c r="K23" s="297"/>
      <c r="L23" s="163">
        <v>26</v>
      </c>
      <c r="N23" s="55">
        <v>26</v>
      </c>
    </row>
    <row r="24" spans="1:14" s="136" customFormat="1" ht="27.6" x14ac:dyDescent="0.25">
      <c r="A24" s="139" t="str">
        <f>'Plan. Orç. '!A25</f>
        <v>02.2</v>
      </c>
      <c r="B24" s="139" t="str">
        <f>'Plan. Orç. '!B25</f>
        <v>ED-51107  - SETOP</v>
      </c>
      <c r="C24" s="138" t="str">
        <f>'Plan. Orç. '!C25</f>
        <v>ESCAVAÇÃO MANUAL DE VALA COM PROFUNDIDADE MENOR OU IGUAL A 1,5M, INCLUSIVE DESCARGA LATERAL</v>
      </c>
      <c r="D24" s="139" t="str">
        <f>'Plan. Orç. '!D25</f>
        <v>m³</v>
      </c>
      <c r="E24" s="164">
        <v>0.17499999999999999</v>
      </c>
      <c r="F24" s="164">
        <v>0.17499999999999999</v>
      </c>
      <c r="G24" s="160">
        <v>3.14</v>
      </c>
      <c r="H24" s="160">
        <v>1</v>
      </c>
      <c r="I24" s="160">
        <v>24</v>
      </c>
      <c r="J24" s="160"/>
      <c r="K24" s="160">
        <v>1.6</v>
      </c>
      <c r="L24" s="133">
        <f>(E24*F24*G24*H24*I24*K24)</f>
        <v>3.6926400000000004</v>
      </c>
      <c r="N24" s="55">
        <f>(24*0.175*0.175*3.14*1)*1.6</f>
        <v>3.6926399999999995</v>
      </c>
    </row>
    <row r="25" spans="1:14" s="136" customFormat="1" ht="27.6" x14ac:dyDescent="0.25">
      <c r="A25" s="139" t="str">
        <f>'Plan. Orç. '!A26</f>
        <v>02.4</v>
      </c>
      <c r="B25" s="139" t="str">
        <f>'Plan. Orç. '!B26</f>
        <v>ED-49620 - SETOP</v>
      </c>
      <c r="C25" s="138" t="str">
        <f>'Plan. Orç. '!C26</f>
        <v>FORNECIMENTO DE CONCRETO ESTRUTURAL, PREPARADO EM OBRA, COM FCK 30MPA, INCLUSIVE LANÇAMENTO, ADENSAMENTO E ACABAMENTO</v>
      </c>
      <c r="D25" s="139" t="str">
        <f>'Plan. Orç. '!D26</f>
        <v>m³</v>
      </c>
      <c r="E25" s="164">
        <v>0.17499999999999999</v>
      </c>
      <c r="F25" s="164">
        <v>0.17499999999999999</v>
      </c>
      <c r="G25" s="160">
        <v>3.14</v>
      </c>
      <c r="H25" s="160">
        <v>1</v>
      </c>
      <c r="I25" s="160">
        <v>24</v>
      </c>
      <c r="J25" s="160"/>
      <c r="K25" s="160">
        <v>1.6</v>
      </c>
      <c r="L25" s="133">
        <f>(E25*F25*G25*H25*I25*K25)</f>
        <v>3.6926400000000004</v>
      </c>
      <c r="N25" s="55">
        <f>N24</f>
        <v>3.6926399999999995</v>
      </c>
    </row>
    <row r="26" spans="1:14" s="136" customFormat="1" ht="15" x14ac:dyDescent="0.25">
      <c r="A26" s="139" t="str">
        <f>'Plan. Orç. '!A27</f>
        <v>02.5</v>
      </c>
      <c r="B26" s="139" t="str">
        <f>'Plan. Orç. '!B27</f>
        <v>ED-48298  - SETOP</v>
      </c>
      <c r="C26" s="138" t="str">
        <f>'Plan. Orç. '!C27</f>
        <v>CORTE, DOBRA E MONTAGEM DE AÇO CA-50/60, INCLUSIVE ESPAÇADOR</v>
      </c>
      <c r="D26" s="139" t="str">
        <f>'Plan. Orç. '!D27</f>
        <v>KG</v>
      </c>
      <c r="E26" s="160">
        <v>3.6926400000000004</v>
      </c>
      <c r="F26" s="160"/>
      <c r="G26" s="160"/>
      <c r="H26" s="160"/>
      <c r="I26" s="160"/>
      <c r="J26" s="160"/>
      <c r="K26" s="160">
        <v>100</v>
      </c>
      <c r="L26" s="133">
        <f>E26*K26</f>
        <v>369.26400000000001</v>
      </c>
      <c r="N26" s="55">
        <f>N25*100</f>
        <v>369.26399999999995</v>
      </c>
    </row>
    <row r="27" spans="1:14" s="131" customFormat="1" ht="16.2" customHeight="1" x14ac:dyDescent="0.25">
      <c r="A27" s="132">
        <f>'Plan. Orç. '!A29</f>
        <v>3</v>
      </c>
      <c r="B27" s="291" t="str">
        <f>'Plan. Orç. '!B29</f>
        <v xml:space="preserve">MURETA </v>
      </c>
      <c r="C27" s="292"/>
      <c r="D27" s="292"/>
      <c r="E27" s="292"/>
      <c r="F27" s="292"/>
      <c r="G27" s="292"/>
      <c r="H27" s="292"/>
      <c r="I27" s="292"/>
      <c r="J27" s="292"/>
      <c r="K27" s="292"/>
      <c r="L27" s="293"/>
    </row>
    <row r="28" spans="1:14" s="131" customFormat="1" ht="27.6" x14ac:dyDescent="0.25">
      <c r="A28" s="137" t="str">
        <f>'Plan. Orç. '!A30</f>
        <v>03.1</v>
      </c>
      <c r="B28" s="137" t="str">
        <f>'Plan. Orç. '!B30</f>
        <v>ED-48231- SETOP</v>
      </c>
      <c r="C28" s="138" t="str">
        <f>'Plan. Orç. '!C30</f>
        <v xml:space="preserve">ALVENARIA DE VEDAÇÃO COM TIJOLO CERÂMICO FURADO, ESP. 9CM, PARA REVESTIMENTO, INCLUSIVE ARGAMASSA PARA ASSENTAMENTO. </v>
      </c>
      <c r="D28" s="137" t="str">
        <f>'Plan. Orç. '!D30</f>
        <v>m²</v>
      </c>
      <c r="E28" s="159">
        <v>7</v>
      </c>
      <c r="F28" s="159">
        <v>7</v>
      </c>
      <c r="G28" s="159">
        <v>9.51</v>
      </c>
      <c r="H28" s="159">
        <v>7.6</v>
      </c>
      <c r="I28" s="159"/>
      <c r="J28" s="159"/>
      <c r="K28" s="159">
        <v>0.35</v>
      </c>
      <c r="L28" s="163">
        <f>SUM(E28:H28)*K28</f>
        <v>10.888499999999999</v>
      </c>
      <c r="N28" s="55">
        <f>(7+7+9.51+7.6)*0.35</f>
        <v>10.888499999999999</v>
      </c>
    </row>
    <row r="29" spans="1:14" s="131" customFormat="1" ht="41.4" x14ac:dyDescent="0.25">
      <c r="A29" s="137" t="str">
        <f>'Plan. Orç. '!A31</f>
        <v>03.2</v>
      </c>
      <c r="B29" s="137" t="str">
        <f>'Plan. Orç. '!B31</f>
        <v>ED-50761- SETOP</v>
      </c>
      <c r="C29" s="138" t="str">
        <f>'Plan. Orç. '!C31</f>
        <v>REBOCO COM ARGAMASSA, TRAÇO 1:2:8 (CIMENTO, CAL E AREIA) , ESP. 20MM, APLICAÇÃO MANUAL, INCLUSIVE ARGAMASSA COM PREPARO MECANIZADO, EXCLUSIVE CHAPISCO</v>
      </c>
      <c r="D29" s="137" t="str">
        <f>'Plan. Orç. '!D31</f>
        <v>m²</v>
      </c>
      <c r="E29" s="160">
        <v>10.888499999999999</v>
      </c>
      <c r="F29" s="160"/>
      <c r="G29" s="160"/>
      <c r="H29" s="160"/>
      <c r="I29" s="160"/>
      <c r="J29" s="160"/>
      <c r="K29" s="160">
        <v>2</v>
      </c>
      <c r="L29" s="133">
        <f t="shared" ref="L29:L30" si="0">E29*K29</f>
        <v>21.776999999999997</v>
      </c>
      <c r="N29" s="55">
        <f>N28*2</f>
        <v>21.776999999999997</v>
      </c>
    </row>
    <row r="30" spans="1:14" s="131" customFormat="1" ht="41.4" x14ac:dyDescent="0.25">
      <c r="A30" s="137" t="str">
        <f>'Plan. Orç. '!A32</f>
        <v>03.3</v>
      </c>
      <c r="B30" s="137" t="str">
        <f>'Plan. Orç. '!B32</f>
        <v>ED-50727- SETOP</v>
      </c>
      <c r="C30" s="138" t="str">
        <f>'Plan. Orç. '!C32</f>
        <v>CHAPISCO COM ARGAMASSA, TRAÇO 1:3 (CIMENTO E AREIA), ESP. 5MM, APLICADO EM ALVENARIA / ESTRUTURA DE CONCRETO COM COLHER, INCLUSIVE ARGAMASSA COM PREPARO MECANIZADO</v>
      </c>
      <c r="D30" s="137" t="str">
        <f>'Plan. Orç. '!D32</f>
        <v>m²</v>
      </c>
      <c r="E30" s="160">
        <v>10.888499999999999</v>
      </c>
      <c r="F30" s="160"/>
      <c r="G30" s="160"/>
      <c r="H30" s="160"/>
      <c r="I30" s="160"/>
      <c r="J30" s="160"/>
      <c r="K30" s="160">
        <v>2</v>
      </c>
      <c r="L30" s="133">
        <f t="shared" si="0"/>
        <v>21.776999999999997</v>
      </c>
      <c r="N30" s="55">
        <f>N29</f>
        <v>21.776999999999997</v>
      </c>
    </row>
    <row r="31" spans="1:14" s="131" customFormat="1" ht="13.8" x14ac:dyDescent="0.25">
      <c r="A31" s="132">
        <f>'Plan. Orç. '!A34</f>
        <v>4</v>
      </c>
      <c r="B31" s="291" t="str">
        <f>'Plan. Orç. '!B34</f>
        <v xml:space="preserve">COBERTURA </v>
      </c>
      <c r="C31" s="292"/>
      <c r="D31" s="292"/>
      <c r="E31" s="292"/>
      <c r="F31" s="292"/>
      <c r="G31" s="292"/>
      <c r="H31" s="292"/>
      <c r="I31" s="292"/>
      <c r="J31" s="292"/>
      <c r="K31" s="292"/>
      <c r="L31" s="293"/>
    </row>
    <row r="32" spans="1:14" s="136" customFormat="1" ht="55.2" x14ac:dyDescent="0.25">
      <c r="A32" s="139" t="str">
        <f>'Plan. Orç. '!A35</f>
        <v>04.1</v>
      </c>
      <c r="B32" s="139" t="str">
        <f>'Plan. Orç. '!B35</f>
        <v>ED-20603 - SETOP</v>
      </c>
      <c r="C32" s="138" t="str">
        <f>'Plan. Orç. '!C35</f>
        <v>FORNECIMENTO DE ESTRUTURA METÁLICA E ENGRADAMENTO METÁLICO, EM AÇO, PARA TELHADO, EXCLUSIVE TELHA, INCLUSIVE FABRICAÇÃO, TRANSPORTE, MONTAGEM E APLICAÇÃO DE FUNDO PREPARADOR ANTICORROSIVO EM SUPERFÍCIE METÁLICA, UMA (1) DEMÃO</v>
      </c>
      <c r="D32" s="139" t="str">
        <f>'Plan. Orç. '!D35</f>
        <v>KG</v>
      </c>
      <c r="E32" s="305" t="s">
        <v>265</v>
      </c>
      <c r="F32" s="306"/>
      <c r="G32" s="306"/>
      <c r="H32" s="306"/>
      <c r="I32" s="306"/>
      <c r="J32" s="306"/>
      <c r="K32" s="307"/>
      <c r="L32" s="133">
        <v>2666.5050000000001</v>
      </c>
      <c r="N32" s="55">
        <v>2666.5050000000001</v>
      </c>
    </row>
    <row r="33" spans="1:14" s="136" customFormat="1" ht="27.6" x14ac:dyDescent="0.25">
      <c r="A33" s="139" t="str">
        <f>'Plan. Orç. '!A36</f>
        <v>04.2</v>
      </c>
      <c r="B33" s="139" t="str">
        <f>'Plan. Orç. '!B36</f>
        <v>ED-48420  - SETOP</v>
      </c>
      <c r="C33" s="138" t="str">
        <f>'Plan. Orç. '!C36</f>
        <v>COBERTURA EM TELHA CERÂMICA, TIPO PLAN, INCLUSIVE FIXAÇÃO, EXCLUSIVE ENGRADAMENTO E MANTA ISOLANTE/ TÉRMICA</v>
      </c>
      <c r="D33" s="139" t="str">
        <f>'Plan. Orç. '!D36</f>
        <v>m²</v>
      </c>
      <c r="E33" s="295" t="s">
        <v>266</v>
      </c>
      <c r="F33" s="296"/>
      <c r="G33" s="296"/>
      <c r="H33" s="296"/>
      <c r="I33" s="296"/>
      <c r="J33" s="296"/>
      <c r="K33" s="297"/>
      <c r="L33" s="163">
        <v>271.63</v>
      </c>
      <c r="N33" s="55">
        <v>271.63</v>
      </c>
    </row>
    <row r="34" spans="1:14" s="136" customFormat="1" ht="41.4" x14ac:dyDescent="0.25">
      <c r="A34" s="139" t="str">
        <f>'Plan. Orç. '!A37</f>
        <v>04.3</v>
      </c>
      <c r="B34" s="139" t="str">
        <f>'Plan. Orç. '!B37</f>
        <v>ED-48400  - SETOP</v>
      </c>
      <c r="C34" s="138" t="str">
        <f>'Plan. Orç. '!C37</f>
        <v>CUMEEIRA PARA TELHA CERÂMICA, INCLUSIVE EMBOÇAMENTO COM ARGAMASSA, TRAÇO 1:2:9 (CIMENTO, CAL E AREIA), COM PREPARO MECANIZADO</v>
      </c>
      <c r="D34" s="139" t="str">
        <f>'Plan. Orç. '!D37</f>
        <v>m</v>
      </c>
      <c r="E34" s="295" t="s">
        <v>267</v>
      </c>
      <c r="F34" s="296"/>
      <c r="G34" s="296"/>
      <c r="H34" s="296"/>
      <c r="I34" s="296"/>
      <c r="J34" s="296"/>
      <c r="K34" s="297"/>
      <c r="L34" s="163">
        <v>44.35</v>
      </c>
      <c r="N34" s="55">
        <v>44.35</v>
      </c>
    </row>
    <row r="35" spans="1:14" s="136" customFormat="1" ht="15" x14ac:dyDescent="0.25">
      <c r="A35" s="139" t="str">
        <f>'Plan. Orç. '!A38</f>
        <v>04.4</v>
      </c>
      <c r="B35" s="139" t="str">
        <f>'Plan. Orç. '!B38</f>
        <v>MERCADO</v>
      </c>
      <c r="C35" s="138" t="str">
        <f>'Plan. Orç. '!C38</f>
        <v>Telha Transparente Monte Carmelo / Plan Mineira Transparente</v>
      </c>
      <c r="D35" s="139" t="str">
        <f>'Plan. Orç. '!D38</f>
        <v>UNID.</v>
      </c>
      <c r="E35" s="160"/>
      <c r="F35" s="160"/>
      <c r="G35" s="160"/>
      <c r="H35" s="160"/>
      <c r="I35" s="160"/>
      <c r="J35" s="160"/>
      <c r="K35" s="160"/>
      <c r="L35" s="133">
        <v>60</v>
      </c>
      <c r="N35" s="55">
        <v>60</v>
      </c>
    </row>
    <row r="36" spans="1:14" s="136" customFormat="1" ht="27.6" x14ac:dyDescent="0.25">
      <c r="A36" s="139" t="str">
        <f>'Plan. Orç. '!A39</f>
        <v>04.5</v>
      </c>
      <c r="B36" s="139" t="str">
        <f>'Plan. Orç. '!B39</f>
        <v>ED-50659 - SETOP</v>
      </c>
      <c r="C36" s="138" t="str">
        <f>'Plan. Orç. '!C39</f>
        <v>CALHA EM CHAPA GALVANIZADA, ESP. 0,65MM (GSG-24), COM DESENVOLVIMENTO DE 75CM, INCLUSIVE IÇAMENTO MANUAL VERTICAL</v>
      </c>
      <c r="D36" s="139" t="str">
        <f>'Plan. Orç. '!D39</f>
        <v>m</v>
      </c>
      <c r="E36" s="160">
        <v>44.35</v>
      </c>
      <c r="F36" s="160"/>
      <c r="G36" s="160"/>
      <c r="H36" s="160"/>
      <c r="I36" s="160"/>
      <c r="J36" s="160"/>
      <c r="K36" s="160">
        <v>2</v>
      </c>
      <c r="L36" s="133">
        <f t="shared" ref="L36" si="1">E36*K36</f>
        <v>88.7</v>
      </c>
      <c r="N36" s="55">
        <f>N34*2</f>
        <v>88.7</v>
      </c>
    </row>
    <row r="37" spans="1:14" s="136" customFormat="1" ht="41.4" x14ac:dyDescent="0.25">
      <c r="A37" s="139" t="str">
        <f>'Plan. Orç. '!A40</f>
        <v>04.6</v>
      </c>
      <c r="B37" s="139" t="str">
        <f>'Plan. Orç. '!B40</f>
        <v>ED-50497 - SETOP</v>
      </c>
      <c r="C37" s="138" t="str">
        <f>'Plan. Orç. '!C40</f>
        <v xml:space="preserve">PINTURA ESMALTE BASE SOLVENTE EM ESTRUTURA METÁLICA, DUAS (2) DEMÃOS, COM APLICAÇÃO MANUAL, INCLUSIVE UMA (1) DEMÃO FUNDO GALVANIZADO                   - APLICAÇÃO NOS PILARES. </v>
      </c>
      <c r="D37" s="139" t="str">
        <f>'Plan. Orç. '!D40</f>
        <v>m²</v>
      </c>
      <c r="E37" s="160">
        <v>0.15</v>
      </c>
      <c r="F37" s="160">
        <v>0.15</v>
      </c>
      <c r="G37" s="160">
        <v>0.12</v>
      </c>
      <c r="H37" s="160">
        <v>0.12</v>
      </c>
      <c r="I37" s="160"/>
      <c r="J37" s="160">
        <v>3</v>
      </c>
      <c r="K37" s="160">
        <v>24</v>
      </c>
      <c r="L37" s="133">
        <f>SUM(E37:H37)*J37*K37</f>
        <v>38.880000000000003</v>
      </c>
      <c r="N37" s="55">
        <f>(0.15+0.15+0.12+0.12)*3*24</f>
        <v>38.880000000000003</v>
      </c>
    </row>
    <row r="38" spans="1:14" s="131" customFormat="1" ht="16.2" customHeight="1" x14ac:dyDescent="0.25">
      <c r="A38" s="132">
        <f>'Plan. Orç. '!A42</f>
        <v>5</v>
      </c>
      <c r="B38" s="291" t="str">
        <f>'Plan. Orç. '!B42</f>
        <v xml:space="preserve">EXECUÇÃO DO PISO DO PÁTIO </v>
      </c>
      <c r="C38" s="292"/>
      <c r="D38" s="292"/>
      <c r="E38" s="292"/>
      <c r="F38" s="292"/>
      <c r="G38" s="292"/>
      <c r="H38" s="292"/>
      <c r="I38" s="292"/>
      <c r="J38" s="292"/>
      <c r="K38" s="292"/>
      <c r="L38" s="293"/>
    </row>
    <row r="39" spans="1:14" s="131" customFormat="1" ht="41.4" x14ac:dyDescent="0.25">
      <c r="A39" s="137" t="str">
        <f>'Plan. Orç. '!A43</f>
        <v>5.1</v>
      </c>
      <c r="B39" s="137" t="str">
        <f>'Plan. Orç. '!B43</f>
        <v>ED-48440 - SETOP</v>
      </c>
      <c r="C39" s="138" t="str">
        <f>'Plan. Orç. '!C43</f>
        <v>DEMOLIÇÃO MANUAL DE CONCRETO, SEM ARMAÇÃO, INCLUSIVE AFASTAMENTO E EMPILHAMENTO, EXCLUSIVE TRANSPORTE E RETIRADA DO MATERIAL DEMOLIDO</v>
      </c>
      <c r="D39" s="137" t="str">
        <f>'Plan. Orç. '!D43</f>
        <v>m³</v>
      </c>
      <c r="E39" s="159">
        <f>(34.9*0.6*0.1)</f>
        <v>2.0939999999999999</v>
      </c>
      <c r="F39" s="159">
        <f>(28.5*0.6*0.1)</f>
        <v>1.71</v>
      </c>
      <c r="G39" s="159">
        <f>(26.01*0.1)</f>
        <v>2.6010000000000004</v>
      </c>
      <c r="H39" s="159"/>
      <c r="I39" s="159"/>
      <c r="J39" s="159"/>
      <c r="K39" s="159"/>
      <c r="L39" s="163">
        <f>SUM(E39:G39)</f>
        <v>6.4050000000000002</v>
      </c>
      <c r="N39" s="55">
        <f>(34.9*0.6*0.1)+(28.5*0.6*0.1)+(26.01*0.1)</f>
        <v>6.4050000000000002</v>
      </c>
    </row>
    <row r="40" spans="1:14" s="131" customFormat="1" ht="27.6" x14ac:dyDescent="0.25">
      <c r="A40" s="137" t="str">
        <f>'Plan. Orç. '!A44</f>
        <v>5.2</v>
      </c>
      <c r="B40" s="137" t="str">
        <f>'Plan. Orç. '!B44</f>
        <v>ED-51125 - SETOP</v>
      </c>
      <c r="C40" s="138" t="str">
        <f>'Plan. Orç. '!C44</f>
        <v>TRANSPORTE DE MATERIAL DEMOLIDO EM CAÇAMBA, INCLUSIVE CARGA MANUAL OU MECÂNICA</v>
      </c>
      <c r="D40" s="137" t="str">
        <f>'Plan. Orç. '!D44</f>
        <v>m³</v>
      </c>
      <c r="E40" s="159">
        <v>6.4050000000000002</v>
      </c>
      <c r="F40" s="159"/>
      <c r="G40" s="159"/>
      <c r="H40" s="159"/>
      <c r="I40" s="159"/>
      <c r="J40" s="159"/>
      <c r="K40" s="159">
        <v>1.35</v>
      </c>
      <c r="L40" s="163">
        <f>E40*K40</f>
        <v>8.6467500000000008</v>
      </c>
      <c r="N40" s="55">
        <f>((N39*1.35))</f>
        <v>8.6467500000000008</v>
      </c>
    </row>
    <row r="41" spans="1:14" s="131" customFormat="1" ht="16.2" customHeight="1" x14ac:dyDescent="0.25">
      <c r="A41" s="137" t="str">
        <f>'Plan. Orç. '!A45</f>
        <v>5.3</v>
      </c>
      <c r="B41" s="137" t="str">
        <f>'Plan. Orç. '!B45</f>
        <v>RO-00214 - SETOP</v>
      </c>
      <c r="C41" s="138" t="str">
        <f>'Plan. Orç. '!C45</f>
        <v xml:space="preserve">Compactação de aterros a 95% do Proctor normal (Inclui espalhamento) </v>
      </c>
      <c r="D41" s="137" t="str">
        <f>'Plan. Orç. '!D45</f>
        <v>m³</v>
      </c>
      <c r="E41" s="159">
        <v>271.63</v>
      </c>
      <c r="F41" s="159"/>
      <c r="G41" s="159"/>
      <c r="H41" s="159"/>
      <c r="I41" s="159"/>
      <c r="J41" s="159"/>
      <c r="K41" s="159">
        <v>0.5</v>
      </c>
      <c r="L41" s="163">
        <f>E41*K41</f>
        <v>135.815</v>
      </c>
      <c r="N41" s="55">
        <f>271.63*0.5</f>
        <v>135.815</v>
      </c>
    </row>
    <row r="42" spans="1:14" s="131" customFormat="1" ht="33" customHeight="1" x14ac:dyDescent="0.25">
      <c r="A42" s="137" t="str">
        <f>'Plan. Orç. '!A46</f>
        <v>5.4</v>
      </c>
      <c r="B42" s="137" t="str">
        <f>'Plan. Orç. '!B46</f>
        <v>ED-51144 - SETOP</v>
      </c>
      <c r="C42" s="138" t="str">
        <f>'Plan. Orç. '!C46</f>
        <v>PASSEIOS DE CONCRETO E = 8 CM, FCK = 15 MPA PADRÃO PREFEITURA</v>
      </c>
      <c r="D42" s="137" t="str">
        <f>'Plan. Orç. '!D46</f>
        <v>m²</v>
      </c>
      <c r="E42" s="302" t="s">
        <v>262</v>
      </c>
      <c r="F42" s="303"/>
      <c r="G42" s="303"/>
      <c r="H42" s="303"/>
      <c r="I42" s="303"/>
      <c r="J42" s="303"/>
      <c r="K42" s="304"/>
      <c r="L42" s="163">
        <v>271.63</v>
      </c>
      <c r="N42" s="55">
        <v>271.63</v>
      </c>
    </row>
    <row r="43" spans="1:14" s="131" customFormat="1" ht="41.4" x14ac:dyDescent="0.25">
      <c r="A43" s="137" t="str">
        <f>'Plan. Orç. '!A47</f>
        <v>5.5</v>
      </c>
      <c r="B43" s="137" t="str">
        <f>'Plan. Orç. '!B47</f>
        <v>ED-50464  - SETOP</v>
      </c>
      <c r="C43" s="138" t="str">
        <f>'Plan. Orç. '!C47</f>
        <v>PINTURA COM RESINA ACRÍLICA EM PISOS CIMENTADOS, DUAS (2) DEMÃOS, COM APLICAÇÃO MANUAL, INCLUSIVE PREPARAÇÃO E LIMPEZA DA SUPERFÍCIE</v>
      </c>
      <c r="D43" s="137" t="str">
        <f>'Plan. Orç. '!D47</f>
        <v>m²</v>
      </c>
      <c r="E43" s="302" t="s">
        <v>262</v>
      </c>
      <c r="F43" s="303"/>
      <c r="G43" s="303"/>
      <c r="H43" s="303"/>
      <c r="I43" s="303"/>
      <c r="J43" s="303"/>
      <c r="K43" s="304"/>
      <c r="L43" s="163">
        <v>271.63</v>
      </c>
      <c r="N43" s="55">
        <f>N42</f>
        <v>271.63</v>
      </c>
    </row>
    <row r="44" spans="1:14" s="131" customFormat="1" ht="16.2" customHeight="1" x14ac:dyDescent="0.25">
      <c r="A44" s="132">
        <f>'Plan. Orç. '!A49</f>
        <v>6</v>
      </c>
      <c r="B44" s="291" t="str">
        <f>'Plan. Orç. '!B49</f>
        <v xml:space="preserve">ELÉTRICA </v>
      </c>
      <c r="C44" s="292"/>
      <c r="D44" s="292"/>
      <c r="E44" s="292"/>
      <c r="F44" s="292"/>
      <c r="G44" s="292"/>
      <c r="H44" s="292"/>
      <c r="I44" s="292"/>
      <c r="J44" s="292"/>
      <c r="K44" s="292"/>
      <c r="L44" s="293"/>
    </row>
    <row r="45" spans="1:14" s="131" customFormat="1" ht="15" x14ac:dyDescent="0.25">
      <c r="A45" s="137" t="str">
        <f>'Plan. Orç. '!A50</f>
        <v>6.1</v>
      </c>
      <c r="B45" s="137" t="str">
        <f>'Plan. Orç. '!B50</f>
        <v>ED-49500 - SETOP</v>
      </c>
      <c r="C45" s="138" t="str">
        <f>'Plan. Orç. '!C50</f>
        <v xml:space="preserve"> QUADRO DE DISTRIBUIÇÃO PARA 20 MÓDULOS COM BARRAMENTO 100 A</v>
      </c>
      <c r="D45" s="137" t="str">
        <f>'Plan. Orç. '!D50</f>
        <v>UNID.</v>
      </c>
      <c r="E45" s="295" t="s">
        <v>261</v>
      </c>
      <c r="F45" s="296"/>
      <c r="G45" s="296"/>
      <c r="H45" s="296"/>
      <c r="I45" s="296"/>
      <c r="J45" s="296"/>
      <c r="K45" s="297"/>
      <c r="L45" s="163">
        <v>1</v>
      </c>
      <c r="N45" s="55">
        <v>1</v>
      </c>
    </row>
    <row r="46" spans="1:14" s="131" customFormat="1" ht="27.6" x14ac:dyDescent="0.25">
      <c r="A46" s="137" t="str">
        <f>'Plan. Orç. '!A51</f>
        <v>6.2</v>
      </c>
      <c r="B46" s="137" t="str">
        <f>'Plan. Orç. '!B51</f>
        <v>ED-49308 - SETOP</v>
      </c>
      <c r="C46" s="138" t="str">
        <f>'Plan. Orç. '!C51</f>
        <v>ELETRODUTO DE PVC RÍGIDO ROSCÁVEL, DN 20 MM (3/4"),
INCLUSIVE CONEXÕES, SUPORTES E FIXAÇÃO</v>
      </c>
      <c r="D46" s="137" t="str">
        <f>'Plan. Orç. '!D51</f>
        <v>m</v>
      </c>
      <c r="E46" s="295" t="s">
        <v>261</v>
      </c>
      <c r="F46" s="296"/>
      <c r="G46" s="296"/>
      <c r="H46" s="296"/>
      <c r="I46" s="296"/>
      <c r="J46" s="296"/>
      <c r="K46" s="297"/>
      <c r="L46" s="163">
        <v>60</v>
      </c>
      <c r="N46" s="55">
        <v>60</v>
      </c>
    </row>
    <row r="47" spans="1:14" s="131" customFormat="1" ht="15" x14ac:dyDescent="0.25">
      <c r="A47" s="137" t="str">
        <f>'Plan. Orç. '!A52</f>
        <v>6.3</v>
      </c>
      <c r="B47" s="137" t="str">
        <f>'Plan. Orç. '!B52</f>
        <v>ED-49244  - SETOP</v>
      </c>
      <c r="C47" s="138" t="str">
        <f>'Plan. Orç. '!C52</f>
        <v>DISJUNTOR BIPOLAR TERMOMAGNÉTICO 10KA, DE 50A</v>
      </c>
      <c r="D47" s="137" t="str">
        <f>'Plan. Orç. '!D52</f>
        <v>UNID.</v>
      </c>
      <c r="E47" s="295" t="s">
        <v>261</v>
      </c>
      <c r="F47" s="296"/>
      <c r="G47" s="296"/>
      <c r="H47" s="296"/>
      <c r="I47" s="296"/>
      <c r="J47" s="296"/>
      <c r="K47" s="297"/>
      <c r="L47" s="163">
        <v>2</v>
      </c>
      <c r="N47" s="55">
        <v>2</v>
      </c>
    </row>
    <row r="48" spans="1:14" s="131" customFormat="1" ht="15" x14ac:dyDescent="0.25">
      <c r="A48" s="137" t="str">
        <f>'Plan. Orç. '!A53</f>
        <v>6.4</v>
      </c>
      <c r="B48" s="137" t="str">
        <f>'Plan. Orç. '!B53</f>
        <v>ED-49235 - SETOP</v>
      </c>
      <c r="C48" s="138" t="str">
        <f>'Plan. Orç. '!C53</f>
        <v>DISJUNTOR MONOPOLAR TERMOMAGNÉTICO 5KA, DE 35A</v>
      </c>
      <c r="D48" s="137" t="str">
        <f>'Plan. Orç. '!D53</f>
        <v>UNID.</v>
      </c>
      <c r="E48" s="295" t="s">
        <v>261</v>
      </c>
      <c r="F48" s="296"/>
      <c r="G48" s="296"/>
      <c r="H48" s="296"/>
      <c r="I48" s="296"/>
      <c r="J48" s="296"/>
      <c r="K48" s="297"/>
      <c r="L48" s="163">
        <v>2</v>
      </c>
      <c r="N48" s="55">
        <v>2</v>
      </c>
    </row>
    <row r="49" spans="1:14" s="131" customFormat="1" ht="15" x14ac:dyDescent="0.25">
      <c r="A49" s="137" t="str">
        <f>'Plan. Orç. '!A54</f>
        <v>6.5</v>
      </c>
      <c r="B49" s="137" t="str">
        <f>'Plan. Orç. '!B54</f>
        <v>ED-49231 - SETOP</v>
      </c>
      <c r="C49" s="138" t="str">
        <f>'Plan. Orç. '!C54</f>
        <v>DISJUNTOR MONOPOLAR TERMOMAGNÉTICO 5KA, DE 20A</v>
      </c>
      <c r="D49" s="137" t="str">
        <f>'Plan. Orç. '!D54</f>
        <v>UNID.</v>
      </c>
      <c r="E49" s="295" t="s">
        <v>261</v>
      </c>
      <c r="F49" s="296"/>
      <c r="G49" s="296"/>
      <c r="H49" s="296"/>
      <c r="I49" s="296"/>
      <c r="J49" s="296"/>
      <c r="K49" s="297"/>
      <c r="L49" s="163">
        <v>2</v>
      </c>
      <c r="N49" s="55">
        <v>2</v>
      </c>
    </row>
    <row r="50" spans="1:14" s="131" customFormat="1" ht="41.4" x14ac:dyDescent="0.25">
      <c r="A50" s="137" t="str">
        <f>'Plan. Orç. '!A55</f>
        <v>6.6</v>
      </c>
      <c r="B50" s="137" t="str">
        <f>'Plan. Orç. '!B55</f>
        <v>ED-15117 - SETOP</v>
      </c>
      <c r="C50" s="138" t="str">
        <f>'Plan. Orç. '!C55</f>
        <v>DISJUNTOR DE PROTEÇÃO DIFERENCIAL RESIDUAL (DR), TETRAPOLAR, TIPO DIN, CORRENTE NOMINAL DE 63A, ALTA SENSIBILIDADE, CORRENTE DIFERENCIAL RESIDUAL NOMINAL COM ATUAÇÃO DE 30MA</v>
      </c>
      <c r="D50" s="137" t="str">
        <f>'Plan. Orç. '!D55</f>
        <v>UNID.</v>
      </c>
      <c r="E50" s="295" t="s">
        <v>261</v>
      </c>
      <c r="F50" s="296"/>
      <c r="G50" s="296"/>
      <c r="H50" s="296"/>
      <c r="I50" s="296"/>
      <c r="J50" s="296"/>
      <c r="K50" s="297"/>
      <c r="L50" s="163">
        <v>1</v>
      </c>
      <c r="N50" s="55">
        <v>1</v>
      </c>
    </row>
    <row r="51" spans="1:14" s="131" customFormat="1" ht="41.4" x14ac:dyDescent="0.25">
      <c r="A51" s="137" t="str">
        <f>'Plan. Orç. '!A56</f>
        <v>6.7</v>
      </c>
      <c r="B51" s="137" t="str">
        <f>'Plan. Orç. '!B56</f>
        <v>ED-48946 - SETOP</v>
      </c>
      <c r="C51" s="138" t="str">
        <f>'Plan. Orç. '!C56</f>
        <v>CABO DE COBRE FLEXÍVEL, CLASSE 5, ISOLAMENTO TIPO LSHF/ ATOX, NÃO HALOGENADO, ANTICHAMA, TERMOPLÁSTICO, UNIPOLAR, SEÇÃO 1,5 MM2, 70°C, 450/750V</v>
      </c>
      <c r="D51" s="137" t="str">
        <f>'Plan. Orç. '!D56</f>
        <v>m</v>
      </c>
      <c r="E51" s="295" t="s">
        <v>261</v>
      </c>
      <c r="F51" s="296"/>
      <c r="G51" s="296"/>
      <c r="H51" s="296"/>
      <c r="I51" s="296"/>
      <c r="J51" s="296"/>
      <c r="K51" s="297"/>
      <c r="L51" s="163">
        <v>400</v>
      </c>
      <c r="N51" s="55">
        <v>400</v>
      </c>
    </row>
    <row r="52" spans="1:14" s="131" customFormat="1" ht="41.4" x14ac:dyDescent="0.25">
      <c r="A52" s="137" t="str">
        <f>'Plan. Orç. '!A57</f>
        <v>6.8</v>
      </c>
      <c r="B52" s="137" t="str">
        <f>'Plan. Orç. '!B57</f>
        <v>ED-48951 - SETOP</v>
      </c>
      <c r="C52" s="138" t="str">
        <f>'Plan. Orç. '!C57</f>
        <v>CABO DE COBRE FLEXÍVEL, CLASSE 5, ISOLAMENTO TIPO LSHF/ATOX, NÃO HALOGENADO, ANTICHAMA, TERMOPLÁSTICO, UNIPOLAR, SEÇÃO 2,5 MM2, 70°C, 450/750V</v>
      </c>
      <c r="D52" s="137" t="str">
        <f>'Plan. Orç. '!D57</f>
        <v>m</v>
      </c>
      <c r="E52" s="295" t="s">
        <v>261</v>
      </c>
      <c r="F52" s="296"/>
      <c r="G52" s="296"/>
      <c r="H52" s="296"/>
      <c r="I52" s="296"/>
      <c r="J52" s="296"/>
      <c r="K52" s="297"/>
      <c r="L52" s="163">
        <v>200</v>
      </c>
      <c r="N52" s="55">
        <v>200</v>
      </c>
    </row>
    <row r="53" spans="1:14" s="131" customFormat="1" ht="41.4" x14ac:dyDescent="0.25">
      <c r="A53" s="137" t="str">
        <f>'Plan. Orç. '!A58</f>
        <v>6.9</v>
      </c>
      <c r="B53" s="137" t="str">
        <f>'Plan. Orç. '!B58</f>
        <v>ED-13357 - SETOP</v>
      </c>
      <c r="C53" s="138" t="str">
        <f>'Plan. Orç. '!C58</f>
        <v>LUMINÁRIA PLAFON REDONDO DE VIDRO JATEADO REDONDO
COMPLETA, DIÂMETRO 25 CM, PARA UMA (1) LÂMPADA LED, POTÊNCIA 9W, BULBO A60, FORNECIMENTO E INSTALAÇÃO, INCLUSIVE BASE E LÂMPADA</v>
      </c>
      <c r="D53" s="137" t="str">
        <f>'Plan. Orç. '!D58</f>
        <v>UNID.</v>
      </c>
      <c r="E53" s="295" t="s">
        <v>261</v>
      </c>
      <c r="F53" s="296"/>
      <c r="G53" s="296"/>
      <c r="H53" s="296"/>
      <c r="I53" s="296"/>
      <c r="J53" s="296"/>
      <c r="K53" s="297"/>
      <c r="L53" s="163">
        <v>20</v>
      </c>
      <c r="N53" s="55">
        <v>20</v>
      </c>
    </row>
    <row r="54" spans="1:14" s="131" customFormat="1" ht="110.4" x14ac:dyDescent="0.25">
      <c r="A54" s="137" t="str">
        <f>'Plan. Orç. '!A59</f>
        <v>6.10</v>
      </c>
      <c r="B54" s="137" t="str">
        <f>'Plan. Orç. '!B59</f>
        <v>ED-50227 - SETOP</v>
      </c>
      <c r="C54" s="138" t="str">
        <f>'Plan. Orç. '!C59</f>
        <v>PONTO DE EMBUTIR PARA UM (1) INTERRUPTOR SIMPLES (10A250V), COM PLACA 4"X2" DE UM (1) POSTO, COM ELETRODUTO FLEXÍVEL CORRUGADO, ANTI-CHAMA, DN 25MM (3/4"), EMBUTIDO NA ALVENARIA E CABO DE COBRE FLEXÍVEL, CLASSE 5, ISOLAMENTO TIPO LSHF/ATOX, NÃO HALOGENADO, SEÇÃO 1, 5MM2 (70°C-450/750V), COM DISTÂNCIA DE ATÉ DEZ (10) METROS DO PONTO DE DERIVAÇÃO, INCLUSIVE CAIXA DE LIGAÇÃO, SUPORTE E FIXAÇÃO DO ELETRODUTO COM ENCHIMENTO DO RASGO NA ALVENARIA/CONCRETO COM ARGAMASSA</v>
      </c>
      <c r="D54" s="137" t="str">
        <f>'Plan. Orç. '!D59</f>
        <v>UNID.</v>
      </c>
      <c r="E54" s="295" t="s">
        <v>261</v>
      </c>
      <c r="F54" s="296"/>
      <c r="G54" s="296"/>
      <c r="H54" s="296"/>
      <c r="I54" s="296"/>
      <c r="J54" s="296"/>
      <c r="K54" s="297"/>
      <c r="L54" s="163">
        <v>6</v>
      </c>
      <c r="N54" s="55">
        <v>6</v>
      </c>
    </row>
    <row r="55" spans="1:14" s="131" customFormat="1" ht="15" x14ac:dyDescent="0.25">
      <c r="A55" s="137" t="str">
        <f>'Plan. Orç. '!A60</f>
        <v>6.11</v>
      </c>
      <c r="B55" s="137" t="str">
        <f>'Plan. Orç. '!B60</f>
        <v>ED-22351 - SETOP</v>
      </c>
      <c r="C55" s="138" t="str">
        <f>'Plan. Orç. '!C60</f>
        <v>REFLETOR DE LED, POTÊNCIA DE 300W, EXCLUSIVE SUPORTE E POSTE</v>
      </c>
      <c r="D55" s="137" t="str">
        <f>'Plan. Orç. '!D60</f>
        <v>UNID.</v>
      </c>
      <c r="E55" s="295" t="s">
        <v>261</v>
      </c>
      <c r="F55" s="296"/>
      <c r="G55" s="296"/>
      <c r="H55" s="296"/>
      <c r="I55" s="296"/>
      <c r="J55" s="296"/>
      <c r="K55" s="297"/>
      <c r="L55" s="163">
        <v>6</v>
      </c>
      <c r="N55" s="55">
        <v>6</v>
      </c>
    </row>
    <row r="56" spans="1:14" s="131" customFormat="1" ht="16.2" customHeight="1" x14ac:dyDescent="0.25">
      <c r="A56" s="132">
        <f>'Plan. Orç. '!A62</f>
        <v>7</v>
      </c>
      <c r="B56" s="294" t="str">
        <f>'Plan. Orç. '!B62</f>
        <v xml:space="preserve">HIDRÁULICA - ÁGUA PLUVIAL </v>
      </c>
      <c r="C56" s="294"/>
      <c r="D56" s="294"/>
      <c r="E56" s="294"/>
      <c r="F56" s="294"/>
      <c r="G56" s="294"/>
      <c r="H56" s="294"/>
      <c r="I56" s="294"/>
      <c r="J56" s="294"/>
      <c r="K56" s="294"/>
      <c r="L56" s="294"/>
    </row>
    <row r="57" spans="1:14" s="131" customFormat="1" ht="41.4" x14ac:dyDescent="0.25">
      <c r="A57" s="137" t="str">
        <f>'Plan. Orç. '!A63</f>
        <v>7.1</v>
      </c>
      <c r="B57" s="137" t="str">
        <f>'Plan. Orç. '!B63</f>
        <v>ED-48669 - SETOP</v>
      </c>
      <c r="C57" s="138" t="str">
        <f>'Plan. Orç. '!C63</f>
        <v>FORNECIMENTO E ASSENTAMENTO DE TUBO PVC RÍGIDO, DRENAGEM/PLUVIAL, PBV - SÉRIE NORMAL, DN 100 MM (4"), INCLUSIVE CONEXÕESAL ESCAVADO</v>
      </c>
      <c r="D57" s="137" t="str">
        <f>'Plan. Orç. '!D63</f>
        <v>M</v>
      </c>
      <c r="E57" s="159">
        <v>44.35</v>
      </c>
      <c r="F57" s="159">
        <v>2</v>
      </c>
      <c r="G57" s="159"/>
      <c r="H57" s="159"/>
      <c r="I57" s="159"/>
      <c r="J57" s="159">
        <v>24</v>
      </c>
      <c r="K57" s="159">
        <v>3.5</v>
      </c>
      <c r="L57" s="163">
        <f>(E57*F57)+(J57*K57)</f>
        <v>172.7</v>
      </c>
      <c r="N57" s="55">
        <f>(44.35*2)+(24*3.5)</f>
        <v>172.7</v>
      </c>
    </row>
    <row r="58" spans="1:14" s="131" customFormat="1" ht="55.2" x14ac:dyDescent="0.25">
      <c r="A58" s="137" t="str">
        <f>'Plan. Orç. '!A64</f>
        <v>7.2</v>
      </c>
      <c r="B58" s="137" t="str">
        <f>'Plan. Orç. '!B64</f>
        <v>ED-49872 - SETOP</v>
      </c>
      <c r="C58" s="138" t="str">
        <f>'Plan. Orç. '!C64</f>
        <v>CAIXA DE ESGOTO DE INSPEÇÃO/PASSAGEM EM ALVENARIA (30X30X60CM), REVESTIMENTO EM ARGAMASSA COM ADITIVO IMPERMEABILIZANTE, COM TAMPA DE CONCRETO, INCLUSIVE ESCAVAÇÃO, REATERRO E TRANSPORTE E RETIRADA DO MATERIAL ESCAVADO (EM CAÇAMBA)</v>
      </c>
      <c r="D58" s="137" t="str">
        <f>'Plan. Orç. '!D64</f>
        <v>UNID.</v>
      </c>
      <c r="E58" s="159">
        <v>12</v>
      </c>
      <c r="F58" s="159">
        <v>2</v>
      </c>
      <c r="G58" s="159"/>
      <c r="H58" s="159"/>
      <c r="I58" s="159"/>
      <c r="J58" s="159"/>
      <c r="K58" s="159"/>
      <c r="L58" s="163">
        <f>(E58*F58)</f>
        <v>24</v>
      </c>
      <c r="N58" s="55">
        <v>24</v>
      </c>
    </row>
    <row r="59" spans="1:14" s="131" customFormat="1" ht="16.2" customHeight="1" x14ac:dyDescent="0.25">
      <c r="A59" s="132">
        <f>'Plan. Orç. '!A66</f>
        <v>8</v>
      </c>
      <c r="B59" s="291" t="str">
        <f>'Plan. Orç. '!B66</f>
        <v xml:space="preserve">LIMPEZA FINAL DE OBRA  </v>
      </c>
      <c r="C59" s="292"/>
      <c r="D59" s="292"/>
      <c r="E59" s="292"/>
      <c r="F59" s="292"/>
      <c r="G59" s="292"/>
      <c r="H59" s="292"/>
      <c r="I59" s="292"/>
      <c r="J59" s="292"/>
      <c r="K59" s="292"/>
      <c r="L59" s="293"/>
    </row>
    <row r="60" spans="1:14" s="131" customFormat="1" ht="16.2" customHeight="1" x14ac:dyDescent="0.25">
      <c r="A60" s="137" t="str">
        <f>'Plan. Orç. '!A67</f>
        <v>8.1</v>
      </c>
      <c r="B60" s="137" t="str">
        <f>'Plan. Orç. '!B67</f>
        <v>ED-50266 - SETOP</v>
      </c>
      <c r="C60" s="140" t="str">
        <f>'Plan. Orç. '!C67</f>
        <v xml:space="preserve"> LIMPEZA FINAL PARA ENTREGA DA OBRA</v>
      </c>
      <c r="D60" s="137" t="str">
        <f>'Plan. Orç. '!D67</f>
        <v>m²</v>
      </c>
      <c r="E60" s="295" t="s">
        <v>260</v>
      </c>
      <c r="F60" s="296"/>
      <c r="G60" s="296"/>
      <c r="H60" s="296"/>
      <c r="I60" s="296"/>
      <c r="J60" s="296"/>
      <c r="K60" s="297"/>
      <c r="L60" s="163">
        <v>271.63</v>
      </c>
      <c r="N60" s="55">
        <v>271.63</v>
      </c>
    </row>
    <row r="61" spans="1:14" ht="15" customHeight="1" x14ac:dyDescent="0.3">
      <c r="A61" s="208" t="str">
        <f>'Plan. Orç. '!A70:I70</f>
        <v xml:space="preserve">CHAPADA GAÚCHA - MG; 27 DE AGOSTO DE 2025. </v>
      </c>
      <c r="B61" s="208"/>
      <c r="C61" s="208"/>
      <c r="D61" s="208"/>
      <c r="E61" s="208"/>
      <c r="F61" s="208"/>
      <c r="G61" s="208"/>
      <c r="H61" s="208"/>
      <c r="I61" s="208"/>
    </row>
    <row r="62" spans="1:14" ht="50.4" customHeight="1" x14ac:dyDescent="0.3">
      <c r="A62" s="94"/>
      <c r="B62" s="109"/>
      <c r="C62" s="207" t="s">
        <v>104</v>
      </c>
      <c r="D62" s="109"/>
      <c r="E62" s="161"/>
      <c r="F62" s="161"/>
      <c r="G62" s="298" t="s">
        <v>105</v>
      </c>
      <c r="H62" s="298"/>
      <c r="I62" s="161"/>
    </row>
    <row r="63" spans="1:14" ht="15" customHeight="1" x14ac:dyDescent="0.3">
      <c r="A63" s="94"/>
      <c r="B63" s="109"/>
      <c r="C63" s="207"/>
      <c r="D63" s="109"/>
      <c r="E63" s="161"/>
      <c r="F63" s="161"/>
      <c r="G63" s="298"/>
      <c r="H63" s="298"/>
      <c r="I63" s="161"/>
      <c r="J63" s="121"/>
    </row>
    <row r="64" spans="1:14" x14ac:dyDescent="0.3">
      <c r="C64" s="60" t="s">
        <v>106</v>
      </c>
      <c r="G64" s="301" t="s">
        <v>107</v>
      </c>
      <c r="H64" s="301"/>
      <c r="I64" s="301"/>
      <c r="J64" s="301"/>
    </row>
    <row r="65" spans="1:12" x14ac:dyDescent="0.3">
      <c r="C65" s="2" t="s">
        <v>108</v>
      </c>
      <c r="G65" s="298" t="s">
        <v>109</v>
      </c>
      <c r="H65" s="298"/>
      <c r="J65" s="121"/>
    </row>
    <row r="66" spans="1:12" x14ac:dyDescent="0.3">
      <c r="C66" s="2" t="s">
        <v>110</v>
      </c>
      <c r="J66" s="121"/>
    </row>
    <row r="71" spans="1:12" s="22" customFormat="1" x14ac:dyDescent="0.3">
      <c r="A71"/>
      <c r="B71"/>
      <c r="C71" s="29"/>
      <c r="E71" s="141"/>
      <c r="F71" s="141"/>
      <c r="G71" s="141"/>
      <c r="H71" s="141"/>
      <c r="I71" s="141"/>
      <c r="J71" s="162"/>
      <c r="K71" s="87"/>
      <c r="L71" s="87"/>
    </row>
  </sheetData>
  <mergeCells count="62">
    <mergeCell ref="E23:K23"/>
    <mergeCell ref="E32:K32"/>
    <mergeCell ref="E33:K33"/>
    <mergeCell ref="E34:K34"/>
    <mergeCell ref="E42:K42"/>
    <mergeCell ref="B27:L27"/>
    <mergeCell ref="G65:H65"/>
    <mergeCell ref="A18:A19"/>
    <mergeCell ref="B18:B19"/>
    <mergeCell ref="C18:C19"/>
    <mergeCell ref="D18:D19"/>
    <mergeCell ref="E18:E19"/>
    <mergeCell ref="F18:F19"/>
    <mergeCell ref="G18:G19"/>
    <mergeCell ref="H18:H19"/>
    <mergeCell ref="A61:I61"/>
    <mergeCell ref="C62:C63"/>
    <mergeCell ref="G62:H63"/>
    <mergeCell ref="E60:K60"/>
    <mergeCell ref="B59:L59"/>
    <mergeCell ref="G64:J64"/>
    <mergeCell ref="B31:L31"/>
    <mergeCell ref="B44:L44"/>
    <mergeCell ref="B56:L56"/>
    <mergeCell ref="B38:L38"/>
    <mergeCell ref="E45:K45"/>
    <mergeCell ref="E46:K46"/>
    <mergeCell ref="E47:K47"/>
    <mergeCell ref="E48:K48"/>
    <mergeCell ref="E49:K49"/>
    <mergeCell ref="E50:K50"/>
    <mergeCell ref="E51:K51"/>
    <mergeCell ref="E52:K52"/>
    <mergeCell ref="E53:K53"/>
    <mergeCell ref="E54:K54"/>
    <mergeCell ref="E55:K55"/>
    <mergeCell ref="E43:K43"/>
    <mergeCell ref="J18:J19"/>
    <mergeCell ref="K18:K19"/>
    <mergeCell ref="L18:L19"/>
    <mergeCell ref="B20:L20"/>
    <mergeCell ref="B22:L22"/>
    <mergeCell ref="I18:I19"/>
    <mergeCell ref="E21:K21"/>
    <mergeCell ref="A1:I1"/>
    <mergeCell ref="D2:G2"/>
    <mergeCell ref="A3:C3"/>
    <mergeCell ref="D3:G3"/>
    <mergeCell ref="A5:C5"/>
    <mergeCell ref="D5:G5"/>
    <mergeCell ref="D15:G15"/>
    <mergeCell ref="D16:G16"/>
    <mergeCell ref="A6:C6"/>
    <mergeCell ref="D6:G6"/>
    <mergeCell ref="A8:C8"/>
    <mergeCell ref="D8:G8"/>
    <mergeCell ref="A9:C9"/>
    <mergeCell ref="D9:G9"/>
    <mergeCell ref="A11:B11"/>
    <mergeCell ref="A12:C12"/>
    <mergeCell ref="A14:C14"/>
    <mergeCell ref="A15:C16"/>
  </mergeCells>
  <phoneticPr fontId="33" type="noConversion"/>
  <pageMargins left="0.19685039370078741" right="0.19685039370078741" top="1.2598425196850394" bottom="0.70866141732283472" header="0.39370078740157483" footer="0.39370078740157483"/>
  <pageSetup scale="39" orientation="portrait" verticalDpi="4294967295" r:id="rId1"/>
  <headerFooter scaleWithDoc="0" alignWithMargins="0">
    <oddHeader>&amp;C&amp;G</oddHeader>
    <oddFooter>&amp;L&amp;9ENDEREÇO: GETÚLIO VARGAS, N° 500, CENTRO, CHAPADA GAÚCHA – MG, CEP: 38.689-000.&amp;RPágina &amp;P de 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2F98C-175E-44D7-8ED6-B1FF2ABD3D07}">
  <dimension ref="A1:H11"/>
  <sheetViews>
    <sheetView workbookViewId="0">
      <selection activeCell="G20" sqref="G20"/>
    </sheetView>
  </sheetViews>
  <sheetFormatPr defaultRowHeight="13.2" x14ac:dyDescent="0.25"/>
  <cols>
    <col min="1" max="1" width="13.21875" customWidth="1"/>
    <col min="2" max="2" width="35.77734375" bestFit="1" customWidth="1"/>
    <col min="3" max="3" width="18.33203125" bestFit="1" customWidth="1"/>
    <col min="4" max="4" width="16.109375" bestFit="1" customWidth="1"/>
    <col min="5" max="5" width="13" customWidth="1"/>
  </cols>
  <sheetData>
    <row r="1" spans="1:8" x14ac:dyDescent="0.25">
      <c r="A1" s="311" t="s">
        <v>203</v>
      </c>
      <c r="B1" s="311"/>
      <c r="C1" s="311"/>
      <c r="D1" s="311"/>
      <c r="E1" s="311"/>
    </row>
    <row r="2" spans="1:8" x14ac:dyDescent="0.25">
      <c r="A2" s="112" t="s">
        <v>200</v>
      </c>
      <c r="B2" s="112" t="s">
        <v>190</v>
      </c>
      <c r="C2" s="113" t="s">
        <v>193</v>
      </c>
      <c r="D2" s="112" t="s">
        <v>191</v>
      </c>
      <c r="E2" s="112" t="s">
        <v>192</v>
      </c>
    </row>
    <row r="3" spans="1:8" x14ac:dyDescent="0.25">
      <c r="A3" s="128" t="s">
        <v>230</v>
      </c>
      <c r="B3" s="112" t="s">
        <v>231</v>
      </c>
      <c r="C3" s="129">
        <v>4.4000000000000004</v>
      </c>
      <c r="D3" s="114">
        <f>24*5</f>
        <v>120</v>
      </c>
      <c r="E3" s="115">
        <f>D3*C3</f>
        <v>528</v>
      </c>
    </row>
    <row r="4" spans="1:8" x14ac:dyDescent="0.25">
      <c r="A4" s="312" t="s">
        <v>201</v>
      </c>
      <c r="B4" s="112" t="s">
        <v>196</v>
      </c>
      <c r="C4" s="114">
        <v>2.2000000000000002</v>
      </c>
      <c r="D4" s="114">
        <f>((6*1.08)*2)*12</f>
        <v>155.52000000000001</v>
      </c>
      <c r="E4" s="115">
        <f>D4*C4</f>
        <v>342.14400000000006</v>
      </c>
      <c r="F4" s="317" t="s">
        <v>206</v>
      </c>
      <c r="G4" s="199"/>
      <c r="H4" s="199"/>
    </row>
    <row r="5" spans="1:8" x14ac:dyDescent="0.25">
      <c r="A5" s="313"/>
      <c r="B5" s="112" t="s">
        <v>194</v>
      </c>
      <c r="C5" s="114">
        <f>11.3/6</f>
        <v>1.8833333333333335</v>
      </c>
      <c r="D5" s="114">
        <f>D4</f>
        <v>155.52000000000001</v>
      </c>
      <c r="E5" s="115">
        <f>D5*C5</f>
        <v>292.89600000000007</v>
      </c>
      <c r="F5" s="127">
        <v>271.63</v>
      </c>
      <c r="G5" s="316" t="s">
        <v>33</v>
      </c>
      <c r="H5" s="316"/>
    </row>
    <row r="6" spans="1:8" x14ac:dyDescent="0.25">
      <c r="A6" s="34" t="s">
        <v>202</v>
      </c>
      <c r="B6" s="112" t="s">
        <v>194</v>
      </c>
      <c r="C6" s="114">
        <f>11.3/6</f>
        <v>1.8833333333333335</v>
      </c>
      <c r="D6" s="114">
        <f>18*44.35</f>
        <v>798.30000000000007</v>
      </c>
      <c r="E6" s="115">
        <f>D6*C6</f>
        <v>1503.4650000000004</v>
      </c>
      <c r="G6" s="314" t="s">
        <v>205</v>
      </c>
      <c r="H6" s="315"/>
    </row>
    <row r="7" spans="1:8" x14ac:dyDescent="0.25">
      <c r="A7" s="308" t="s">
        <v>195</v>
      </c>
      <c r="B7" s="309"/>
      <c r="C7" s="309"/>
      <c r="D7" s="310"/>
      <c r="E7" s="130">
        <f>SUM(E3:E6)</f>
        <v>2666.5050000000001</v>
      </c>
      <c r="G7" s="116">
        <f>E7/F5</f>
        <v>9.8166807790008477</v>
      </c>
      <c r="H7" s="117" t="s">
        <v>204</v>
      </c>
    </row>
    <row r="10" spans="1:8" x14ac:dyDescent="0.25">
      <c r="C10" s="34" t="s">
        <v>197</v>
      </c>
      <c r="D10" s="34" t="s">
        <v>198</v>
      </c>
      <c r="E10" s="34" t="s">
        <v>199</v>
      </c>
    </row>
    <row r="11" spans="1:8" x14ac:dyDescent="0.25">
      <c r="C11" s="34">
        <v>44.35</v>
      </c>
      <c r="D11" s="125">
        <v>3.65</v>
      </c>
      <c r="E11" s="124" t="s">
        <v>228</v>
      </c>
    </row>
  </sheetData>
  <mergeCells count="6">
    <mergeCell ref="A7:D7"/>
    <mergeCell ref="A1:E1"/>
    <mergeCell ref="A4:A5"/>
    <mergeCell ref="G6:H6"/>
    <mergeCell ref="G5:H5"/>
    <mergeCell ref="F4:H4"/>
  </mergeCells>
  <phoneticPr fontId="34" type="noConversion"/>
  <pageMargins left="0.51181102362204722" right="0.51181102362204722" top="1.5748031496062993" bottom="0.78740157480314965" header="0.31496062992125984" footer="0.31496062992125984"/>
  <pageSetup paperSize="9" orientation="landscape" horizontalDpi="0" verticalDpi="0" r:id="rId1"/>
  <headerFooter>
    <oddHeader>&amp;C&amp;G</oddHeader>
    <oddFooter>&amp;LENDEREÇO: GETÚLIO VARGAS, N° 500, CENTRO, CHAPADA GAÚCHA – MG, CEP: 38.689-000.&amp;RPágina &amp;P de 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5"/>
  <sheetViews>
    <sheetView view="pageBreakPreview" zoomScale="70" zoomScaleSheetLayoutView="70" workbookViewId="0">
      <selection activeCell="H24" sqref="H24"/>
    </sheetView>
  </sheetViews>
  <sheetFormatPr defaultColWidth="9.21875" defaultRowHeight="13.2" x14ac:dyDescent="0.25"/>
  <cols>
    <col min="1" max="1" width="5.77734375" style="2" bestFit="1" customWidth="1"/>
    <col min="2" max="2" width="20.44140625" style="2" customWidth="1"/>
    <col min="3" max="3" width="94" style="2" customWidth="1"/>
    <col min="4" max="13" width="12.77734375" style="2" customWidth="1"/>
    <col min="14" max="16384" width="9.21875" style="2"/>
  </cols>
  <sheetData>
    <row r="1" spans="1:12" ht="28.2" x14ac:dyDescent="0.5">
      <c r="A1" s="328" t="s">
        <v>166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</row>
    <row r="2" spans="1:12" ht="13.8" x14ac:dyDescent="0.25">
      <c r="A2" s="318" t="s">
        <v>112</v>
      </c>
      <c r="B2" s="319"/>
      <c r="C2" s="319"/>
      <c r="D2" s="319"/>
      <c r="E2" s="319"/>
      <c r="F2" s="319"/>
      <c r="G2" s="319"/>
      <c r="H2" s="320"/>
      <c r="I2" s="30"/>
      <c r="J2" s="30"/>
      <c r="K2" s="30"/>
      <c r="L2" s="30"/>
    </row>
    <row r="3" spans="1:12" ht="13.8" x14ac:dyDescent="0.25">
      <c r="A3" s="330" t="s">
        <v>178</v>
      </c>
      <c r="B3" s="331"/>
      <c r="C3" s="331"/>
      <c r="D3" s="331"/>
      <c r="E3" s="331"/>
      <c r="F3" s="331"/>
      <c r="G3" s="331"/>
      <c r="H3" s="332"/>
      <c r="I3" s="31"/>
      <c r="J3" s="31"/>
      <c r="K3" s="31"/>
      <c r="L3" s="31"/>
    </row>
    <row r="4" spans="1:12" ht="13.8" x14ac:dyDescent="0.25">
      <c r="A4" s="318" t="s">
        <v>179</v>
      </c>
      <c r="B4" s="319"/>
      <c r="C4" s="319"/>
      <c r="D4" s="320"/>
      <c r="E4" s="333" t="s">
        <v>180</v>
      </c>
      <c r="F4" s="335" t="e">
        <f>'Plan. Orç. '!#REF!</f>
        <v>#REF!</v>
      </c>
      <c r="G4" s="335"/>
      <c r="H4" s="335"/>
      <c r="I4" s="30"/>
      <c r="J4" s="30"/>
      <c r="K4" s="30"/>
      <c r="L4" s="30"/>
    </row>
    <row r="5" spans="1:12" ht="13.8" x14ac:dyDescent="0.25">
      <c r="A5" s="336" t="e">
        <f>'Plan. Orç. '!#REF!</f>
        <v>#REF!</v>
      </c>
      <c r="B5" s="336"/>
      <c r="C5" s="336"/>
      <c r="D5" s="336"/>
      <c r="E5" s="334"/>
      <c r="F5" s="335"/>
      <c r="G5" s="335"/>
      <c r="H5" s="335"/>
      <c r="I5" s="30"/>
      <c r="J5" s="30"/>
      <c r="K5" s="30"/>
      <c r="L5" s="30"/>
    </row>
    <row r="6" spans="1:12" ht="13.8" x14ac:dyDescent="0.25">
      <c r="A6" s="318" t="s">
        <v>114</v>
      </c>
      <c r="B6" s="319"/>
      <c r="C6" s="319"/>
      <c r="D6" s="320"/>
      <c r="E6" s="321" t="e">
        <f>'Plan. Orç. '!#REF!</f>
        <v>#REF!</v>
      </c>
      <c r="F6" s="322"/>
      <c r="G6" s="322"/>
      <c r="H6" s="323"/>
      <c r="I6" s="30"/>
      <c r="J6" s="30"/>
      <c r="K6" s="30"/>
      <c r="L6" s="30"/>
    </row>
    <row r="7" spans="1:12" ht="15.6" x14ac:dyDescent="0.25">
      <c r="A7" s="324" t="e">
        <f>'Plan. Orç. '!#REF!</f>
        <v>#REF!</v>
      </c>
      <c r="B7" s="324"/>
      <c r="C7" s="324"/>
      <c r="D7" s="324"/>
      <c r="E7" s="325" t="str">
        <f>'Plan. Orç. '!B19</f>
        <v xml:space="preserve">CÓDIGO </v>
      </c>
      <c r="F7" s="325"/>
      <c r="G7" s="325"/>
      <c r="H7" s="325"/>
      <c r="I7" s="32"/>
      <c r="J7" s="32"/>
      <c r="K7" s="32"/>
      <c r="L7" s="32"/>
    </row>
    <row r="8" spans="1:12" ht="17.399999999999999" x14ac:dyDescent="0.25">
      <c r="A8" s="326"/>
      <c r="B8" s="327"/>
      <c r="C8" s="327"/>
      <c r="D8" s="327"/>
      <c r="E8" s="327"/>
      <c r="F8" s="327"/>
      <c r="G8" s="327"/>
      <c r="H8" s="327"/>
      <c r="I8" s="327"/>
      <c r="J8" s="327"/>
      <c r="K8" s="327"/>
      <c r="L8" s="327"/>
    </row>
    <row r="9" spans="1:12" s="37" customFormat="1" x14ac:dyDescent="0.25">
      <c r="A9" s="337" t="s">
        <v>22</v>
      </c>
      <c r="B9" s="337" t="s">
        <v>167</v>
      </c>
      <c r="C9" s="337" t="s">
        <v>168</v>
      </c>
      <c r="D9" s="337" t="s">
        <v>169</v>
      </c>
      <c r="E9" s="339" t="s">
        <v>170</v>
      </c>
      <c r="F9" s="339" t="s">
        <v>171</v>
      </c>
      <c r="G9" s="339" t="s">
        <v>172</v>
      </c>
      <c r="H9" s="339" t="s">
        <v>173</v>
      </c>
      <c r="I9" s="339" t="s">
        <v>174</v>
      </c>
      <c r="J9" s="339" t="s">
        <v>175</v>
      </c>
      <c r="K9" s="339" t="s">
        <v>176</v>
      </c>
      <c r="L9" s="339" t="s">
        <v>177</v>
      </c>
    </row>
    <row r="10" spans="1:12" s="37" customFormat="1" x14ac:dyDescent="0.25">
      <c r="A10" s="338"/>
      <c r="B10" s="338"/>
      <c r="C10" s="338"/>
      <c r="D10" s="338"/>
      <c r="E10" s="340"/>
      <c r="F10" s="340"/>
      <c r="G10" s="340"/>
      <c r="H10" s="340"/>
      <c r="I10" s="340"/>
      <c r="J10" s="340"/>
      <c r="K10" s="340"/>
      <c r="L10" s="340"/>
    </row>
    <row r="11" spans="1:12" ht="13.8" x14ac:dyDescent="0.25">
      <c r="A11" s="33">
        <v>1</v>
      </c>
      <c r="B11" s="341" t="s">
        <v>31</v>
      </c>
      <c r="C11" s="341"/>
      <c r="D11" s="341"/>
      <c r="E11" s="341"/>
      <c r="F11" s="341"/>
      <c r="G11" s="341"/>
      <c r="H11" s="341"/>
      <c r="I11" s="341"/>
      <c r="J11" s="341"/>
      <c r="K11" s="341"/>
      <c r="L11" s="341"/>
    </row>
    <row r="12" spans="1:12" ht="52.8" x14ac:dyDescent="0.25">
      <c r="A12" s="34" t="str">
        <f>'Plan. Orç. '!A21</f>
        <v>01.01</v>
      </c>
      <c r="B12" s="35" t="str">
        <f>'Plan. Orç. '!B21</f>
        <v>ED-28427 - SETOP</v>
      </c>
      <c r="C12" s="38" t="str">
        <f>'Plan. Orç. '!C21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12" s="35" t="str">
        <f>'[11]Planilha Orçamento'!E9</f>
        <v>m²</v>
      </c>
      <c r="E12" s="39">
        <v>1.5</v>
      </c>
      <c r="F12" s="39"/>
      <c r="G12" s="39">
        <v>1</v>
      </c>
      <c r="H12" s="39"/>
      <c r="I12" s="39"/>
      <c r="J12" s="39"/>
      <c r="K12" s="40">
        <f>E12*G12</f>
        <v>1.5</v>
      </c>
      <c r="L12" s="39"/>
    </row>
    <row r="13" spans="1:12" ht="13.8" x14ac:dyDescent="0.25">
      <c r="A13" s="41" t="e">
        <f>'Plan. Orç. '!#REF!</f>
        <v>#REF!</v>
      </c>
      <c r="B13" s="342" t="e">
        <f>'Plan. Orç. '!#REF!</f>
        <v>#REF!</v>
      </c>
      <c r="C13" s="342"/>
      <c r="D13" s="342">
        <f>'[11]Planilha Orçamento'!E11</f>
        <v>0</v>
      </c>
      <c r="E13" s="342"/>
      <c r="F13" s="342"/>
      <c r="G13" s="342"/>
      <c r="H13" s="342"/>
      <c r="I13" s="342"/>
      <c r="J13" s="342"/>
      <c r="K13" s="342"/>
      <c r="L13" s="342"/>
    </row>
    <row r="14" spans="1:12" ht="35.549999999999997" customHeight="1" x14ac:dyDescent="0.25">
      <c r="A14" s="34" t="e">
        <f>'Plan. Orç. '!#REF!</f>
        <v>#REF!</v>
      </c>
      <c r="B14" s="35" t="e">
        <f>'Plan. Orç. '!#REF!</f>
        <v>#REF!</v>
      </c>
      <c r="C14" s="38" t="e">
        <f>'Plan. Orç. '!#REF!</f>
        <v>#REF!</v>
      </c>
      <c r="D14" s="35" t="e">
        <f>'Plan. Orç. '!#REF!</f>
        <v>#REF!</v>
      </c>
      <c r="E14" s="39">
        <v>10</v>
      </c>
      <c r="F14" s="39">
        <v>6</v>
      </c>
      <c r="G14" s="39"/>
      <c r="H14" s="39"/>
      <c r="I14" s="39"/>
      <c r="J14" s="39"/>
      <c r="K14" s="40">
        <f>E14*F14</f>
        <v>60</v>
      </c>
      <c r="L14" s="39"/>
    </row>
    <row r="15" spans="1:12" ht="15.6" customHeight="1" x14ac:dyDescent="0.25">
      <c r="A15" s="41" t="e">
        <f>'Plan. Orç. '!#REF!</f>
        <v>#REF!</v>
      </c>
      <c r="B15" s="342" t="e">
        <f>'Plan. Orç. '!#REF!</f>
        <v>#REF!</v>
      </c>
      <c r="C15" s="342" t="e">
        <f>'Plan. Orç. '!#REF!</f>
        <v>#REF!</v>
      </c>
      <c r="D15" s="342" t="str">
        <f>'[11]Planilha Orçamento'!E14</f>
        <v>m³</v>
      </c>
      <c r="E15" s="342"/>
      <c r="F15" s="342"/>
      <c r="G15" s="342"/>
      <c r="H15" s="342"/>
      <c r="I15" s="342"/>
      <c r="J15" s="342"/>
      <c r="K15" s="342"/>
      <c r="L15" s="342"/>
    </row>
    <row r="16" spans="1:12" ht="25.95" customHeight="1" x14ac:dyDescent="0.25">
      <c r="A16" s="34" t="e">
        <f>'Plan. Orç. '!#REF!</f>
        <v>#REF!</v>
      </c>
      <c r="B16" s="35" t="e">
        <f>'Plan. Orç. '!#REF!</f>
        <v>#REF!</v>
      </c>
      <c r="C16" s="38" t="e">
        <f>'Plan. Orç. '!#REF!</f>
        <v>#REF!</v>
      </c>
      <c r="D16" s="35" t="e">
        <f>'Plan. Orç. '!#REF!</f>
        <v>#REF!</v>
      </c>
      <c r="E16" s="39">
        <v>10</v>
      </c>
      <c r="F16" s="39">
        <v>6</v>
      </c>
      <c r="G16" s="39"/>
      <c r="H16" s="39"/>
      <c r="I16" s="39"/>
      <c r="J16" s="39"/>
      <c r="K16" s="40">
        <f>E16*F16</f>
        <v>60</v>
      </c>
      <c r="L16" s="39"/>
    </row>
    <row r="17" spans="1:12" ht="25.95" customHeight="1" x14ac:dyDescent="0.25">
      <c r="A17" s="312" t="e">
        <f>'Plan. Orç. '!#REF!</f>
        <v>#REF!</v>
      </c>
      <c r="B17" s="344" t="e">
        <f>'Plan. Orç. '!#REF!</f>
        <v>#REF!</v>
      </c>
      <c r="C17" s="346" t="e">
        <f>'Plan. Orç. '!#REF!</f>
        <v>#REF!</v>
      </c>
      <c r="D17" s="344" t="e">
        <f>'Plan. Orç. '!#REF!</f>
        <v>#REF!</v>
      </c>
      <c r="E17" s="39">
        <v>10</v>
      </c>
      <c r="F17" s="39">
        <v>6</v>
      </c>
      <c r="G17" s="39">
        <v>1.08</v>
      </c>
      <c r="H17" s="353" t="s">
        <v>181</v>
      </c>
      <c r="I17" s="354"/>
      <c r="J17" s="355"/>
      <c r="K17" s="40">
        <f>E17*F17*G17</f>
        <v>64.800000000000011</v>
      </c>
      <c r="L17" s="348">
        <f>K17+K18</f>
        <v>79.800000000000011</v>
      </c>
    </row>
    <row r="18" spans="1:12" ht="25.95" customHeight="1" x14ac:dyDescent="0.25">
      <c r="A18" s="313"/>
      <c r="B18" s="345"/>
      <c r="C18" s="347"/>
      <c r="D18" s="345"/>
      <c r="E18" s="39">
        <v>10</v>
      </c>
      <c r="F18" s="39">
        <v>1.5</v>
      </c>
      <c r="G18" s="350" t="s">
        <v>182</v>
      </c>
      <c r="H18" s="351"/>
      <c r="I18" s="351"/>
      <c r="J18" s="352"/>
      <c r="K18" s="40">
        <f>E18*F18</f>
        <v>15</v>
      </c>
      <c r="L18" s="349"/>
    </row>
    <row r="19" spans="1:12" ht="25.95" customHeight="1" x14ac:dyDescent="0.25">
      <c r="A19" s="34" t="e">
        <f>'Plan. Orç. '!#REF!</f>
        <v>#REF!</v>
      </c>
      <c r="B19" s="35" t="e">
        <f>'Plan. Orç. '!#REF!</f>
        <v>#REF!</v>
      </c>
      <c r="C19" s="38" t="e">
        <f>'Plan. Orç. '!#REF!</f>
        <v>#REF!</v>
      </c>
      <c r="D19" s="35" t="e">
        <f>'Plan. Orç. '!#REF!</f>
        <v>#REF!</v>
      </c>
      <c r="E19" s="39">
        <v>0.45</v>
      </c>
      <c r="F19" s="39">
        <v>0.82</v>
      </c>
      <c r="G19" s="39">
        <v>0.45</v>
      </c>
      <c r="H19" s="39"/>
      <c r="I19" s="39"/>
      <c r="J19" s="39">
        <v>6</v>
      </c>
      <c r="K19" s="40"/>
      <c r="L19" s="40">
        <f>E19*F19*G19*J19</f>
        <v>0.99629999999999996</v>
      </c>
    </row>
    <row r="20" spans="1:12" ht="15.6" customHeight="1" x14ac:dyDescent="0.25">
      <c r="A20" s="41" t="e">
        <f>'Plan. Orç. '!#REF!</f>
        <v>#REF!</v>
      </c>
      <c r="B20" s="342" t="e">
        <f>'Plan. Orç. '!#REF!</f>
        <v>#REF!</v>
      </c>
      <c r="C20" s="342" t="e">
        <f>'Plan. Orç. '!#REF!</f>
        <v>#REF!</v>
      </c>
      <c r="D20" s="342">
        <f>'[11]Planilha Orçamento'!E23</f>
        <v>0</v>
      </c>
      <c r="E20" s="342"/>
      <c r="F20" s="342"/>
      <c r="G20" s="342"/>
      <c r="H20" s="342"/>
      <c r="I20" s="342"/>
      <c r="J20" s="342"/>
      <c r="K20" s="342"/>
      <c r="L20" s="342"/>
    </row>
    <row r="21" spans="1:12" x14ac:dyDescent="0.25">
      <c r="A21" s="34" t="e">
        <f>'Plan. Orç. '!#REF!</f>
        <v>#REF!</v>
      </c>
      <c r="B21" s="35" t="e">
        <f>'Plan. Orç. '!#REF!</f>
        <v>#REF!</v>
      </c>
      <c r="C21" s="42" t="e">
        <f>'Plan. Orç. '!#REF!</f>
        <v>#REF!</v>
      </c>
      <c r="D21" s="35" t="e">
        <f>'Plan. Orç. '!#REF!</f>
        <v>#REF!</v>
      </c>
      <c r="E21" s="39">
        <v>10</v>
      </c>
      <c r="F21" s="39">
        <v>6</v>
      </c>
      <c r="G21" s="39"/>
      <c r="H21" s="39"/>
      <c r="I21" s="39"/>
      <c r="J21" s="39"/>
      <c r="K21" s="40">
        <f>E21*F21</f>
        <v>60</v>
      </c>
      <c r="L21" s="39"/>
    </row>
    <row r="22" spans="1:12" ht="15.6" customHeight="1" x14ac:dyDescent="0.25">
      <c r="A22" s="41" t="e">
        <f>'Plan. Orç. '!#REF!</f>
        <v>#REF!</v>
      </c>
      <c r="B22" s="342" t="e">
        <f>'Plan. Orç. '!#REF!</f>
        <v>#REF!</v>
      </c>
      <c r="C22" s="342" t="e">
        <f>'Plan. Orç. '!#REF!</f>
        <v>#REF!</v>
      </c>
      <c r="D22" s="342" t="str">
        <f>'[11]Planilha Orçamento'!E25</f>
        <v>und</v>
      </c>
      <c r="E22" s="342"/>
      <c r="F22" s="342"/>
      <c r="G22" s="342"/>
      <c r="H22" s="342"/>
      <c r="I22" s="342"/>
      <c r="J22" s="342"/>
      <c r="K22" s="342"/>
      <c r="L22" s="342"/>
    </row>
    <row r="23" spans="1:12" x14ac:dyDescent="0.25">
      <c r="A23" s="34" t="e">
        <f>'Plan. Orç. '!#REF!</f>
        <v>#REF!</v>
      </c>
      <c r="B23" s="35" t="e">
        <f>'Plan. Orç. '!#REF!</f>
        <v>#REF!</v>
      </c>
      <c r="C23" s="38" t="e">
        <f>'Plan. Orç. '!#REF!</f>
        <v>#REF!</v>
      </c>
      <c r="D23" s="35" t="e">
        <f>'Plan. Orç. '!#REF!</f>
        <v>#REF!</v>
      </c>
      <c r="E23" s="39"/>
      <c r="F23" s="39"/>
      <c r="G23" s="39"/>
      <c r="H23" s="39"/>
      <c r="I23" s="39"/>
      <c r="J23" s="39">
        <v>1</v>
      </c>
      <c r="K23" s="40">
        <v>1</v>
      </c>
      <c r="L23" s="39"/>
    </row>
    <row r="24" spans="1:12" x14ac:dyDescent="0.25">
      <c r="A24" s="34" t="e">
        <f>'Plan. Orç. '!#REF!</f>
        <v>#REF!</v>
      </c>
      <c r="B24" s="35" t="e">
        <f>'Plan. Orç. '!#REF!</f>
        <v>#REF!</v>
      </c>
      <c r="C24" s="38" t="e">
        <f>'Plan. Orç. '!#REF!</f>
        <v>#REF!</v>
      </c>
      <c r="D24" s="35" t="e">
        <f>'Plan. Orç. '!#REF!</f>
        <v>#REF!</v>
      </c>
      <c r="E24" s="39">
        <v>6</v>
      </c>
      <c r="F24" s="39"/>
      <c r="G24" s="39"/>
      <c r="H24" s="39"/>
      <c r="I24" s="39"/>
      <c r="J24" s="39">
        <v>2</v>
      </c>
      <c r="K24" s="40">
        <f>E24*J24</f>
        <v>12</v>
      </c>
      <c r="L24" s="39"/>
    </row>
    <row r="25" spans="1:12" x14ac:dyDescent="0.25">
      <c r="A25" s="34" t="e">
        <f>'Plan. Orç. '!#REF!</f>
        <v>#REF!</v>
      </c>
      <c r="B25" s="35" t="e">
        <f>'Plan. Orç. '!#REF!</f>
        <v>#REF!</v>
      </c>
      <c r="C25" s="38" t="e">
        <f>'Plan. Orç. '!#REF!</f>
        <v>#REF!</v>
      </c>
      <c r="D25" s="35" t="e">
        <f>'Plan. Orç. '!#REF!</f>
        <v>#REF!</v>
      </c>
      <c r="E25" s="39">
        <v>150</v>
      </c>
      <c r="F25" s="39"/>
      <c r="G25" s="39"/>
      <c r="H25" s="39"/>
      <c r="I25" s="39"/>
      <c r="J25" s="39">
        <v>2</v>
      </c>
      <c r="K25" s="40">
        <f>E25*J25</f>
        <v>300</v>
      </c>
      <c r="L25" s="39"/>
    </row>
    <row r="26" spans="1:12" x14ac:dyDescent="0.25">
      <c r="A26" s="34" t="e">
        <f>'Plan. Orç. '!#REF!</f>
        <v>#REF!</v>
      </c>
      <c r="B26" s="35" t="e">
        <f>'Plan. Orç. '!#REF!</f>
        <v>#REF!</v>
      </c>
      <c r="C26" s="38" t="e">
        <f>'Plan. Orç. '!#REF!</f>
        <v>#REF!</v>
      </c>
      <c r="D26" s="35" t="e">
        <f>'Plan. Orç. '!#REF!</f>
        <v>#REF!</v>
      </c>
      <c r="E26" s="39">
        <v>5</v>
      </c>
      <c r="F26" s="39"/>
      <c r="G26" s="39"/>
      <c r="H26" s="39"/>
      <c r="I26" s="39"/>
      <c r="J26" s="39">
        <v>2</v>
      </c>
      <c r="K26" s="40">
        <f>E26*J26</f>
        <v>10</v>
      </c>
      <c r="L26" s="39"/>
    </row>
    <row r="27" spans="1:12" x14ac:dyDescent="0.25">
      <c r="A27" s="34" t="e">
        <f>'Plan. Orç. '!#REF!</f>
        <v>#REF!</v>
      </c>
      <c r="B27" s="35" t="e">
        <f>'Plan. Orç. '!#REF!</f>
        <v>#REF!</v>
      </c>
      <c r="C27" s="38" t="e">
        <f>'Plan. Orç. '!#REF!</f>
        <v>#REF!</v>
      </c>
      <c r="D27" s="35" t="e">
        <f>'Plan. Orç. '!#REF!</f>
        <v>#REF!</v>
      </c>
      <c r="E27" s="39">
        <f>104/2</f>
        <v>52</v>
      </c>
      <c r="F27" s="39"/>
      <c r="G27" s="39"/>
      <c r="H27" s="39"/>
      <c r="I27" s="39"/>
      <c r="J27" s="39">
        <v>2</v>
      </c>
      <c r="K27" s="40">
        <f>E27*J27</f>
        <v>104</v>
      </c>
      <c r="L27" s="39"/>
    </row>
    <row r="28" spans="1:12" x14ac:dyDescent="0.25">
      <c r="A28" s="34" t="e">
        <f>'Plan. Orç. '!#REF!</f>
        <v>#REF!</v>
      </c>
      <c r="B28" s="35" t="e">
        <f>'Plan. Orç. '!#REF!</f>
        <v>#REF!</v>
      </c>
      <c r="C28" s="38" t="e">
        <f>'Plan. Orç. '!#REF!</f>
        <v>#REF!</v>
      </c>
      <c r="D28" s="35" t="e">
        <f>'Plan. Orç. '!#REF!</f>
        <v>#REF!</v>
      </c>
      <c r="E28" s="39">
        <v>3</v>
      </c>
      <c r="F28" s="39"/>
      <c r="G28" s="39"/>
      <c r="H28" s="39"/>
      <c r="I28" s="39"/>
      <c r="J28" s="39"/>
      <c r="K28" s="40">
        <f>E28</f>
        <v>3</v>
      </c>
      <c r="L28" s="39"/>
    </row>
    <row r="29" spans="1:12" x14ac:dyDescent="0.25">
      <c r="A29" s="207" t="s">
        <v>183</v>
      </c>
      <c r="B29" s="343"/>
      <c r="C29" s="343"/>
      <c r="D29" s="343"/>
      <c r="E29" s="343"/>
      <c r="F29" s="343"/>
      <c r="G29" s="343"/>
      <c r="H29" s="343"/>
      <c r="I29" s="36"/>
      <c r="J29" s="36"/>
      <c r="K29" s="36"/>
      <c r="L29" s="36"/>
    </row>
    <row r="30" spans="1:12" x14ac:dyDescent="0.25">
      <c r="A30"/>
      <c r="B30"/>
      <c r="C30"/>
      <c r="D30" s="22"/>
      <c r="E30"/>
      <c r="F30"/>
      <c r="G30"/>
      <c r="H30"/>
      <c r="I30" s="36"/>
      <c r="J30" s="36"/>
      <c r="K30" s="36"/>
      <c r="L30" s="36"/>
    </row>
    <row r="31" spans="1:12" x14ac:dyDescent="0.25">
      <c r="A31"/>
      <c r="B31"/>
      <c r="C31"/>
      <c r="D31" s="22"/>
      <c r="E31" s="19"/>
      <c r="F31"/>
      <c r="G31"/>
      <c r="H31"/>
      <c r="I31" s="36"/>
      <c r="J31" s="36"/>
      <c r="K31" s="36"/>
      <c r="L31" s="36"/>
    </row>
    <row r="32" spans="1:12" x14ac:dyDescent="0.25">
      <c r="A32"/>
      <c r="B32"/>
      <c r="C32"/>
      <c r="D32" s="22"/>
      <c r="F32"/>
      <c r="G32"/>
      <c r="H32"/>
      <c r="I32" s="36"/>
      <c r="J32" s="36"/>
      <c r="K32" s="36"/>
      <c r="L32" s="36"/>
    </row>
    <row r="33" spans="1:12" x14ac:dyDescent="0.25">
      <c r="A33"/>
      <c r="B33"/>
      <c r="C33" s="25" t="s">
        <v>106</v>
      </c>
      <c r="D33" s="22"/>
      <c r="E33"/>
      <c r="F33"/>
      <c r="G33" s="25" t="s">
        <v>184</v>
      </c>
      <c r="H33" s="25"/>
      <c r="I33" s="36"/>
      <c r="J33" s="36"/>
      <c r="K33" s="36"/>
      <c r="L33" s="36"/>
    </row>
    <row r="34" spans="1:12" x14ac:dyDescent="0.25">
      <c r="A34"/>
      <c r="B34"/>
      <c r="C34" s="2" t="s">
        <v>108</v>
      </c>
      <c r="D34" s="22"/>
      <c r="E34"/>
      <c r="F34"/>
      <c r="G34" s="199" t="s">
        <v>109</v>
      </c>
      <c r="H34" s="199"/>
      <c r="I34" s="36"/>
      <c r="J34" s="36"/>
      <c r="K34" s="36"/>
      <c r="L34" s="36"/>
    </row>
    <row r="35" spans="1:12" x14ac:dyDescent="0.25">
      <c r="A35"/>
      <c r="B35"/>
      <c r="C35" s="2" t="s">
        <v>110</v>
      </c>
      <c r="D35" s="22"/>
      <c r="E35"/>
      <c r="F35"/>
      <c r="G35"/>
      <c r="H35"/>
      <c r="I35" s="36"/>
      <c r="J35" s="36"/>
      <c r="K35" s="36"/>
      <c r="L35" s="36"/>
    </row>
  </sheetData>
  <mergeCells count="38">
    <mergeCell ref="G34:H34"/>
    <mergeCell ref="B13:L13"/>
    <mergeCell ref="B15:L15"/>
    <mergeCell ref="B22:L22"/>
    <mergeCell ref="B20:L20"/>
    <mergeCell ref="A29:H29"/>
    <mergeCell ref="B17:B18"/>
    <mergeCell ref="C17:C18"/>
    <mergeCell ref="D17:D18"/>
    <mergeCell ref="L17:L18"/>
    <mergeCell ref="A17:A18"/>
    <mergeCell ref="G18:J18"/>
    <mergeCell ref="H17:J17"/>
    <mergeCell ref="K9:K10"/>
    <mergeCell ref="L9:L10"/>
    <mergeCell ref="B11:L11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L1"/>
    <mergeCell ref="A2:H2"/>
    <mergeCell ref="A3:H3"/>
    <mergeCell ref="A4:D4"/>
    <mergeCell ref="E4:E5"/>
    <mergeCell ref="F4:H5"/>
    <mergeCell ref="A5:D5"/>
    <mergeCell ref="A6:D6"/>
    <mergeCell ref="E6:H6"/>
    <mergeCell ref="A7:D7"/>
    <mergeCell ref="E7:H7"/>
    <mergeCell ref="A8:L8"/>
  </mergeCells>
  <printOptions horizontalCentered="1"/>
  <pageMargins left="0.51181102362204722" right="0.31496062992125984" top="0.78740157480314965" bottom="0.78740157480314965" header="0.31496062992125984" footer="0.31496062992125984"/>
  <pageSetup scale="41" fitToHeight="4" orientation="portrait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Plan. Orç. </vt:lpstr>
      <vt:lpstr>BDI </vt:lpstr>
      <vt:lpstr>CRONOGRAMA </vt:lpstr>
      <vt:lpstr>MEMÓRIA DE CÁLCULO </vt:lpstr>
      <vt:lpstr>LEV. PESO AÇO COBERTURA </vt:lpstr>
      <vt:lpstr>Memória de Cálculo</vt:lpstr>
      <vt:lpstr>'CRONOGRAMA '!Area_de_impressao</vt:lpstr>
      <vt:lpstr>'LEV. PESO AÇO COBERTURA '!Area_de_impressao</vt:lpstr>
      <vt:lpstr>'Memória de Cálculo'!Area_de_impressao</vt:lpstr>
      <vt:lpstr>'MEMÓRIA DE CÁLCULO '!Area_de_impressao</vt:lpstr>
      <vt:lpstr>'Plan. Orç. '!Area_de_impressao</vt:lpstr>
    </vt:vector>
  </TitlesOfParts>
  <Manager/>
  <Company>Metadata Consultoria e Sistemas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Edson Junior</dc:creator>
  <cp:keywords/>
  <dc:description/>
  <cp:lastModifiedBy>Denis Carvalho</cp:lastModifiedBy>
  <cp:revision/>
  <cp:lastPrinted>2025-08-27T22:09:29Z</cp:lastPrinted>
  <dcterms:created xsi:type="dcterms:W3CDTF">1998-12-11T17:30:46Z</dcterms:created>
  <dcterms:modified xsi:type="dcterms:W3CDTF">2025-08-27T22:31:57Z</dcterms:modified>
  <cp:category/>
  <cp:contentStatus/>
</cp:coreProperties>
</file>