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Engenharia\1. ELIZIANE\PROJETOS\00. REFORMA AMÉRICA (EM LICITAÇÃO)\ORÇAMENTO\"/>
    </mc:Choice>
  </mc:AlternateContent>
  <xr:revisionPtr revIDLastSave="0" documentId="8_{65D38263-E248-407F-A482-99949DA5F59A}" xr6:coauthVersionLast="47" xr6:coauthVersionMax="47" xr10:uidLastSave="{00000000-0000-0000-0000-000000000000}"/>
  <bookViews>
    <workbookView xWindow="-24120" yWindow="1170" windowWidth="24240" windowHeight="13140" xr2:uid="{00000000-000D-0000-FFFF-FFFF00000000}"/>
  </bookViews>
  <sheets>
    <sheet name="ORÇAMENTO" sheetId="1" r:id="rId1"/>
    <sheet name="COMPOSIÇÕES" sheetId="5" r:id="rId2"/>
    <sheet name="CRONOGRAMA" sheetId="3" r:id="rId3"/>
  </sheets>
  <definedNames>
    <definedName name="_xlnm.Print_Area" localSheetId="1">COMPOSIÇÕES!$C$2:$H$117</definedName>
    <definedName name="_xlnm.Print_Area" localSheetId="2">CRONOGRAMA!$D$4:$L$32</definedName>
    <definedName name="_xlnm.Print_Area" localSheetId="0">ORÇAMENTO!$C$2:$L$63</definedName>
    <definedName name="_xlnm.Print_Titles" localSheetId="0">ORÇAMENTO!$12:$12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8" i="5" l="1"/>
  <c r="F39" i="1"/>
  <c r="F38" i="1"/>
  <c r="F37" i="1"/>
  <c r="F36" i="1"/>
  <c r="F35" i="1"/>
  <c r="K36" i="1"/>
  <c r="H36" i="1"/>
  <c r="D36" i="1"/>
  <c r="H113" i="5"/>
  <c r="H114" i="5"/>
  <c r="H115" i="5"/>
  <c r="H112" i="5"/>
  <c r="F34" i="1"/>
  <c r="F22" i="1"/>
  <c r="F82" i="5"/>
  <c r="F81" i="5"/>
  <c r="F73" i="5"/>
  <c r="G55" i="5"/>
  <c r="G53" i="5"/>
  <c r="G63" i="5" s="1"/>
  <c r="G75" i="5" s="1"/>
  <c r="G52" i="5"/>
  <c r="G62" i="5" s="1"/>
  <c r="G74" i="5" s="1"/>
  <c r="H117" i="5" l="1"/>
  <c r="G36" i="1" s="1"/>
  <c r="I36" i="1" s="1"/>
  <c r="J36" i="1" s="1"/>
  <c r="F17" i="5" l="1"/>
  <c r="K16" i="3"/>
  <c r="E18" i="3"/>
  <c r="D18" i="3"/>
  <c r="J29" i="3"/>
  <c r="J30" i="3"/>
  <c r="J31" i="3"/>
  <c r="F46" i="1"/>
  <c r="F45" i="1"/>
  <c r="D45" i="1"/>
  <c r="H17" i="5" l="1"/>
  <c r="H37" i="1" l="1"/>
  <c r="F26" i="5"/>
  <c r="F36" i="5"/>
  <c r="F10" i="5"/>
  <c r="G18" i="5"/>
  <c r="F105" i="5" l="1"/>
  <c r="F103" i="5"/>
  <c r="F102" i="5"/>
  <c r="H102" i="5" s="1"/>
  <c r="F92" i="5"/>
  <c r="H101" i="5"/>
  <c r="H28" i="1" l="1"/>
  <c r="I28" i="1" s="1"/>
  <c r="J28" i="1" s="1"/>
  <c r="H26" i="1"/>
  <c r="I26" i="1" s="1"/>
  <c r="J26" i="1" s="1"/>
  <c r="H27" i="1"/>
  <c r="I27" i="1" s="1"/>
  <c r="J27" i="1" s="1"/>
  <c r="H34" i="1"/>
  <c r="I34" i="1" s="1"/>
  <c r="J34" i="1" s="1"/>
  <c r="H30" i="1" l="1"/>
  <c r="I30" i="1" s="1"/>
  <c r="J30" i="1" s="1"/>
  <c r="F93" i="5" l="1"/>
  <c r="H93" i="5" s="1"/>
  <c r="F106" i="5"/>
  <c r="H105" i="5"/>
  <c r="F24" i="5"/>
  <c r="F25" i="5" s="1"/>
  <c r="F28" i="5"/>
  <c r="H103" i="5"/>
  <c r="H88" i="5"/>
  <c r="D46" i="1"/>
  <c r="K46" i="1"/>
  <c r="D44" i="1"/>
  <c r="H100" i="5"/>
  <c r="H104" i="5"/>
  <c r="H99" i="5"/>
  <c r="H46" i="1"/>
  <c r="K45" i="1"/>
  <c r="H45" i="1"/>
  <c r="H90" i="5"/>
  <c r="H91" i="5"/>
  <c r="H89" i="5"/>
  <c r="H92" i="5" l="1"/>
  <c r="H95" i="5" s="1"/>
  <c r="G45" i="1" s="1"/>
  <c r="I45" i="1" s="1"/>
  <c r="J45" i="1" s="1"/>
  <c r="H106" i="5"/>
  <c r="H108" i="5" s="1"/>
  <c r="G46" i="1" l="1"/>
  <c r="I46" i="1" s="1"/>
  <c r="J46" i="1" s="1"/>
  <c r="J18" i="3" s="1"/>
  <c r="H44" i="1"/>
  <c r="K44" i="1"/>
  <c r="H82" i="5"/>
  <c r="H81" i="5"/>
  <c r="H84" i="5" l="1"/>
  <c r="G44" i="1" s="1"/>
  <c r="H40" i="1"/>
  <c r="I40" i="1" s="1"/>
  <c r="J40" i="1" s="1"/>
  <c r="H41" i="1"/>
  <c r="I41" i="1" s="1"/>
  <c r="J41" i="1" s="1"/>
  <c r="H25" i="1"/>
  <c r="I25" i="1" s="1"/>
  <c r="J25" i="1" s="1"/>
  <c r="H29" i="1"/>
  <c r="H35" i="1"/>
  <c r="I35" i="1" s="1"/>
  <c r="J35" i="1" s="1"/>
  <c r="H39" i="1"/>
  <c r="I39" i="1" s="1"/>
  <c r="H38" i="1"/>
  <c r="I38" i="1" s="1"/>
  <c r="H32" i="1"/>
  <c r="I32" i="1" s="1"/>
  <c r="J32" i="1" s="1"/>
  <c r="G37" i="1"/>
  <c r="K19" i="1"/>
  <c r="D19" i="1"/>
  <c r="F9" i="5"/>
  <c r="H9" i="5" s="1"/>
  <c r="J39" i="1" l="1"/>
  <c r="I29" i="1"/>
  <c r="J29" i="1" s="1"/>
  <c r="J38" i="1"/>
  <c r="H33" i="1"/>
  <c r="I33" i="1" s="1"/>
  <c r="J33" i="1" s="1"/>
  <c r="H31" i="1"/>
  <c r="I31" i="1" s="1"/>
  <c r="J31" i="1" s="1"/>
  <c r="H22" i="1"/>
  <c r="K24" i="1"/>
  <c r="D24" i="1"/>
  <c r="I37" i="1"/>
  <c r="J37" i="1" s="1"/>
  <c r="K23" i="1"/>
  <c r="D23" i="1"/>
  <c r="H73" i="5"/>
  <c r="H72" i="5"/>
  <c r="H75" i="5"/>
  <c r="H74" i="5"/>
  <c r="H71" i="5"/>
  <c r="H70" i="5"/>
  <c r="K22" i="1"/>
  <c r="D22" i="1"/>
  <c r="H21" i="1"/>
  <c r="F21" i="1"/>
  <c r="K21" i="1"/>
  <c r="D21" i="1"/>
  <c r="K20" i="1"/>
  <c r="D20" i="1"/>
  <c r="K18" i="1"/>
  <c r="H18" i="1"/>
  <c r="D18" i="1"/>
  <c r="H45" i="5"/>
  <c r="H56" i="5"/>
  <c r="H55" i="5"/>
  <c r="H54" i="5"/>
  <c r="H53" i="5"/>
  <c r="H52" i="5"/>
  <c r="H8" i="5"/>
  <c r="H11" i="5"/>
  <c r="H12" i="5"/>
  <c r="H36" i="5"/>
  <c r="H26" i="5"/>
  <c r="H37" i="5"/>
  <c r="F34" i="5"/>
  <c r="H34" i="5" s="1"/>
  <c r="F35" i="5"/>
  <c r="H35" i="5" s="1"/>
  <c r="H28" i="5"/>
  <c r="H25" i="5"/>
  <c r="H27" i="5"/>
  <c r="H13" i="5"/>
  <c r="H20" i="1"/>
  <c r="H23" i="1"/>
  <c r="H24" i="1"/>
  <c r="H77" i="5" l="1"/>
  <c r="G23" i="1" s="1"/>
  <c r="I23" i="1" s="1"/>
  <c r="J23" i="1" s="1"/>
  <c r="H58" i="5"/>
  <c r="G22" i="1" s="1"/>
  <c r="I22" i="1" s="1"/>
  <c r="J22" i="1" s="1"/>
  <c r="H39" i="5"/>
  <c r="G20" i="1" s="1"/>
  <c r="H24" i="5"/>
  <c r="H30" i="5" s="1"/>
  <c r="G19" i="1" s="1"/>
  <c r="H18" i="5" l="1"/>
  <c r="H15" i="5"/>
  <c r="H14" i="5"/>
  <c r="H10" i="5"/>
  <c r="H16" i="5" l="1"/>
  <c r="H20" i="5" s="1"/>
  <c r="G18" i="1" s="1"/>
  <c r="K9" i="3" l="1"/>
  <c r="L9" i="3"/>
  <c r="K8" i="3"/>
  <c r="L8" i="3"/>
  <c r="D12" i="3"/>
  <c r="D5" i="3"/>
  <c r="H63" i="5"/>
  <c r="H64" i="5"/>
  <c r="H62" i="5"/>
  <c r="H66" i="5" l="1"/>
  <c r="G24" i="1" l="1"/>
  <c r="I24" i="1" s="1"/>
  <c r="J24" i="1" s="1"/>
  <c r="J17" i="3" s="1"/>
  <c r="H46" i="5"/>
  <c r="H44" i="5"/>
  <c r="H43" i="5"/>
  <c r="H48" i="5" l="1"/>
  <c r="G21" i="1" l="1"/>
  <c r="K8" i="1"/>
  <c r="I21" i="1" l="1"/>
  <c r="J21" i="1" l="1"/>
  <c r="E17" i="3"/>
  <c r="E16" i="3"/>
  <c r="L10" i="3"/>
  <c r="F7" i="3"/>
  <c r="D17" i="3"/>
  <c r="D16" i="3"/>
  <c r="I20" i="1"/>
  <c r="J20" i="1" l="1"/>
  <c r="H15" i="1" l="1"/>
  <c r="I15" i="1" s="1"/>
  <c r="J15" i="1" s="1"/>
  <c r="I44" i="1"/>
  <c r="J44" i="1" s="1"/>
  <c r="H18" i="3" l="1"/>
  <c r="J43" i="1"/>
  <c r="F18" i="3" s="1"/>
  <c r="I18" i="3" s="1"/>
  <c r="L18" i="3" l="1"/>
  <c r="G18" i="3"/>
  <c r="K18" i="3" s="1"/>
  <c r="H19" i="1"/>
  <c r="I19" i="1" s="1"/>
  <c r="J19" i="1" s="1"/>
  <c r="D9" i="3"/>
  <c r="E21" i="3"/>
  <c r="K10" i="3"/>
  <c r="I18" i="1" l="1"/>
  <c r="J18" i="1" s="1"/>
  <c r="H14" i="1"/>
  <c r="I14" i="1" s="1"/>
  <c r="J14" i="1" s="1"/>
  <c r="D52" i="1"/>
  <c r="H17" i="3" l="1"/>
  <c r="L17" i="3" s="1"/>
  <c r="J17" i="1"/>
  <c r="J13" i="1"/>
  <c r="J49" i="1" l="1"/>
  <c r="F17" i="3"/>
  <c r="G17" i="3" s="1"/>
  <c r="F16" i="3"/>
  <c r="I17" i="3" l="1"/>
  <c r="K17" i="3" s="1"/>
  <c r="J16" i="3"/>
  <c r="H16" i="3"/>
  <c r="L16" i="3" s="1"/>
  <c r="J20" i="3" l="1"/>
  <c r="L9" i="1" l="1"/>
  <c r="L11" i="3" s="1"/>
  <c r="H20" i="3"/>
  <c r="F20" i="3" l="1"/>
  <c r="G20" i="3" l="1"/>
  <c r="L20" i="3"/>
  <c r="K20" i="3" s="1"/>
  <c r="I2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Engenharia Iomere</author>
  </authors>
  <commentList>
    <comment ref="D14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Engenharia Iomere: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<sst xmlns="http://schemas.openxmlformats.org/spreadsheetml/2006/main" count="398" uniqueCount="177">
  <si>
    <t xml:space="preserve">ITEM </t>
  </si>
  <si>
    <t xml:space="preserve">SERVIÇO </t>
  </si>
  <si>
    <t>UN</t>
  </si>
  <si>
    <t>QUANT.</t>
  </si>
  <si>
    <t>BDI</t>
  </si>
  <si>
    <t>VALOR TOTAL</t>
  </si>
  <si>
    <t xml:space="preserve">CÓDIGO </t>
  </si>
  <si>
    <t>FONTE</t>
  </si>
  <si>
    <t xml:space="preserve">∑ </t>
  </si>
  <si>
    <t>PREFEITURA MUNICIPAL DE IOMERÊ</t>
  </si>
  <si>
    <t>Proprietário</t>
  </si>
  <si>
    <t>Endereço</t>
  </si>
  <si>
    <t>Descrição</t>
  </si>
  <si>
    <t>Referência orçamento</t>
  </si>
  <si>
    <t>Valor do orçamento</t>
  </si>
  <si>
    <t>SINAPI</t>
  </si>
  <si>
    <t>CUSTO UN
(S/ BDI)</t>
  </si>
  <si>
    <t>CUSTO 
(C/ BDI)</t>
  </si>
  <si>
    <t>1.1</t>
  </si>
  <si>
    <t>2.1</t>
  </si>
  <si>
    <t>2.2</t>
  </si>
  <si>
    <t>1.2</t>
  </si>
  <si>
    <t>ENCARREGADO GERAL COM ENCARGOS COMPLEMENTARES</t>
  </si>
  <si>
    <t>m²</t>
  </si>
  <si>
    <t>Iomerê,</t>
  </si>
  <si>
    <t>TOTAL:</t>
  </si>
  <si>
    <t>m³</t>
  </si>
  <si>
    <t>CRONOGRAMA FÍSICO-FINANCEIRO</t>
  </si>
  <si>
    <t>MÊS 01 - 30 DIAS</t>
  </si>
  <si>
    <t>MÊS 02 - 30 DIAS</t>
  </si>
  <si>
    <t>ACUMULADO</t>
  </si>
  <si>
    <t>%</t>
  </si>
  <si>
    <t>R$</t>
  </si>
  <si>
    <t>ADMINISTRAÇÃO LOCAL</t>
  </si>
  <si>
    <t>TOTAL</t>
  </si>
  <si>
    <t>Responsável técnico</t>
  </si>
  <si>
    <t>Engenheira Civil</t>
  </si>
  <si>
    <t>Eliziane da Silva</t>
  </si>
  <si>
    <t>CREA/SC: 183867-9</t>
  </si>
  <si>
    <t>Prefeitura Municipal de Iomerê</t>
  </si>
  <si>
    <t>2.4</t>
  </si>
  <si>
    <t>un</t>
  </si>
  <si>
    <t>m</t>
  </si>
  <si>
    <t>h</t>
  </si>
  <si>
    <t>ENGENHEIRO CIVIL DE OBRA PLENO COM ENCARGOS COMPLEMENTARES</t>
  </si>
  <si>
    <t>REATERRO MANUAL DE VALAS, COM PLACA VIBRATÓRIA. AF_08/2023</t>
  </si>
  <si>
    <t>Revisão 01</t>
  </si>
  <si>
    <t xml:space="preserve">PLANILHA ORÇAMENTÁRIA </t>
  </si>
  <si>
    <t>2.3</t>
  </si>
  <si>
    <t>COMPOSIÇÃO</t>
  </si>
  <si>
    <t>COTAÇÃO</t>
  </si>
  <si>
    <t>CUSTO UNITÁRIO NÃO DESONERADO</t>
  </si>
  <si>
    <t>H</t>
  </si>
  <si>
    <t>PEDREIRO COM ENCARGOS COMPLEMENTARES</t>
  </si>
  <si>
    <t>SERVENTE COM ENCARGOS COMPLEMENTARES</t>
  </si>
  <si>
    <t>COEFICIENTE</t>
  </si>
  <si>
    <t>M3</t>
  </si>
  <si>
    <t>CUSTO TOTAL</t>
  </si>
  <si>
    <t>BDI 1</t>
  </si>
  <si>
    <t>ELETRICISTA COM ENCARGOS COMPLEMENTARES</t>
  </si>
  <si>
    <t>AUXILIAR DE ELETRICISTA COM ENCARGOS COMPLEMENTARES</t>
  </si>
  <si>
    <t>CABO DE COBRE FLEXÍVEL ISOLADO, 6 MM², ANTI-CHAMA 0,6/1,0 KV, PARA CIRCUITOS TERMINAIS - FORNECIMENTO E INSTALAÇÃO. AF_03/2023</t>
  </si>
  <si>
    <t>CP- 05</t>
  </si>
  <si>
    <t>CP- 04</t>
  </si>
  <si>
    <t>CP- 03</t>
  </si>
  <si>
    <t>CP- 02</t>
  </si>
  <si>
    <t>CP- 06</t>
  </si>
  <si>
    <t>M³</t>
  </si>
  <si>
    <t>CP- 07</t>
  </si>
  <si>
    <t>ITEM</t>
  </si>
  <si>
    <t>ASSOCIAÇÃO AMÉRICA FUTEBOL CLUBE</t>
  </si>
  <si>
    <t>Linha Caravaggio, Interior, Iomerê/SC</t>
  </si>
  <si>
    <t>COTAÇÃO/ SINAPI 01/2026-  SEM DESONERAÇÃO / IPPUJ 12/2015 (Atualizado INCC)</t>
  </si>
  <si>
    <t>2.5</t>
  </si>
  <si>
    <t>2.6</t>
  </si>
  <si>
    <t>2.7</t>
  </si>
  <si>
    <t>2.8</t>
  </si>
  <si>
    <t>ILUMINAÇÃO DO CAMPO</t>
  </si>
  <si>
    <t>CP-01</t>
  </si>
  <si>
    <t xml:space="preserve">GUINDAUTO HIDRÁULICO, CAPACIDADE MÁXIMA DE CARGA 6200 KG, MOMENTO MÁXIMO DE CARGA 11,7 TM, ALCANCE MÁXIMO HORIZONTAL 9,70 M, INCLUSIVE CAMINHÃO TOCO PBT 16.000 KG, POTÊNCIA DE 189 CV - CHI DIURNO. AF_06/2014 </t>
  </si>
  <si>
    <t xml:space="preserve">GUINDAUTO HIDRÁULICO, CAPACIDADE MÁXIMA DE CARGA 6200 KG, MOMENTO MÁXIMO DE CARGA 11,7 TM, ALCANCE MÁXIMO HORIZONTAL 9,70 M, INCLUSIVE CAMINHÃO TOCO PBT 16.000 KG, POTÊNCIA DE 189 CV - CHP DIURNO. AF_06/2014 </t>
  </si>
  <si>
    <t>CHI</t>
  </si>
  <si>
    <t>CHP</t>
  </si>
  <si>
    <t>CERCAMENTO</t>
  </si>
  <si>
    <t>DESMONTE DE MATERIAL DE 3ª CATEGORIA (BLOCOS DE ROCHAS OU MATACOS), EM VALA, COM MARTELETE PNEUMÁTICO MANUAL - EXCLUSIVE RETIRADA, CARGA E TRANSPORTE. AF_03/2021</t>
  </si>
  <si>
    <t>RETIRADA DE MATERIAL DE 3ª CATEGORIA (APÓS ESCAVAÇÃO/DESMONTE) EM VALAS, COM ESCAVADEIRA HIDRÁULICA - EXCLUSIVE CARGA E TRANSPORTE. AF_03/2021</t>
  </si>
  <si>
    <t>vb</t>
  </si>
  <si>
    <t>Mobilização e desmobilização para distâncias entre 35 a 150 Km</t>
  </si>
  <si>
    <t xml:space="preserve">IPUJ C05.05.05.30.005 </t>
  </si>
  <si>
    <t>CAVOUQUEIRO OU OPERADOR PERFURATRIZ/ROMPEDOR COM ENCARGOS COMPLEMENTARES</t>
  </si>
  <si>
    <t>REATERRO MANUAL DE VALAS, COM PLACA VIBRATÓRIA. AF_08/2023. Empolamento de 30%</t>
  </si>
  <si>
    <t>ESCAVAÇÃO MECANIZADA DE VALA COM PROF. MAIOR QUE 1,5 M ATÉ 3,0 M (MÉDIA MONTANTE E JUSANTE/UMA COMPOSIÇÃO POR TRECHO), RETROESCAV. (0,26 M3), LARG. DE 0,8 M A 1,5 M, EM SOLO DE 2A CATEGORIA, EM LOCAIS COM BAIXO NÍVEL DE INTERFERÊNCIA. AF_09/2024</t>
  </si>
  <si>
    <t>CORDOALHA DE COBRE NU 35 MM², COM ISOLADOR - FORNECIMENTO E INSTALAÇÃO. AF_08/2023</t>
  </si>
  <si>
    <t>Projetor PRO LED Modular 400 Watts - 5000k - 90°
Fluxo Luminoso do LED: 76.000 Lumens - Fluxo Luminoso Efetivo Médio: 64.000 Lumens - Temperatura de Cor: 5.000K - IRC: &gt;70 - Fator de Potência: ≥ 0.98 -  Ângulo de Abertura: 90° - Vida útil LED: &gt;102.000 horas. Tensão: 220 V (Bivolt) - Material: Alumínio - Cor: Cinza - Lente: Policarbonato (IP 67) - Fixação: Alça -Medidas: 150 (a) x 310 (l) x 380 (c) mm - Peso: 6,500 Kg - Garantia: 5 anos</t>
  </si>
  <si>
    <t>CRUZETA CONCRETO 240X110X90 400 DAN</t>
  </si>
  <si>
    <t>PARAFUSO M16 EM ACO GALVANIZADO, COMPRIMENTO = 500 MM, DIAMETRO = 16 MM, ROSCA MAQUINA, COM CABECA SEXTAVADA E PORCA</t>
  </si>
  <si>
    <t>PARAFUSO M16 EM ACO GALVANIZADO, COMPRIMENTO = 200 MM, DIAMETRO = 16 MM, ROSCA MAQUINA, CABECA QUADRADA</t>
  </si>
  <si>
    <t>CONECTOR GRAMPO METÁLICO TIPO OLHAL, PARA SPDA, PARA HASTE DE ATERRAMENTO DE 5/8'' E CABOS DE 10 A 50 MM2 - FORNECIMENTO E INSTALAÇÃO. AF_08/2023</t>
  </si>
  <si>
    <t>HASTE DE ATERRAMENTO, DIÂMETRO 5/8", COM 3 METROS - FORNECIMENTO E INSTALAÇÃO. AF_08/2023</t>
  </si>
  <si>
    <t>CAIXA ENTERRADA ELÉTRICA RETANGULAR, EM CONCRETO PRÉ-MOLDADO, FUNDO COM BRITA, DIMENSÕES INTERNAS: 0,6X0,6X0,5 M. AF_12/2020</t>
  </si>
  <si>
    <t xml:space="preserve">REATERRO MANUAL DE VALAS, COM PLACA VIBRATÓRIA. AF_08/2023. </t>
  </si>
  <si>
    <t>2.9</t>
  </si>
  <si>
    <t>2.10</t>
  </si>
  <si>
    <t>2.11</t>
  </si>
  <si>
    <t>2.12</t>
  </si>
  <si>
    <t>QUADRO DE DISTRIBUICAO COM BARRAMENTO TRIFASICO, DE SOBREPOR, EM CHAPA DE ACO GALVANIZADO, PARA 12 DISJUNTORES DIN, 100 A</t>
  </si>
  <si>
    <t>2.13</t>
  </si>
  <si>
    <t>Poste de concreto armado, duplo T, Tipo B, comprimento nominal 12 m, 300 Dan, Base 476x350mm, Topo 140x110 mm.</t>
  </si>
  <si>
    <t>CONCRETO FCK = 25MPA, TRAÇO 1:2,3:2,7 (EM MASSA SECA DE CIMENTO/ AREIA MÉDIA/ BRITA 1) - PREPARO MECÂNICO COM BETONEIRA 400 L. AF_05/2021</t>
  </si>
  <si>
    <t>LONA PLASTICA PESADA PRETA, E = 150 MICRA</t>
  </si>
  <si>
    <t>M²</t>
  </si>
  <si>
    <t>CÓDIGO SINAPI</t>
  </si>
  <si>
    <t>Referência</t>
  </si>
  <si>
    <t>Obra</t>
  </si>
  <si>
    <t>Iluminação e cercamento em campo de futebol</t>
  </si>
  <si>
    <t>COMPOSIÇÕES DE SERVIÇOS</t>
  </si>
  <si>
    <t>POSTE DE CONCRETO ARMADO COM COMPRIMENTO NOMINAL DE 12 M, CARGA NOMINAL DE 300 DAN, ENGASTAMENTO BASE CONCRETADA COM 1 M DE CONCRETO E 0,8 M DE SOLO. AF_04/2025. VALA 0,8X1 M (UN)</t>
  </si>
  <si>
    <t>ESCAVAÇÃO EM BLOCO DE ROCHAS OU MATACOES - VALA DE 180x80x100 CM. REATERRO COM SOLO COMPACTADO 80x100X100 cm (UN)</t>
  </si>
  <si>
    <t>ESCAVAÇÃO EM SOLO - VALA DE 180x80x100 CM. REATERRO COM SOLO COMPACTADO 80x100X100 cm (UN)</t>
  </si>
  <si>
    <t>Projetor PRO LED Modular 400 Watts - 5000k - 90° - FORNECIMENTO E INSTALAÇÃO (UN)</t>
  </si>
  <si>
    <t>CRUZETA CONCRETO ARMADO 240X110X90 400 DAN COM SUPORTE PARA 3 REFLETORES - FORNECIMENTO E INSTALAÇÃO (UN)</t>
  </si>
  <si>
    <t>QUADRO DE DISTRIBUICAO COM BARRAMENTO TRIFASICO, DE SOBREPOR, EM CHAPA DE ACO GALVANIZADO, PARA 12 DISJUNTORES DIN, 100 A (UN)</t>
  </si>
  <si>
    <t>CAIXA DE INSPEÇÃO RETANGULAR, EM CONCRETO PRÉ-MOLDADO, FUNDO COM BRITA, DIMENSÕES INTERNAS: 0,6X0,6X0,5 M COM HASTE DE ATERRAMENTO, DIÂMETRO 5/8" DE 2,40 M PARA CABO DE 35 MM² (UN)</t>
  </si>
  <si>
    <t>FITA SUBTERRANEA 76MM X 300M LJ - SINALIZAÇÃO REDE ELETRICA</t>
  </si>
  <si>
    <t>CT-01</t>
  </si>
  <si>
    <t>CABO DE COBRE FLEXÍVEL ISOLADO, 10 MM², ANTI-CHAMA 0,6/1,0 KV, PARA CIRCUITOS TERMINAIS - FORNECIMENTO E INSTALAÇÃO. AF_03/2023</t>
  </si>
  <si>
    <t>2.14</t>
  </si>
  <si>
    <t>2.15</t>
  </si>
  <si>
    <t>2.16</t>
  </si>
  <si>
    <t>2.17</t>
  </si>
  <si>
    <t>2.19</t>
  </si>
  <si>
    <t>2.20</t>
  </si>
  <si>
    <t>2.21</t>
  </si>
  <si>
    <t>2.22</t>
  </si>
  <si>
    <t>CONECTOR METALICO TIPO PARAFUSO FENDIDO (SPLIT BOLT), PARA CABOS ATE 10 MM2</t>
  </si>
  <si>
    <t>CONECTOR METALICO TIPO PARAFUSO FENDIDO (SPLIT BOLT), PARA CABOS ATE 35 MM2</t>
  </si>
  <si>
    <t>M</t>
  </si>
  <si>
    <t>ILUMINAÇÃO E CERCAMENTO DO CAMPO DE FUTEBOL DA ASSOCIAÇÃO AMÉRICA FUTEBOL CLUBE DE IOMERÊ/SC</t>
  </si>
  <si>
    <t>CP- 08</t>
  </si>
  <si>
    <t>M2</t>
  </si>
  <si>
    <t>SERRALHEIRO COM ENCARGOS COMPLEMENTARES</t>
  </si>
  <si>
    <t>ARAME GALVANIZADO 12 BWG, D = 2,76 MM (0,048 KG/M) OU 14 BWG, D = 2,11 MM (0,026 KG/M)</t>
  </si>
  <si>
    <t>KG</t>
  </si>
  <si>
    <t>CP-09</t>
  </si>
  <si>
    <t>CONCRETO MAGRO PARA LASTRO, TRAÇO 1:4,5:4,5 (EM MASSA SECA DE CIMENTO/ AREIA MÉDIA/ BRITA 1) - PREPARO MECÂNICO COM BETONEIRA 400 L. AF_05/2021</t>
  </si>
  <si>
    <t>TELA DE ARAME GALVANIZADA QUADRANGULAR / LOSANGULAR, FIO 2,77 MM (12 BWG), MALHA 5 X 5 CM, H = 2 M</t>
  </si>
  <si>
    <t>CP- 10</t>
  </si>
  <si>
    <t>ALAMBRADO, ESTRUTURADO POR TUBOS DE AÇO GALVANIZADO, (MONTANTES COM DIÂMETRO 2"), COM TELA DE ARAME GALVANIZADO, FIO 12 BWG E MALHA QUADRADA 5X5CM. H= 4,00 M. (M²)</t>
  </si>
  <si>
    <t xml:space="preserve">REMOÇÃO DE CERCAS E MOURÕES, DE FORMA MANUAL, COM REAPROVEITAMENTO. H= 2,00 M (M) </t>
  </si>
  <si>
    <t>TUBO ACO GALVANIZADO COM COSTURA, CLASSE MEDIA, DN 2", E = *3,65* MM, PESO *5,10* KG/M (NBR 5580). ESPAÇAMENTO= 7,00 a 8,00 m</t>
  </si>
  <si>
    <t>ESCAVAÇÃO MANUAL PARA BLOCO DE COROAMENTO OU SAPATA (SEM ESCAVAÇÃO PARA COLOCAÇÃO DE FÔRMAS). AF_01/2024 (30X30X50 CM)</t>
  </si>
  <si>
    <t>ESCAVAÇÃO MANUAL PARA BLOCO DE COROAMENTO OU SAPATA (SEM ESCAVAÇÃO PARA COLOCAÇÃO DE FÔRMAS). AF_01/2024 (30X30X100 CM)</t>
  </si>
  <si>
    <t>CABO DE COBRE FLEXÍVEL ISOLADO, 4 MM², ANTI-CHAMA 0,6/1,0 KV, PARA CIRCUITOS TERMINAIS - FORNECIMENTO E INSTALAÇÃO. AF_03/2023</t>
  </si>
  <si>
    <t>2.18</t>
  </si>
  <si>
    <t>DISJUNTOR MONOPOLAR TIPO DIN, CORRENTE NOMINAL DE 20A - FORNECIMENTO E INSTALAÇÃO. AF_07/2025</t>
  </si>
  <si>
    <t>DISJUNTOR MONOPOLAR TIPO DIN, CORRENTE NOMINAL DE 25A - FORNECIMENTO E INSTALAÇÃO. AF_07/2025</t>
  </si>
  <si>
    <t>DISJUNTOR MONOPOLAR TIPO DIN, CORRENTE NOMINAL DE 32A - FORNECIMENTO E INSTALAÇÃO. AF_07/2025</t>
  </si>
  <si>
    <t>DISJUNTOR TRIPOLAR TIPO DIN, CORRENTE NOMINAL DE 40A - FORNECIMENTO E INSTALAÇÃO. AF_07/2025</t>
  </si>
  <si>
    <t>DISPOSITIVO DPS 80KA-175V OU 275V - FORNECIMENTO E INSTALAÇÃO. AF_07/2025</t>
  </si>
  <si>
    <t>2.23</t>
  </si>
  <si>
    <t>Planilha orçamentária para a execução da iluminação e do cercamento para o campo de futebol da Associação América Futebol Clube de Iomerê/SC (Termo de cooperação n.º 05/2023, celebrado entre o Município de Iomerê e a Associação América Futebol Clube)</t>
  </si>
  <si>
    <t>Araceli Mezzomo Weirich</t>
  </si>
  <si>
    <t>Secretária de Educação, Cultura, Esporte e Turismo</t>
  </si>
  <si>
    <t>3.1</t>
  </si>
  <si>
    <t>3.2</t>
  </si>
  <si>
    <t>3.3</t>
  </si>
  <si>
    <t>INSTALAÇÃO DE TELA DE ARAME GALVANIZADA, QUADRANGULAR / LOSANGULAR, FIO 2,77 MM (12 BWG), MALHA 5 X 5 CM, H = 2 M, COM MOURÕES DE CONCRETO RETO (EXCLUSIVE FORNECIMENTO DE TELA E MOURÕES) (M²)</t>
  </si>
  <si>
    <t>BDI 2 (itens de cotação)</t>
  </si>
  <si>
    <t>ELETRODUTO RÍGIDO SOLDÁVEL, PVC, DN 32 MM (1"), APARENTE - FORNECIMENTO E INSTALAÇÃO. AF_01/2026</t>
  </si>
  <si>
    <t>ELETRODUTO PEAD, DN 63 (2"), PARA REDE ENTERRADA DE DISTRIBUIÇÃO DE ENERGIA ELÉTRICA - FORNECIMENTO E INSTALAÇÃO. AF_12/2021</t>
  </si>
  <si>
    <t>ELETRODUTO PEAD, DN 50 (1 1/2"), PARA REDE ENTERRADA DE DISTRIBUIÇÃO DE ENERGIA ELÉTRICA - FORNECIMENTO E INSTALAÇÃO. AF_12/2021</t>
  </si>
  <si>
    <t>ESCAVAÇÃO MANUAL DE VALA. AF_09/2024 - FIAÇÃO ENTERRADA (30x30x60 cm)</t>
  </si>
  <si>
    <t>2.24</t>
  </si>
  <si>
    <t>CP- 11</t>
  </si>
  <si>
    <t>ELETRODUTO RÍGIDO SOLDÁVEL, PVC, DN 50 MM (1 1/2"), APARENTE - FORNECIMENTO E INSTALAÇÃO. AF_01/2026</t>
  </si>
  <si>
    <t>ELETRODUTO DE PVC RIGIDO SOLDAVEL, CLASSE B, DE 50 MM</t>
  </si>
  <si>
    <t>FIXAÇÃO DE TUBOS HORIZONTAIS DE PVC ÁGUA, PVC ESGOTO, PVC ÁGUA PLUVIAL, CPVC, PPR, COBRE OU AÇO, DIÂMETROS MAIORES QUE 40 MM E MENORES OU IGUAIS A 75 MM, COM ABRAÇADEIRA METÁLICA RÍGIDA TIPO U PERFIL 2 1/2", FIXADA EM PERFILADO EM LAJE. AF_09/2023_PS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</si>
</sst>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&quot;R$&quot;\ #,##0.00"/>
    <numFmt numFmtId="165" formatCode="dd\ &quot;de&quot;\ mmmm\ &quot;de&quot;\ yyyy"/>
    <numFmt numFmtId="166" formatCode="#,##0.0000000"/>
  </numFmts>
  <fonts count="19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sz val="14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3"/>
      <color theme="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EBF1DE"/>
      </patternFill>
    </fill>
    <fill>
      <patternFill patternType="solid">
        <fgColor rgb="FFD9D9D9"/>
        <bgColor rgb="FFDDDDDD"/>
      </patternFill>
    </fill>
    <fill>
      <patternFill patternType="solid">
        <fgColor theme="4" tint="0.59999389629810485"/>
        <bgColor rgb="FFEBF1D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6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49" fontId="1" fillId="2" borderId="1">
      <alignment horizontal="left" vertical="center" shrinkToFit="1"/>
    </xf>
    <xf numFmtId="0" fontId="2" fillId="3" borderId="5" applyProtection="0"/>
    <xf numFmtId="9" fontId="12" fillId="0" borderId="0" applyFont="0" applyFill="0" applyBorder="0" applyAlignment="0" applyProtection="0"/>
    <xf numFmtId="0" fontId="16" fillId="0" borderId="0"/>
    <xf numFmtId="44" fontId="12" fillId="0" borderId="0" applyFont="0" applyFill="0" applyBorder="0" applyAlignment="0" applyProtection="0"/>
    <xf numFmtId="0" fontId="12" fillId="0" borderId="0"/>
  </cellStyleXfs>
  <cellXfs count="272">
    <xf numFmtId="0" fontId="0" fillId="0" borderId="0" xfId="0"/>
    <xf numFmtId="0" fontId="5" fillId="3" borderId="6" xfId="2" applyFont="1" applyBorder="1" applyAlignment="1" applyProtection="1">
      <alignment horizontal="center" vertical="center"/>
    </xf>
    <xf numFmtId="0" fontId="5" fillId="3" borderId="5" xfId="2" applyFont="1" applyAlignment="1" applyProtection="1">
      <alignment horizontal="left" vertical="center"/>
    </xf>
    <xf numFmtId="10" fontId="5" fillId="3" borderId="5" xfId="2" applyNumberFormat="1" applyFont="1" applyAlignment="1" applyProtection="1">
      <alignment horizontal="right" vertical="center"/>
    </xf>
    <xf numFmtId="1" fontId="5" fillId="3" borderId="5" xfId="2" applyNumberFormat="1" applyFont="1" applyAlignment="1" applyProtection="1">
      <alignment horizontal="left" vertical="center"/>
    </xf>
    <xf numFmtId="2" fontId="5" fillId="3" borderId="7" xfId="2" applyNumberFormat="1" applyFont="1" applyBorder="1" applyAlignment="1" applyProtection="1">
      <alignment horizontal="left" vertical="center"/>
    </xf>
    <xf numFmtId="0" fontId="6" fillId="0" borderId="0" xfId="0" applyFont="1"/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10" fontId="4" fillId="0" borderId="9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49" fontId="5" fillId="4" borderId="2" xfId="1" applyFont="1" applyFill="1" applyBorder="1" applyAlignment="1">
      <alignment horizontal="center" vertical="center" shrinkToFit="1"/>
    </xf>
    <xf numFmtId="0" fontId="5" fillId="4" borderId="3" xfId="1" applyNumberFormat="1" applyFont="1" applyFill="1" applyBorder="1" applyAlignment="1">
      <alignment horizontal="center" vertical="center" shrinkToFit="1"/>
    </xf>
    <xf numFmtId="10" fontId="5" fillId="4" borderId="3" xfId="0" applyNumberFormat="1" applyFont="1" applyFill="1" applyBorder="1" applyAlignment="1">
      <alignment horizontal="center" vertical="center" shrinkToFit="1"/>
    </xf>
    <xf numFmtId="49" fontId="5" fillId="4" borderId="3" xfId="1" applyFont="1" applyFill="1" applyBorder="1" applyAlignment="1">
      <alignment horizontal="center" vertical="center" shrinkToFit="1"/>
    </xf>
    <xf numFmtId="49" fontId="5" fillId="4" borderId="4" xfId="1" applyFont="1" applyFill="1" applyBorder="1" applyAlignment="1">
      <alignment horizontal="center" vertical="center" shrinkToFit="1"/>
    </xf>
    <xf numFmtId="164" fontId="6" fillId="0" borderId="0" xfId="0" applyNumberFormat="1" applyFont="1"/>
    <xf numFmtId="164" fontId="5" fillId="4" borderId="3" xfId="1" applyNumberFormat="1" applyFont="1" applyFill="1" applyBorder="1" applyAlignment="1">
      <alignment horizontal="center" vertical="center" wrapText="1" shrinkToFit="1"/>
    </xf>
    <xf numFmtId="164" fontId="5" fillId="3" borderId="5" xfId="2" applyNumberFormat="1" applyFont="1" applyAlignment="1" applyProtection="1">
      <alignment horizontal="right" vertical="center"/>
    </xf>
    <xf numFmtId="164" fontId="4" fillId="0" borderId="9" xfId="0" applyNumberFormat="1" applyFont="1" applyBorder="1" applyAlignment="1">
      <alignment horizontal="center" vertical="center"/>
    </xf>
    <xf numFmtId="164" fontId="5" fillId="4" borderId="3" xfId="1" applyNumberFormat="1" applyFont="1" applyFill="1" applyBorder="1" applyAlignment="1">
      <alignment horizontal="center" vertical="center" shrinkToFit="1"/>
    </xf>
    <xf numFmtId="164" fontId="5" fillId="3" borderId="5" xfId="2" applyNumberFormat="1" applyFont="1" applyAlignment="1" applyProtection="1">
      <alignment horizontal="left" vertical="center"/>
    </xf>
    <xf numFmtId="0" fontId="6" fillId="0" borderId="10" xfId="0" applyFont="1" applyBorder="1" applyAlignment="1"/>
    <xf numFmtId="4" fontId="6" fillId="0" borderId="0" xfId="0" applyNumberFormat="1" applyFont="1"/>
    <xf numFmtId="4" fontId="5" fillId="4" borderId="3" xfId="1" applyNumberFormat="1" applyFont="1" applyFill="1" applyBorder="1" applyAlignment="1">
      <alignment horizontal="center" vertical="center" shrinkToFit="1"/>
    </xf>
    <xf numFmtId="4" fontId="5" fillId="3" borderId="5" xfId="2" applyNumberFormat="1" applyFont="1" applyAlignment="1" applyProtection="1">
      <alignment horizontal="left" vertical="center"/>
    </xf>
    <xf numFmtId="0" fontId="15" fillId="0" borderId="0" xfId="0" applyFont="1"/>
    <xf numFmtId="164" fontId="15" fillId="0" borderId="0" xfId="0" applyNumberFormat="1" applyFont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6" fillId="0" borderId="38" xfId="0" applyNumberFormat="1" applyFont="1" applyBorder="1" applyAlignment="1">
      <alignment horizontal="center" vertical="center"/>
    </xf>
    <xf numFmtId="164" fontId="6" fillId="0" borderId="46" xfId="0" applyNumberFormat="1" applyFont="1" applyBorder="1" applyAlignment="1">
      <alignment horizontal="center" vertical="center"/>
    </xf>
    <xf numFmtId="9" fontId="6" fillId="0" borderId="47" xfId="3" applyFont="1" applyBorder="1" applyAlignment="1">
      <alignment horizontal="center" vertical="center"/>
    </xf>
    <xf numFmtId="165" fontId="7" fillId="0" borderId="0" xfId="0" applyNumberFormat="1" applyFont="1" applyAlignment="1">
      <alignment horizontal="left"/>
    </xf>
    <xf numFmtId="0" fontId="7" fillId="0" borderId="0" xfId="0" applyFont="1" applyBorder="1" applyAlignment="1"/>
    <xf numFmtId="0" fontId="6" fillId="0" borderId="52" xfId="0" applyFont="1" applyBorder="1" applyAlignment="1">
      <alignment horizontal="center" vertical="center"/>
    </xf>
    <xf numFmtId="10" fontId="6" fillId="0" borderId="9" xfId="3" applyNumberFormat="1" applyFont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9" fontId="6" fillId="0" borderId="0" xfId="3" applyNumberFormat="1" applyFont="1" applyBorder="1" applyAlignment="1">
      <alignment horizontal="center" vertical="center"/>
    </xf>
    <xf numFmtId="9" fontId="6" fillId="0" borderId="15" xfId="3" applyFont="1" applyBorder="1" applyAlignment="1">
      <alignment horizontal="center" vertical="center"/>
    </xf>
    <xf numFmtId="9" fontId="6" fillId="0" borderId="0" xfId="3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" fontId="4" fillId="0" borderId="9" xfId="0" applyNumberFormat="1" applyFont="1" applyFill="1" applyBorder="1" applyAlignment="1">
      <alignment horizontal="center" vertical="center"/>
    </xf>
    <xf numFmtId="10" fontId="4" fillId="0" borderId="9" xfId="0" applyNumberFormat="1" applyFont="1" applyFill="1" applyBorder="1" applyAlignment="1">
      <alignment horizontal="center" vertical="center"/>
    </xf>
    <xf numFmtId="1" fontId="4" fillId="0" borderId="9" xfId="0" applyNumberFormat="1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horizontal="center" vertical="center"/>
    </xf>
    <xf numFmtId="2" fontId="6" fillId="0" borderId="0" xfId="0" applyNumberFormat="1" applyFont="1"/>
    <xf numFmtId="0" fontId="7" fillId="0" borderId="9" xfId="0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8" fillId="0" borderId="57" xfId="0" applyFont="1" applyBorder="1" applyAlignment="1">
      <alignment horizontal="left" vertical="top"/>
    </xf>
    <xf numFmtId="0" fontId="8" fillId="0" borderId="55" xfId="0" applyFont="1" applyBorder="1" applyAlignment="1">
      <alignment horizontal="left" vertical="top"/>
    </xf>
    <xf numFmtId="10" fontId="6" fillId="0" borderId="25" xfId="3" applyNumberFormat="1" applyFont="1" applyBorder="1" applyAlignment="1">
      <alignment horizontal="left"/>
    </xf>
    <xf numFmtId="10" fontId="6" fillId="0" borderId="56" xfId="3" applyNumberFormat="1" applyFont="1" applyBorder="1" applyAlignment="1">
      <alignment horizontal="left"/>
    </xf>
    <xf numFmtId="0" fontId="6" fillId="0" borderId="0" xfId="0" applyFont="1" applyAlignment="1">
      <alignment wrapText="1"/>
    </xf>
    <xf numFmtId="0" fontId="5" fillId="4" borderId="3" xfId="1" applyNumberFormat="1" applyFont="1" applyFill="1" applyBorder="1" applyAlignment="1">
      <alignment horizontal="left" vertical="center" wrapText="1" shrinkToFit="1"/>
    </xf>
    <xf numFmtId="0" fontId="5" fillId="3" borderId="5" xfId="2" applyFont="1" applyAlignment="1" applyProtection="1">
      <alignment horizontal="left" vertical="center" wrapText="1"/>
    </xf>
    <xf numFmtId="0" fontId="6" fillId="0" borderId="0" xfId="0" applyFont="1" applyFill="1" applyBorder="1" applyAlignment="1">
      <alignment horizontal="center" wrapText="1"/>
    </xf>
    <xf numFmtId="165" fontId="7" fillId="0" borderId="0" xfId="0" applyNumberFormat="1" applyFont="1" applyAlignment="1">
      <alignment horizontal="left" wrapText="1"/>
    </xf>
    <xf numFmtId="0" fontId="7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8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44" fontId="7" fillId="0" borderId="9" xfId="5" applyFont="1" applyBorder="1" applyAlignment="1">
      <alignment horizontal="center" vertical="center"/>
    </xf>
    <xf numFmtId="0" fontId="7" fillId="0" borderId="0" xfId="0" applyFont="1" applyBorder="1"/>
    <xf numFmtId="44" fontId="7" fillId="0" borderId="9" xfId="5" applyFont="1" applyBorder="1" applyAlignment="1">
      <alignment horizontal="center" vertical="center" wrapText="1"/>
    </xf>
    <xf numFmtId="2" fontId="6" fillId="0" borderId="0" xfId="0" applyNumberFormat="1" applyFont="1" applyAlignment="1"/>
    <xf numFmtId="2" fontId="6" fillId="0" borderId="0" xfId="0" applyNumberFormat="1" applyFont="1" applyBorder="1" applyAlignment="1"/>
    <xf numFmtId="2" fontId="7" fillId="0" borderId="0" xfId="0" applyNumberFormat="1" applyFont="1" applyBorder="1" applyAlignment="1"/>
    <xf numFmtId="2" fontId="6" fillId="0" borderId="0" xfId="0" applyNumberFormat="1" applyFont="1" applyAlignment="1">
      <alignment horizontal="right"/>
    </xf>
    <xf numFmtId="0" fontId="6" fillId="0" borderId="29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0" fontId="6" fillId="0" borderId="35" xfId="3" applyNumberFormat="1" applyFont="1" applyBorder="1" applyAlignment="1">
      <alignment horizontal="center" vertical="center"/>
    </xf>
    <xf numFmtId="164" fontId="6" fillId="0" borderId="35" xfId="0" applyNumberFormat="1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4" fontId="5" fillId="4" borderId="43" xfId="1" applyNumberFormat="1" applyFont="1" applyFill="1" applyBorder="1" applyAlignment="1">
      <alignment horizontal="center" vertical="center" shrinkToFit="1"/>
    </xf>
    <xf numFmtId="4" fontId="5" fillId="4" borderId="44" xfId="1" applyNumberFormat="1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/>
    </xf>
    <xf numFmtId="10" fontId="6" fillId="0" borderId="45" xfId="3" applyNumberFormat="1" applyFont="1" applyBorder="1" applyAlignment="1">
      <alignment horizontal="center" vertical="center"/>
    </xf>
    <xf numFmtId="10" fontId="6" fillId="0" borderId="47" xfId="3" applyNumberFormat="1" applyFont="1" applyBorder="1" applyAlignment="1">
      <alignment horizontal="center" vertical="center"/>
    </xf>
    <xf numFmtId="44" fontId="18" fillId="0" borderId="9" xfId="5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166" fontId="7" fillId="0" borderId="49" xfId="0" applyNumberFormat="1" applyFont="1" applyBorder="1" applyAlignment="1">
      <alignment horizontal="center" vertical="center"/>
    </xf>
    <xf numFmtId="44" fontId="7" fillId="0" borderId="52" xfId="5" applyFont="1" applyBorder="1" applyAlignment="1">
      <alignment horizontal="center" vertical="center"/>
    </xf>
    <xf numFmtId="44" fontId="18" fillId="0" borderId="0" xfId="5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4" fontId="7" fillId="0" borderId="0" xfId="0" applyNumberFormat="1" applyFont="1"/>
    <xf numFmtId="166" fontId="7" fillId="0" borderId="9" xfId="0" applyNumberFormat="1" applyFont="1" applyBorder="1" applyAlignment="1">
      <alignment horizontal="center"/>
    </xf>
    <xf numFmtId="0" fontId="7" fillId="0" borderId="9" xfId="0" applyFont="1" applyBorder="1" applyAlignment="1">
      <alignment horizontal="left" vertical="center" wrapText="1"/>
    </xf>
    <xf numFmtId="0" fontId="7" fillId="0" borderId="49" xfId="0" applyFont="1" applyBorder="1" applyAlignment="1">
      <alignment horizontal="left" vertical="center" wrapText="1"/>
    </xf>
    <xf numFmtId="0" fontId="7" fillId="0" borderId="49" xfId="0" applyFont="1" applyBorder="1" applyAlignment="1">
      <alignment horizontal="center" vertical="center"/>
    </xf>
    <xf numFmtId="44" fontId="7" fillId="0" borderId="0" xfId="5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6" fillId="0" borderId="0" xfId="0" applyFont="1" applyAlignment="1"/>
    <xf numFmtId="0" fontId="8" fillId="0" borderId="34" xfId="0" applyFont="1" applyBorder="1" applyAlignment="1">
      <alignment vertical="top"/>
    </xf>
    <xf numFmtId="0" fontId="6" fillId="5" borderId="13" xfId="0" applyFont="1" applyFill="1" applyBorder="1" applyAlignment="1"/>
    <xf numFmtId="0" fontId="6" fillId="5" borderId="16" xfId="0" applyFont="1" applyFill="1" applyBorder="1" applyAlignment="1"/>
    <xf numFmtId="0" fontId="6" fillId="5" borderId="14" xfId="0" applyFont="1" applyFill="1" applyBorder="1" applyAlignment="1"/>
    <xf numFmtId="0" fontId="6" fillId="5" borderId="26" xfId="0" applyFont="1" applyFill="1" applyBorder="1" applyAlignment="1"/>
    <xf numFmtId="0" fontId="6" fillId="5" borderId="27" xfId="0" applyFont="1" applyFill="1" applyBorder="1" applyAlignment="1"/>
    <xf numFmtId="0" fontId="6" fillId="5" borderId="28" xfId="0" applyFont="1" applyFill="1" applyBorder="1" applyAlignment="1"/>
    <xf numFmtId="0" fontId="6" fillId="0" borderId="26" xfId="0" applyFont="1" applyBorder="1" applyAlignment="1"/>
    <xf numFmtId="0" fontId="6" fillId="0" borderId="27" xfId="0" applyFont="1" applyBorder="1" applyAlignment="1"/>
    <xf numFmtId="0" fontId="6" fillId="0" borderId="28" xfId="0" applyFont="1" applyBorder="1" applyAlignment="1"/>
    <xf numFmtId="0" fontId="7" fillId="0" borderId="19" xfId="0" applyFont="1" applyBorder="1" applyAlignment="1"/>
    <xf numFmtId="10" fontId="4" fillId="0" borderId="9" xfId="0" applyNumberFormat="1" applyFont="1" applyBorder="1" applyAlignment="1">
      <alignment vertical="center"/>
    </xf>
    <xf numFmtId="10" fontId="4" fillId="0" borderId="18" xfId="0" applyNumberFormat="1" applyFont="1" applyBorder="1" applyAlignment="1">
      <alignment vertical="center"/>
    </xf>
    <xf numFmtId="0" fontId="5" fillId="6" borderId="49" xfId="2" applyFont="1" applyFill="1" applyBorder="1" applyAlignment="1" applyProtection="1">
      <alignment vertical="center" wrapText="1"/>
    </xf>
    <xf numFmtId="0" fontId="5" fillId="6" borderId="49" xfId="2" applyFont="1" applyFill="1" applyBorder="1" applyAlignment="1" applyProtection="1">
      <alignment vertical="center"/>
    </xf>
    <xf numFmtId="4" fontId="5" fillId="6" borderId="49" xfId="2" applyNumberFormat="1" applyFont="1" applyFill="1" applyBorder="1" applyAlignment="1" applyProtection="1">
      <alignment vertical="center"/>
    </xf>
    <xf numFmtId="164" fontId="5" fillId="6" borderId="49" xfId="2" applyNumberFormat="1" applyFont="1" applyFill="1" applyBorder="1" applyAlignment="1" applyProtection="1">
      <alignment vertical="center"/>
    </xf>
    <xf numFmtId="10" fontId="5" fillId="6" borderId="49" xfId="2" applyNumberFormat="1" applyFont="1" applyFill="1" applyBorder="1" applyAlignment="1" applyProtection="1">
      <alignment vertical="center"/>
    </xf>
    <xf numFmtId="1" fontId="5" fillId="6" borderId="49" xfId="2" applyNumberFormat="1" applyFont="1" applyFill="1" applyBorder="1" applyAlignment="1" applyProtection="1">
      <alignment vertical="center"/>
    </xf>
    <xf numFmtId="2" fontId="5" fillId="6" borderId="31" xfId="2" applyNumberFormat="1" applyFont="1" applyFill="1" applyBorder="1" applyAlignment="1" applyProtection="1">
      <alignment vertical="center"/>
    </xf>
    <xf numFmtId="164" fontId="6" fillId="0" borderId="0" xfId="0" applyNumberFormat="1" applyFont="1" applyAlignment="1"/>
    <xf numFmtId="4" fontId="6" fillId="0" borderId="0" xfId="0" applyNumberFormat="1" applyFont="1" applyAlignment="1"/>
    <xf numFmtId="0" fontId="6" fillId="0" borderId="24" xfId="0" applyFont="1" applyBorder="1" applyAlignment="1"/>
    <xf numFmtId="0" fontId="6" fillId="0" borderId="19" xfId="0" applyFont="1" applyBorder="1" applyAlignment="1"/>
    <xf numFmtId="0" fontId="6" fillId="0" borderId="25" xfId="0" applyFont="1" applyBorder="1" applyAlignment="1"/>
    <xf numFmtId="0" fontId="4" fillId="0" borderId="21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8" fillId="0" borderId="35" xfId="0" applyFont="1" applyBorder="1" applyAlignment="1">
      <alignment vertical="top" wrapText="1"/>
    </xf>
    <xf numFmtId="0" fontId="6" fillId="0" borderId="27" xfId="0" applyFont="1" applyBorder="1" applyAlignment="1">
      <alignment wrapText="1"/>
    </xf>
    <xf numFmtId="0" fontId="4" fillId="0" borderId="22" xfId="0" applyFont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6" fillId="0" borderId="19" xfId="0" applyFont="1" applyBorder="1" applyAlignment="1">
      <alignment wrapText="1"/>
    </xf>
    <xf numFmtId="0" fontId="6" fillId="5" borderId="27" xfId="0" applyFont="1" applyFill="1" applyBorder="1" applyAlignment="1">
      <alignment wrapText="1"/>
    </xf>
    <xf numFmtId="0" fontId="6" fillId="5" borderId="16" xfId="0" applyFont="1" applyFill="1" applyBorder="1" applyAlignment="1">
      <alignment wrapText="1"/>
    </xf>
    <xf numFmtId="44" fontId="7" fillId="0" borderId="0" xfId="5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18" fillId="0" borderId="0" xfId="0" applyFont="1" applyBorder="1" applyAlignment="1">
      <alignment horizontal="left" vertical="center"/>
    </xf>
    <xf numFmtId="0" fontId="7" fillId="0" borderId="9" xfId="0" applyFont="1" applyBorder="1" applyAlignment="1">
      <alignment horizontal="left" wrapText="1"/>
    </xf>
    <xf numFmtId="0" fontId="16" fillId="0" borderId="9" xfId="0" applyFont="1" applyFill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18" fillId="0" borderId="0" xfId="0" applyFont="1" applyBorder="1" applyAlignment="1">
      <alignment horizontal="left" wrapText="1"/>
    </xf>
    <xf numFmtId="0" fontId="7" fillId="0" borderId="9" xfId="0" applyFont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7" fillId="0" borderId="9" xfId="0" applyFont="1" applyBorder="1" applyAlignment="1">
      <alignment horizontal="left"/>
    </xf>
    <xf numFmtId="0" fontId="7" fillId="0" borderId="17" xfId="0" applyFont="1" applyFill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18" fillId="0" borderId="0" xfId="0" applyFont="1" applyBorder="1" applyAlignment="1">
      <alignment horizontal="left"/>
    </xf>
    <xf numFmtId="44" fontId="7" fillId="0" borderId="9" xfId="5" applyFont="1" applyBorder="1" applyAlignment="1">
      <alignment horizontal="center"/>
    </xf>
    <xf numFmtId="0" fontId="18" fillId="7" borderId="9" xfId="0" applyFont="1" applyFill="1" applyBorder="1" applyAlignment="1">
      <alignment horizontal="left" vertical="center"/>
    </xf>
    <xf numFmtId="0" fontId="18" fillId="7" borderId="9" xfId="0" applyFont="1" applyFill="1" applyBorder="1" applyAlignment="1">
      <alignment horizontal="left"/>
    </xf>
    <xf numFmtId="0" fontId="18" fillId="0" borderId="9" xfId="0" applyFont="1" applyBorder="1" applyAlignment="1">
      <alignment horizontal="center" vertical="center"/>
    </xf>
    <xf numFmtId="17" fontId="7" fillId="0" borderId="0" xfId="0" applyNumberFormat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wrapText="1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vertical="center"/>
    </xf>
    <xf numFmtId="0" fontId="7" fillId="0" borderId="9" xfId="0" applyFont="1" applyBorder="1" applyAlignment="1">
      <alignment wrapText="1"/>
    </xf>
    <xf numFmtId="0" fontId="4" fillId="0" borderId="9" xfId="0" applyFont="1" applyFill="1" applyBorder="1" applyAlignment="1">
      <alignment horizontal="left" vertical="center" wrapText="1"/>
    </xf>
    <xf numFmtId="10" fontId="4" fillId="0" borderId="18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7" fillId="0" borderId="61" xfId="0" applyFont="1" applyBorder="1"/>
    <xf numFmtId="166" fontId="7" fillId="0" borderId="61" xfId="0" applyNumberFormat="1" applyFont="1" applyBorder="1" applyAlignment="1">
      <alignment horizontal="center" vertical="center"/>
    </xf>
    <xf numFmtId="166" fontId="7" fillId="0" borderId="61" xfId="0" applyNumberFormat="1" applyFont="1" applyBorder="1" applyAlignment="1">
      <alignment horizontal="center"/>
    </xf>
    <xf numFmtId="0" fontId="4" fillId="0" borderId="9" xfId="0" applyFont="1" applyFill="1" applyBorder="1" applyAlignment="1">
      <alignment vertical="center" wrapText="1"/>
    </xf>
    <xf numFmtId="9" fontId="6" fillId="0" borderId="0" xfId="3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5" fillId="6" borderId="48" xfId="2" applyFont="1" applyFill="1" applyBorder="1" applyAlignment="1" applyProtection="1">
      <alignment horizontal="center" vertical="center"/>
    </xf>
    <xf numFmtId="9" fontId="6" fillId="0" borderId="0" xfId="3" applyFont="1" applyBorder="1" applyAlignment="1">
      <alignment vertical="center"/>
    </xf>
    <xf numFmtId="10" fontId="6" fillId="0" borderId="18" xfId="0" applyNumberFormat="1" applyFont="1" applyFill="1" applyBorder="1" applyAlignment="1">
      <alignment horizontal="center" vertical="center"/>
    </xf>
    <xf numFmtId="0" fontId="8" fillId="0" borderId="55" xfId="0" applyFont="1" applyBorder="1" applyAlignment="1">
      <alignment horizontal="left" vertical="top" wrapText="1"/>
    </xf>
    <xf numFmtId="4" fontId="6" fillId="0" borderId="0" xfId="0" applyNumberFormat="1" applyFont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8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horizontal="center"/>
    </xf>
    <xf numFmtId="0" fontId="6" fillId="0" borderId="37" xfId="0" applyFont="1" applyFill="1" applyBorder="1" applyAlignment="1">
      <alignment horizontal="center"/>
    </xf>
    <xf numFmtId="164" fontId="6" fillId="0" borderId="26" xfId="0" applyNumberFormat="1" applyFont="1" applyBorder="1" applyAlignment="1">
      <alignment horizontal="right" vertical="center"/>
    </xf>
    <xf numFmtId="164" fontId="6" fillId="0" borderId="27" xfId="0" applyNumberFormat="1" applyFont="1" applyBorder="1" applyAlignment="1">
      <alignment horizontal="right" vertical="center"/>
    </xf>
    <xf numFmtId="164" fontId="3" fillId="0" borderId="27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left" vertical="top"/>
    </xf>
    <xf numFmtId="0" fontId="8" fillId="0" borderId="19" xfId="0" applyFont="1" applyBorder="1" applyAlignment="1">
      <alignment horizontal="left" vertical="top"/>
    </xf>
    <xf numFmtId="0" fontId="8" fillId="0" borderId="20" xfId="0" applyFont="1" applyBorder="1" applyAlignment="1">
      <alignment horizontal="left" vertical="top"/>
    </xf>
    <xf numFmtId="0" fontId="6" fillId="0" borderId="13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58" xfId="0" applyFont="1" applyBorder="1" applyAlignment="1">
      <alignment horizontal="left"/>
    </xf>
    <xf numFmtId="0" fontId="6" fillId="0" borderId="53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54" xfId="0" applyFont="1" applyBorder="1" applyAlignment="1">
      <alignment horizontal="center" vertical="top" wrapText="1"/>
    </xf>
    <xf numFmtId="0" fontId="6" fillId="0" borderId="50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top" wrapText="1"/>
    </xf>
    <xf numFmtId="0" fontId="6" fillId="0" borderId="50" xfId="0" applyFont="1" applyBorder="1" applyAlignment="1">
      <alignment horizontal="left"/>
    </xf>
    <xf numFmtId="0" fontId="6" fillId="0" borderId="51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55" xfId="0" applyFont="1" applyBorder="1" applyAlignment="1">
      <alignment horizontal="left"/>
    </xf>
    <xf numFmtId="0" fontId="6" fillId="0" borderId="37" xfId="0" applyFont="1" applyBorder="1" applyAlignment="1">
      <alignment horizontal="left"/>
    </xf>
    <xf numFmtId="0" fontId="6" fillId="0" borderId="56" xfId="0" applyFont="1" applyBorder="1" applyAlignment="1">
      <alignment horizontal="left"/>
    </xf>
    <xf numFmtId="164" fontId="13" fillId="0" borderId="25" xfId="0" applyNumberFormat="1" applyFont="1" applyBorder="1" applyAlignment="1">
      <alignment horizontal="center" vertical="center" wrapText="1"/>
    </xf>
    <xf numFmtId="164" fontId="13" fillId="0" borderId="14" xfId="0" applyNumberFormat="1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18" fillId="7" borderId="9" xfId="0" applyFont="1" applyFill="1" applyBorder="1" applyAlignment="1">
      <alignment horizontal="center" wrapText="1"/>
    </xf>
    <xf numFmtId="0" fontId="7" fillId="0" borderId="49" xfId="0" applyFont="1" applyBorder="1" applyAlignment="1">
      <alignment horizontal="center"/>
    </xf>
    <xf numFmtId="0" fontId="18" fillId="0" borderId="17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/>
    </xf>
    <xf numFmtId="0" fontId="3" fillId="8" borderId="9" xfId="0" applyFont="1" applyFill="1" applyBorder="1" applyAlignment="1">
      <alignment horizontal="center"/>
    </xf>
    <xf numFmtId="0" fontId="18" fillId="7" borderId="9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9" fontId="6" fillId="0" borderId="0" xfId="3" applyFont="1" applyBorder="1" applyAlignment="1">
      <alignment horizontal="center" vertical="center"/>
    </xf>
    <xf numFmtId="9" fontId="6" fillId="0" borderId="37" xfId="3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top"/>
    </xf>
    <xf numFmtId="0" fontId="8" fillId="0" borderId="32" xfId="0" applyFont="1" applyBorder="1" applyAlignment="1">
      <alignment horizontal="left" vertical="top"/>
    </xf>
    <xf numFmtId="164" fontId="13" fillId="0" borderId="31" xfId="0" applyNumberFormat="1" applyFont="1" applyBorder="1" applyAlignment="1">
      <alignment horizontal="left"/>
    </xf>
    <xf numFmtId="0" fontId="13" fillId="0" borderId="33" xfId="0" applyFont="1" applyBorder="1" applyAlignment="1">
      <alignment horizontal="left"/>
    </xf>
    <xf numFmtId="0" fontId="6" fillId="0" borderId="5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49" fontId="5" fillId="4" borderId="40" xfId="1" applyFont="1" applyFill="1" applyBorder="1" applyAlignment="1">
      <alignment horizontal="center" vertical="center" shrinkToFit="1"/>
    </xf>
    <xf numFmtId="49" fontId="5" fillId="4" borderId="41" xfId="1" applyFont="1" applyFill="1" applyBorder="1" applyAlignment="1">
      <alignment horizontal="center" vertical="center" shrinkToFit="1"/>
    </xf>
    <xf numFmtId="10" fontId="5" fillId="4" borderId="40" xfId="0" applyNumberFormat="1" applyFont="1" applyFill="1" applyBorder="1" applyAlignment="1">
      <alignment horizontal="center" vertical="center" shrinkToFit="1"/>
    </xf>
    <xf numFmtId="4" fontId="5" fillId="4" borderId="40" xfId="1" applyNumberFormat="1" applyFont="1" applyFill="1" applyBorder="1" applyAlignment="1">
      <alignment horizontal="center" vertical="center" shrinkToFit="1"/>
    </xf>
    <xf numFmtId="49" fontId="5" fillId="4" borderId="39" xfId="1" applyFont="1" applyFill="1" applyBorder="1" applyAlignment="1">
      <alignment horizontal="center" vertical="center" shrinkToFit="1"/>
    </xf>
    <xf numFmtId="49" fontId="5" fillId="4" borderId="42" xfId="1" applyFont="1" applyFill="1" applyBorder="1" applyAlignment="1">
      <alignment horizontal="center" vertical="center" shrinkToFit="1"/>
    </xf>
    <xf numFmtId="0" fontId="5" fillId="4" borderId="40" xfId="1" applyNumberFormat="1" applyFont="1" applyFill="1" applyBorder="1" applyAlignment="1">
      <alignment horizontal="center" vertical="center" shrinkToFit="1"/>
    </xf>
    <xf numFmtId="0" fontId="5" fillId="4" borderId="43" xfId="1" applyNumberFormat="1" applyFont="1" applyFill="1" applyBorder="1" applyAlignment="1">
      <alignment horizontal="center" vertical="center" shrinkToFit="1"/>
    </xf>
    <xf numFmtId="164" fontId="5" fillId="4" borderId="40" xfId="1" applyNumberFormat="1" applyFont="1" applyFill="1" applyBorder="1" applyAlignment="1">
      <alignment horizontal="center" vertical="center" shrinkToFit="1"/>
    </xf>
    <xf numFmtId="164" fontId="5" fillId="4" borderId="43" xfId="1" applyNumberFormat="1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0" borderId="34" xfId="0" applyFont="1" applyBorder="1" applyAlignment="1">
      <alignment horizontal="left" vertical="top"/>
    </xf>
    <xf numFmtId="0" fontId="8" fillId="0" borderId="35" xfId="0" applyFont="1" applyBorder="1" applyAlignment="1">
      <alignment horizontal="left" vertical="top"/>
    </xf>
    <xf numFmtId="0" fontId="6" fillId="0" borderId="35" xfId="0" applyFont="1" applyBorder="1" applyAlignment="1">
      <alignment horizontal="left"/>
    </xf>
    <xf numFmtId="0" fontId="6" fillId="0" borderId="36" xfId="0" applyFont="1" applyBorder="1" applyAlignment="1">
      <alignment horizontal="left"/>
    </xf>
    <xf numFmtId="0" fontId="6" fillId="0" borderId="29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18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7" fillId="0" borderId="19" xfId="0" applyFont="1" applyBorder="1" applyAlignment="1">
      <alignment horizontal="center"/>
    </xf>
  </cellXfs>
  <cellStyles count="7">
    <cellStyle name="Moeda" xfId="5" builtinId="4"/>
    <cellStyle name="Normal" xfId="0" builtinId="0"/>
    <cellStyle name="Normal 2" xfId="6" xr:uid="{00000000-0005-0000-0000-000002000000}"/>
    <cellStyle name="Normal 2 2 2" xfId="4" xr:uid="{00000000-0005-0000-0000-000003000000}"/>
    <cellStyle name="Porcentagem" xfId="3" builtinId="5"/>
    <cellStyle name="TITULO 1" xfId="2" xr:uid="{00000000-0005-0000-0000-000005000000}"/>
    <cellStyle name="Títulos" xfId="1" xr:uid="{00000000-0005-0000-0000-000006000000}"/>
  </cellStyles>
  <dxfs count="18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95810</xdr:colOff>
      <xdr:row>1</xdr:row>
      <xdr:rowOff>133908</xdr:rowOff>
    </xdr:from>
    <xdr:to>
      <xdr:col>3</xdr:col>
      <xdr:colOff>591430</xdr:colOff>
      <xdr:row>2</xdr:row>
      <xdr:rowOff>257173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6F34859-BE7F-4FC2-8E5B-9DF0DEDAF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045" y="436467"/>
          <a:ext cx="1078326" cy="1075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87565</xdr:colOff>
      <xdr:row>3</xdr:row>
      <xdr:rowOff>37538</xdr:rowOff>
    </xdr:from>
    <xdr:to>
      <xdr:col>4</xdr:col>
      <xdr:colOff>385482</xdr:colOff>
      <xdr:row>3</xdr:row>
      <xdr:rowOff>942848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EE97D45A-B98F-4BE5-917A-188A02CE2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0153" y="575420"/>
          <a:ext cx="934411" cy="9053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1"/>
  <sheetViews>
    <sheetView tabSelected="1" zoomScale="85" zoomScaleNormal="85" workbookViewId="0">
      <selection activeCell="K14" sqref="K14"/>
    </sheetView>
  </sheetViews>
  <sheetFormatPr defaultColWidth="9.140625" defaultRowHeight="15" x14ac:dyDescent="0.2"/>
  <cols>
    <col min="1" max="2" width="9.140625" style="6"/>
    <col min="3" max="3" width="8.7109375" style="6" bestFit="1" customWidth="1"/>
    <col min="4" max="4" width="81.140625" style="58" customWidth="1"/>
    <col min="5" max="5" width="6.28515625" style="6" bestFit="1" customWidth="1"/>
    <col min="6" max="6" width="10.5703125" style="26" bestFit="1" customWidth="1"/>
    <col min="7" max="7" width="16.28515625" style="19" bestFit="1" customWidth="1"/>
    <col min="8" max="8" width="9" style="6" bestFit="1" customWidth="1"/>
    <col min="9" max="9" width="16.28515625" style="19" bestFit="1" customWidth="1"/>
    <col min="10" max="10" width="17.7109375" style="19" bestFit="1" customWidth="1"/>
    <col min="11" max="11" width="17.5703125" style="6" customWidth="1"/>
    <col min="12" max="12" width="20.28515625" style="6" customWidth="1"/>
    <col min="13" max="13" width="28.5703125" style="50" bestFit="1" customWidth="1"/>
    <col min="14" max="15" width="17.140625" style="6" bestFit="1" customWidth="1"/>
    <col min="16" max="16384" width="9.140625" style="6"/>
  </cols>
  <sheetData>
    <row r="1" spans="3:13" ht="24" customHeight="1" thickBot="1" x14ac:dyDescent="0.25"/>
    <row r="2" spans="3:13" ht="75" customHeight="1" x14ac:dyDescent="0.2">
      <c r="C2" s="189" t="s">
        <v>47</v>
      </c>
      <c r="D2" s="190"/>
      <c r="E2" s="190"/>
      <c r="F2" s="190"/>
      <c r="G2" s="190"/>
      <c r="H2" s="190"/>
      <c r="I2" s="190"/>
      <c r="J2" s="190"/>
      <c r="K2" s="190"/>
      <c r="L2" s="191"/>
    </row>
    <row r="3" spans="3:13" ht="24" customHeight="1" thickBot="1" x14ac:dyDescent="0.25">
      <c r="C3" s="192" t="s">
        <v>137</v>
      </c>
      <c r="D3" s="193"/>
      <c r="E3" s="193"/>
      <c r="F3" s="193"/>
      <c r="G3" s="193"/>
      <c r="H3" s="193"/>
      <c r="I3" s="193"/>
      <c r="J3" s="193"/>
      <c r="K3" s="193"/>
      <c r="L3" s="194"/>
    </row>
    <row r="4" spans="3:13" ht="15.75" customHeight="1" x14ac:dyDescent="0.2">
      <c r="C4" s="102" t="s">
        <v>10</v>
      </c>
      <c r="D4" s="133"/>
      <c r="E4" s="209" t="s">
        <v>11</v>
      </c>
      <c r="F4" s="210"/>
      <c r="G4" s="210"/>
      <c r="H4" s="210"/>
      <c r="I4" s="210"/>
      <c r="J4" s="210"/>
      <c r="K4" s="210"/>
      <c r="L4" s="211"/>
    </row>
    <row r="5" spans="3:13" x14ac:dyDescent="0.2">
      <c r="C5" s="207" t="s">
        <v>70</v>
      </c>
      <c r="D5" s="208"/>
      <c r="E5" s="212" t="s">
        <v>71</v>
      </c>
      <c r="F5" s="213"/>
      <c r="G5" s="213"/>
      <c r="H5" s="213"/>
      <c r="I5" s="213"/>
      <c r="J5" s="213"/>
      <c r="K5" s="213"/>
      <c r="L5" s="214"/>
    </row>
    <row r="6" spans="3:13" x14ac:dyDescent="0.2">
      <c r="C6" s="195" t="s">
        <v>12</v>
      </c>
      <c r="D6" s="196"/>
      <c r="E6" s="196"/>
      <c r="F6" s="196"/>
      <c r="G6" s="196"/>
      <c r="H6" s="196"/>
      <c r="I6" s="196"/>
      <c r="J6" s="197"/>
      <c r="K6" s="54" t="s">
        <v>58</v>
      </c>
      <c r="L6" s="56">
        <v>0.21</v>
      </c>
    </row>
    <row r="7" spans="3:13" ht="20.45" customHeight="1" x14ac:dyDescent="0.2">
      <c r="C7" s="201" t="s">
        <v>160</v>
      </c>
      <c r="D7" s="202"/>
      <c r="E7" s="202"/>
      <c r="F7" s="202"/>
      <c r="G7" s="202"/>
      <c r="H7" s="202"/>
      <c r="I7" s="202"/>
      <c r="J7" s="203"/>
      <c r="K7" s="177" t="s">
        <v>167</v>
      </c>
      <c r="L7" s="57">
        <v>0.1535</v>
      </c>
    </row>
    <row r="8" spans="3:13" ht="15" customHeight="1" x14ac:dyDescent="0.2">
      <c r="C8" s="204"/>
      <c r="D8" s="205"/>
      <c r="E8" s="205"/>
      <c r="F8" s="205"/>
      <c r="G8" s="205"/>
      <c r="H8" s="205"/>
      <c r="I8" s="205"/>
      <c r="J8" s="206"/>
      <c r="K8" s="13">
        <f ca="1">TODAY()</f>
        <v>46101</v>
      </c>
      <c r="L8" s="25" t="s">
        <v>46</v>
      </c>
    </row>
    <row r="9" spans="3:13" ht="15" customHeight="1" x14ac:dyDescent="0.2">
      <c r="C9" s="195" t="s">
        <v>13</v>
      </c>
      <c r="D9" s="196"/>
      <c r="E9" s="196"/>
      <c r="F9" s="196"/>
      <c r="G9" s="196"/>
      <c r="H9" s="196"/>
      <c r="I9" s="196"/>
      <c r="J9" s="197"/>
      <c r="K9" s="217" t="s">
        <v>14</v>
      </c>
      <c r="L9" s="215">
        <f>J49</f>
        <v>215022.1340598971</v>
      </c>
    </row>
    <row r="10" spans="3:13" ht="15.75" customHeight="1" thickBot="1" x14ac:dyDescent="0.25">
      <c r="C10" s="198" t="s">
        <v>72</v>
      </c>
      <c r="D10" s="199"/>
      <c r="E10" s="199"/>
      <c r="F10" s="199"/>
      <c r="G10" s="199"/>
      <c r="H10" s="199"/>
      <c r="I10" s="199"/>
      <c r="J10" s="200"/>
      <c r="K10" s="218"/>
      <c r="L10" s="216"/>
    </row>
    <row r="11" spans="3:13" ht="15.75" thickBot="1" x14ac:dyDescent="0.25">
      <c r="C11" s="109"/>
      <c r="D11" s="134"/>
      <c r="E11" s="110"/>
      <c r="F11" s="110"/>
      <c r="G11" s="110"/>
      <c r="H11" s="110"/>
      <c r="I11" s="110"/>
      <c r="J11" s="110"/>
      <c r="K11" s="110"/>
      <c r="L11" s="111"/>
    </row>
    <row r="12" spans="3:13" ht="32.25" thickBot="1" x14ac:dyDescent="0.25">
      <c r="C12" s="14" t="s">
        <v>0</v>
      </c>
      <c r="D12" s="59" t="s">
        <v>1</v>
      </c>
      <c r="E12" s="15" t="s">
        <v>2</v>
      </c>
      <c r="F12" s="27" t="s">
        <v>3</v>
      </c>
      <c r="G12" s="20" t="s">
        <v>16</v>
      </c>
      <c r="H12" s="16" t="s">
        <v>4</v>
      </c>
      <c r="I12" s="20" t="s">
        <v>17</v>
      </c>
      <c r="J12" s="23" t="s">
        <v>5</v>
      </c>
      <c r="K12" s="17" t="s">
        <v>6</v>
      </c>
      <c r="L12" s="18" t="s">
        <v>7</v>
      </c>
    </row>
    <row r="13" spans="3:13" ht="16.5" thickTop="1" x14ac:dyDescent="0.2">
      <c r="C13" s="1">
        <v>1</v>
      </c>
      <c r="D13" s="60" t="s">
        <v>33</v>
      </c>
      <c r="E13" s="2"/>
      <c r="F13" s="28"/>
      <c r="G13" s="21"/>
      <c r="H13" s="3"/>
      <c r="I13" s="21" t="s">
        <v>8</v>
      </c>
      <c r="J13" s="24">
        <f>SUM(J14:J15)</f>
        <v>3899.83</v>
      </c>
      <c r="K13" s="4"/>
      <c r="L13" s="5"/>
    </row>
    <row r="14" spans="3:13" ht="30" x14ac:dyDescent="0.2">
      <c r="C14" s="85" t="s">
        <v>18</v>
      </c>
      <c r="D14" s="7" t="s">
        <v>44</v>
      </c>
      <c r="E14" s="8" t="s">
        <v>43</v>
      </c>
      <c r="F14" s="9">
        <v>10</v>
      </c>
      <c r="G14" s="22">
        <v>156.54</v>
      </c>
      <c r="H14" s="10">
        <f>$L$6</f>
        <v>0.21</v>
      </c>
      <c r="I14" s="22">
        <f>G14*(H14+1)</f>
        <v>189.4134</v>
      </c>
      <c r="J14" s="22">
        <f>I14*F14</f>
        <v>1894.134</v>
      </c>
      <c r="K14" s="11">
        <v>90778</v>
      </c>
      <c r="L14" s="12" t="s">
        <v>15</v>
      </c>
      <c r="M14" s="76"/>
    </row>
    <row r="15" spans="3:13" x14ac:dyDescent="0.2">
      <c r="C15" s="85" t="s">
        <v>21</v>
      </c>
      <c r="D15" s="7" t="s">
        <v>22</v>
      </c>
      <c r="E15" s="8" t="s">
        <v>43</v>
      </c>
      <c r="F15" s="9">
        <v>40</v>
      </c>
      <c r="G15" s="22">
        <v>41.44</v>
      </c>
      <c r="H15" s="10">
        <f>$L$6</f>
        <v>0.21</v>
      </c>
      <c r="I15" s="22">
        <f>G15*(H15+1)</f>
        <v>50.142399999999995</v>
      </c>
      <c r="J15" s="22">
        <f>I15*F15</f>
        <v>2005.6959999999999</v>
      </c>
      <c r="K15" s="11">
        <v>90776</v>
      </c>
      <c r="L15" s="12" t="s">
        <v>15</v>
      </c>
      <c r="M15" s="76"/>
    </row>
    <row r="16" spans="3:13" ht="15.75" thickBot="1" x14ac:dyDescent="0.25">
      <c r="C16" s="130"/>
      <c r="D16" s="135"/>
      <c r="E16" s="131"/>
      <c r="F16" s="131"/>
      <c r="G16" s="131"/>
      <c r="H16" s="131"/>
      <c r="I16" s="131"/>
      <c r="J16" s="131"/>
      <c r="K16" s="131"/>
      <c r="L16" s="132"/>
    </row>
    <row r="17" spans="1:15" ht="16.5" thickTop="1" x14ac:dyDescent="0.2">
      <c r="C17" s="1">
        <v>2</v>
      </c>
      <c r="D17" s="60" t="s">
        <v>77</v>
      </c>
      <c r="E17" s="2"/>
      <c r="F17" s="28"/>
      <c r="G17" s="21"/>
      <c r="H17" s="3"/>
      <c r="I17" s="21" t="s">
        <v>8</v>
      </c>
      <c r="J17" s="24">
        <f>SUM(J18:J41)</f>
        <v>160991.60516806398</v>
      </c>
      <c r="K17" s="4"/>
      <c r="L17" s="5"/>
    </row>
    <row r="18" spans="1:15" ht="60" x14ac:dyDescent="0.2">
      <c r="C18" s="85" t="s">
        <v>19</v>
      </c>
      <c r="D18" s="7" t="str">
        <f>COMPOSIÇÕES!D6</f>
        <v>POSTE DE CONCRETO ARMADO COM COMPRIMENTO NOMINAL DE 12 M, CARGA NOMINAL DE 300 DAN, ENGASTAMENTO BASE CONCRETADA COM 1 M DE CONCRETO E 0,8 M DE SOLO. AF_04/2025. VALA 0,8X1 M (UN)</v>
      </c>
      <c r="E18" s="8" t="s">
        <v>41</v>
      </c>
      <c r="F18" s="9">
        <v>6</v>
      </c>
      <c r="G18" s="22">
        <f>COMPOSIÇÕES!H20</f>
        <v>4611.008304</v>
      </c>
      <c r="H18" s="10">
        <f>L7</f>
        <v>0.1535</v>
      </c>
      <c r="I18" s="22">
        <f>G18*(H18+1)</f>
        <v>5318.7980786640001</v>
      </c>
      <c r="J18" s="22">
        <f>I18*F18</f>
        <v>31912.788471984</v>
      </c>
      <c r="K18" s="11" t="str">
        <f>COMPOSIÇÕES!C6</f>
        <v>CP-01</v>
      </c>
      <c r="L18" s="12" t="s">
        <v>49</v>
      </c>
      <c r="O18" s="19"/>
    </row>
    <row r="19" spans="1:15" ht="45" x14ac:dyDescent="0.2">
      <c r="C19" s="85" t="s">
        <v>20</v>
      </c>
      <c r="D19" s="7" t="str">
        <f>COMPOSIÇÕES!D22</f>
        <v>ESCAVAÇÃO EM BLOCO DE ROCHAS OU MATACOES - VALA DE 180x80x100 CM. REATERRO COM SOLO COMPACTADO 80x100X100 cm (UN)</v>
      </c>
      <c r="E19" s="8" t="s">
        <v>41</v>
      </c>
      <c r="F19" s="9">
        <v>3</v>
      </c>
      <c r="G19" s="22">
        <f>COMPOSIÇÕES!H30</f>
        <v>1482.3176799999999</v>
      </c>
      <c r="H19" s="10">
        <f>$L$6</f>
        <v>0.21</v>
      </c>
      <c r="I19" s="22">
        <f>G19*(H19+1)</f>
        <v>1793.6043927999999</v>
      </c>
      <c r="J19" s="22">
        <f>I19*F19</f>
        <v>5380.8131783999997</v>
      </c>
      <c r="K19" s="11" t="str">
        <f>COMPOSIÇÕES!C22</f>
        <v>CP- 02</v>
      </c>
      <c r="L19" s="12" t="s">
        <v>49</v>
      </c>
      <c r="O19" s="19"/>
    </row>
    <row r="20" spans="1:15" ht="30" x14ac:dyDescent="0.2">
      <c r="C20" s="85" t="s">
        <v>48</v>
      </c>
      <c r="D20" s="7" t="str">
        <f>COMPOSIÇÕES!D32</f>
        <v>ESCAVAÇÃO EM SOLO - VALA DE 180x80x100 CM. REATERRO COM SOLO COMPACTADO 80x100X100 cm (UN)</v>
      </c>
      <c r="E20" s="8" t="s">
        <v>41</v>
      </c>
      <c r="F20" s="9">
        <v>3</v>
      </c>
      <c r="G20" s="22">
        <f>COMPOSIÇÕES!H39</f>
        <v>650.28188</v>
      </c>
      <c r="H20" s="10">
        <f>L6</f>
        <v>0.21</v>
      </c>
      <c r="I20" s="22">
        <f>G20*(H20+1)</f>
        <v>786.8410748</v>
      </c>
      <c r="J20" s="22">
        <f>I20*F20</f>
        <v>2360.5232243999999</v>
      </c>
      <c r="K20" s="11" t="str">
        <f>COMPOSIÇÕES!C32</f>
        <v>CP- 03</v>
      </c>
      <c r="L20" s="12" t="s">
        <v>49</v>
      </c>
      <c r="M20" s="76"/>
      <c r="O20" s="19"/>
    </row>
    <row r="21" spans="1:15" ht="30" x14ac:dyDescent="0.2">
      <c r="C21" s="85" t="s">
        <v>40</v>
      </c>
      <c r="D21" s="7" t="str">
        <f>COMPOSIÇÕES!D41</f>
        <v>Projetor PRO LED Modular 400 Watts - 5000k - 90° - FORNECIMENTO E INSTALAÇÃO (UN)</v>
      </c>
      <c r="E21" s="8" t="s">
        <v>41</v>
      </c>
      <c r="F21" s="9">
        <f>6*6</f>
        <v>36</v>
      </c>
      <c r="G21" s="22">
        <f>COMPOSIÇÕES!H48</f>
        <v>1674.4994999999999</v>
      </c>
      <c r="H21" s="10">
        <f>L7</f>
        <v>0.1535</v>
      </c>
      <c r="I21" s="22">
        <f>G21*(H21+1)</f>
        <v>1931.5351732499998</v>
      </c>
      <c r="J21" s="22">
        <f>I21*F21</f>
        <v>69535.266236999989</v>
      </c>
      <c r="K21" s="11" t="str">
        <f>COMPOSIÇÕES!C41</f>
        <v>CP- 04</v>
      </c>
      <c r="L21" s="12" t="s">
        <v>49</v>
      </c>
      <c r="O21" s="19"/>
    </row>
    <row r="22" spans="1:15" ht="30" x14ac:dyDescent="0.2">
      <c r="C22" s="85" t="s">
        <v>73</v>
      </c>
      <c r="D22" s="7" t="str">
        <f>COMPOSIÇÕES!D50</f>
        <v>CRUZETA CONCRETO ARMADO 240X110X90 400 DAN COM SUPORTE PARA 3 REFLETORES - FORNECIMENTO E INSTALAÇÃO (UN)</v>
      </c>
      <c r="E22" s="8" t="s">
        <v>41</v>
      </c>
      <c r="F22" s="9">
        <f>2*6</f>
        <v>12</v>
      </c>
      <c r="G22" s="22">
        <f>COMPOSIÇÕES!H58</f>
        <v>363.70249999999999</v>
      </c>
      <c r="H22" s="10">
        <f>L7</f>
        <v>0.1535</v>
      </c>
      <c r="I22" s="22">
        <f t="shared" ref="I22:I33" si="0">G22*(H22+1)</f>
        <v>419.53083375</v>
      </c>
      <c r="J22" s="22">
        <f t="shared" ref="J22:J33" si="1">I22*F22</f>
        <v>5034.3700049999998</v>
      </c>
      <c r="K22" s="11" t="str">
        <f>COMPOSIÇÕES!C50</f>
        <v>CP- 05</v>
      </c>
      <c r="L22" s="12" t="s">
        <v>49</v>
      </c>
      <c r="O22" s="19"/>
    </row>
    <row r="23" spans="1:15" ht="60" x14ac:dyDescent="0.2">
      <c r="C23" s="85" t="s">
        <v>74</v>
      </c>
      <c r="D23" s="7" t="str">
        <f>COMPOSIÇÕES!D68</f>
        <v>CAIXA DE INSPEÇÃO RETANGULAR, EM CONCRETO PRÉ-MOLDADO, FUNDO COM BRITA, DIMENSÕES INTERNAS: 0,6X0,6X0,5 M COM HASTE DE ATERRAMENTO, DIÂMETRO 5/8" DE 2,40 M PARA CABO DE 35 MM² (UN)</v>
      </c>
      <c r="E23" s="8" t="s">
        <v>41</v>
      </c>
      <c r="F23" s="9">
        <v>6</v>
      </c>
      <c r="G23" s="22">
        <f>COMPOSIÇÕES!H77</f>
        <v>653.56286399999999</v>
      </c>
      <c r="H23" s="10">
        <f t="shared" ref="H23:H29" si="2">$L$6</f>
        <v>0.21</v>
      </c>
      <c r="I23" s="22">
        <f t="shared" si="0"/>
        <v>790.81106543999999</v>
      </c>
      <c r="J23" s="22">
        <f t="shared" si="1"/>
        <v>4744.8663926400004</v>
      </c>
      <c r="K23" s="11" t="str">
        <f>COMPOSIÇÕES!C68</f>
        <v>CP- 07</v>
      </c>
      <c r="L23" s="12" t="s">
        <v>49</v>
      </c>
      <c r="O23" s="19"/>
    </row>
    <row r="24" spans="1:15" ht="45" x14ac:dyDescent="0.2">
      <c r="C24" s="85" t="s">
        <v>75</v>
      </c>
      <c r="D24" s="7" t="str">
        <f>COMPOSIÇÕES!D60</f>
        <v>QUADRO DE DISTRIBUICAO COM BARRAMENTO TRIFASICO, DE SOBREPOR, EM CHAPA DE ACO GALVANIZADO, PARA 12 DISJUNTORES DIN, 100 A (UN)</v>
      </c>
      <c r="E24" s="8" t="s">
        <v>41</v>
      </c>
      <c r="F24" s="9">
        <v>1</v>
      </c>
      <c r="G24" s="22">
        <f>COMPOSIÇÕES!H66</f>
        <v>398.82500000000005</v>
      </c>
      <c r="H24" s="10">
        <f t="shared" si="2"/>
        <v>0.21</v>
      </c>
      <c r="I24" s="22">
        <f t="shared" si="0"/>
        <v>482.57825000000003</v>
      </c>
      <c r="J24" s="22">
        <f t="shared" si="1"/>
        <v>482.57825000000003</v>
      </c>
      <c r="K24" s="11" t="str">
        <f>COMPOSIÇÕES!C60</f>
        <v>CP- 06</v>
      </c>
      <c r="L24" s="12" t="s">
        <v>49</v>
      </c>
      <c r="O24" s="19"/>
    </row>
    <row r="25" spans="1:15" ht="30" x14ac:dyDescent="0.2">
      <c r="C25" s="85" t="s">
        <v>76</v>
      </c>
      <c r="D25" s="7" t="s">
        <v>154</v>
      </c>
      <c r="E25" s="8" t="s">
        <v>41</v>
      </c>
      <c r="F25" s="9">
        <v>1</v>
      </c>
      <c r="G25" s="22">
        <v>13.17</v>
      </c>
      <c r="H25" s="10">
        <f t="shared" si="2"/>
        <v>0.21</v>
      </c>
      <c r="I25" s="22">
        <f t="shared" si="0"/>
        <v>15.935699999999999</v>
      </c>
      <c r="J25" s="22">
        <f>I25*F25</f>
        <v>15.935699999999999</v>
      </c>
      <c r="K25" s="11">
        <v>93655</v>
      </c>
      <c r="L25" s="12" t="s">
        <v>15</v>
      </c>
      <c r="O25" s="19"/>
    </row>
    <row r="26" spans="1:15" ht="30" x14ac:dyDescent="0.2">
      <c r="C26" s="85" t="s">
        <v>101</v>
      </c>
      <c r="D26" s="7" t="s">
        <v>155</v>
      </c>
      <c r="E26" s="8" t="s">
        <v>41</v>
      </c>
      <c r="F26" s="9">
        <v>3</v>
      </c>
      <c r="G26" s="22">
        <v>14.47</v>
      </c>
      <c r="H26" s="10">
        <f t="shared" si="2"/>
        <v>0.21</v>
      </c>
      <c r="I26" s="22">
        <f t="shared" ref="I26:I27" si="3">G26*(H26+1)</f>
        <v>17.508700000000001</v>
      </c>
      <c r="J26" s="22">
        <f t="shared" ref="J26:J27" si="4">I26*F26</f>
        <v>52.5261</v>
      </c>
      <c r="K26" s="11">
        <v>93656</v>
      </c>
      <c r="L26" s="12" t="s">
        <v>15</v>
      </c>
      <c r="O26" s="19"/>
    </row>
    <row r="27" spans="1:15" ht="30" x14ac:dyDescent="0.2">
      <c r="C27" s="85" t="s">
        <v>102</v>
      </c>
      <c r="D27" s="7" t="s">
        <v>156</v>
      </c>
      <c r="E27" s="8" t="s">
        <v>41</v>
      </c>
      <c r="F27" s="9">
        <v>2</v>
      </c>
      <c r="G27" s="22">
        <v>16.489999999999998</v>
      </c>
      <c r="H27" s="10">
        <f t="shared" si="2"/>
        <v>0.21</v>
      </c>
      <c r="I27" s="22">
        <f t="shared" si="3"/>
        <v>19.952899999999996</v>
      </c>
      <c r="J27" s="22">
        <f t="shared" si="4"/>
        <v>39.905799999999992</v>
      </c>
      <c r="K27" s="11">
        <v>93657</v>
      </c>
      <c r="L27" s="12" t="s">
        <v>15</v>
      </c>
      <c r="O27" s="19"/>
    </row>
    <row r="28" spans="1:15" ht="30" x14ac:dyDescent="0.2">
      <c r="C28" s="85" t="s">
        <v>103</v>
      </c>
      <c r="D28" s="7" t="s">
        <v>157</v>
      </c>
      <c r="E28" s="8" t="s">
        <v>41</v>
      </c>
      <c r="F28" s="9">
        <v>2</v>
      </c>
      <c r="G28" s="22">
        <v>92.82</v>
      </c>
      <c r="H28" s="10">
        <f t="shared" si="2"/>
        <v>0.21</v>
      </c>
      <c r="I28" s="22">
        <f t="shared" ref="I28" si="5">G28*(H28+1)</f>
        <v>112.31219999999999</v>
      </c>
      <c r="J28" s="22">
        <f t="shared" ref="J28" si="6">I28*F28</f>
        <v>224.62439999999998</v>
      </c>
      <c r="K28" s="11">
        <v>93672</v>
      </c>
      <c r="L28" s="12" t="s">
        <v>15</v>
      </c>
      <c r="O28" s="19"/>
    </row>
    <row r="29" spans="1:15" ht="30" x14ac:dyDescent="0.2">
      <c r="C29" s="85" t="s">
        <v>104</v>
      </c>
      <c r="D29" s="7" t="s">
        <v>158</v>
      </c>
      <c r="E29" s="8" t="s">
        <v>41</v>
      </c>
      <c r="F29" s="9">
        <v>4</v>
      </c>
      <c r="G29" s="22">
        <v>74.680000000000007</v>
      </c>
      <c r="H29" s="10">
        <f t="shared" si="2"/>
        <v>0.21</v>
      </c>
      <c r="I29" s="22">
        <f t="shared" ref="I29" si="7">G29*(H29+1)</f>
        <v>90.362800000000007</v>
      </c>
      <c r="J29" s="22">
        <f t="shared" ref="J29" si="8">I29*F29</f>
        <v>361.45120000000003</v>
      </c>
      <c r="K29" s="11">
        <v>106027</v>
      </c>
      <c r="L29" s="12" t="s">
        <v>15</v>
      </c>
      <c r="O29" s="19"/>
    </row>
    <row r="30" spans="1:15" ht="45" x14ac:dyDescent="0.2">
      <c r="B30" s="180"/>
      <c r="C30" s="85" t="s">
        <v>106</v>
      </c>
      <c r="D30" s="163" t="s">
        <v>152</v>
      </c>
      <c r="E30" s="45" t="s">
        <v>42</v>
      </c>
      <c r="F30" s="46">
        <v>142</v>
      </c>
      <c r="G30" s="40">
        <v>8.8000000000000007</v>
      </c>
      <c r="H30" s="47">
        <f>$L$6</f>
        <v>0.21</v>
      </c>
      <c r="I30" s="40">
        <f t="shared" ref="I30" si="9">G30*(H30+1)</f>
        <v>10.648</v>
      </c>
      <c r="J30" s="40">
        <f>I30*F30</f>
        <v>1512.0159999999998</v>
      </c>
      <c r="K30" s="48">
        <v>91929</v>
      </c>
      <c r="L30" s="49" t="s">
        <v>15</v>
      </c>
      <c r="O30" s="19"/>
    </row>
    <row r="31" spans="1:15" ht="45" x14ac:dyDescent="0.2">
      <c r="A31" s="181"/>
      <c r="B31" s="180"/>
      <c r="C31" s="85" t="s">
        <v>126</v>
      </c>
      <c r="D31" s="163" t="s">
        <v>61</v>
      </c>
      <c r="E31" s="45" t="s">
        <v>42</v>
      </c>
      <c r="F31" s="46">
        <v>651</v>
      </c>
      <c r="G31" s="40">
        <v>12.35</v>
      </c>
      <c r="H31" s="47">
        <f t="shared" ref="H31:H36" si="10">$L$6</f>
        <v>0.21</v>
      </c>
      <c r="I31" s="40">
        <f t="shared" si="0"/>
        <v>14.943499999999998</v>
      </c>
      <c r="J31" s="40">
        <f>I31*F31</f>
        <v>9728.218499999999</v>
      </c>
      <c r="K31" s="48">
        <v>91931</v>
      </c>
      <c r="L31" s="49" t="s">
        <v>15</v>
      </c>
      <c r="O31" s="19"/>
    </row>
    <row r="32" spans="1:15" ht="45" x14ac:dyDescent="0.2">
      <c r="B32" s="179"/>
      <c r="C32" s="85" t="s">
        <v>127</v>
      </c>
      <c r="D32" s="163" t="s">
        <v>125</v>
      </c>
      <c r="E32" s="45" t="s">
        <v>42</v>
      </c>
      <c r="F32" s="46">
        <v>631</v>
      </c>
      <c r="G32" s="40">
        <v>19.670000000000002</v>
      </c>
      <c r="H32" s="47">
        <f t="shared" si="10"/>
        <v>0.21</v>
      </c>
      <c r="I32" s="40">
        <f t="shared" ref="I32" si="11">G32*(H32+1)</f>
        <v>23.800700000000003</v>
      </c>
      <c r="J32" s="40">
        <f>I32*F32</f>
        <v>15018.241700000002</v>
      </c>
      <c r="K32" s="48">
        <v>91933</v>
      </c>
      <c r="L32" s="49" t="s">
        <v>15</v>
      </c>
      <c r="O32" s="19"/>
    </row>
    <row r="33" spans="3:15" ht="30" x14ac:dyDescent="0.2">
      <c r="C33" s="85" t="s">
        <v>128</v>
      </c>
      <c r="D33" s="163" t="s">
        <v>168</v>
      </c>
      <c r="E33" s="45" t="s">
        <v>42</v>
      </c>
      <c r="F33" s="46">
        <v>2</v>
      </c>
      <c r="G33" s="40">
        <v>22.53</v>
      </c>
      <c r="H33" s="47">
        <f t="shared" si="10"/>
        <v>0.21</v>
      </c>
      <c r="I33" s="40">
        <f t="shared" si="0"/>
        <v>27.261300000000002</v>
      </c>
      <c r="J33" s="40">
        <f t="shared" si="1"/>
        <v>54.522600000000004</v>
      </c>
      <c r="K33" s="48">
        <v>95728</v>
      </c>
      <c r="L33" s="49" t="s">
        <v>15</v>
      </c>
      <c r="O33" s="19"/>
    </row>
    <row r="34" spans="3:15" ht="45" x14ac:dyDescent="0.2">
      <c r="C34" s="85" t="s">
        <v>129</v>
      </c>
      <c r="D34" s="163" t="s">
        <v>169</v>
      </c>
      <c r="E34" s="45" t="s">
        <v>42</v>
      </c>
      <c r="F34" s="46">
        <f>50*6+30+25+30+25+60*3</f>
        <v>590</v>
      </c>
      <c r="G34" s="40">
        <v>12.86</v>
      </c>
      <c r="H34" s="47">
        <f t="shared" si="10"/>
        <v>0.21</v>
      </c>
      <c r="I34" s="40">
        <f t="shared" ref="I34:I35" si="12">G34*(H34+1)</f>
        <v>15.560599999999999</v>
      </c>
      <c r="J34" s="40">
        <f t="shared" ref="J34" si="13">I34*F34</f>
        <v>9180.753999999999</v>
      </c>
      <c r="K34" s="48">
        <v>97668</v>
      </c>
      <c r="L34" s="49" t="s">
        <v>15</v>
      </c>
      <c r="O34" s="19"/>
    </row>
    <row r="35" spans="3:15" ht="45" x14ac:dyDescent="0.2">
      <c r="C35" s="85" t="s">
        <v>153</v>
      </c>
      <c r="D35" s="163" t="s">
        <v>170</v>
      </c>
      <c r="E35" s="45" t="s">
        <v>42</v>
      </c>
      <c r="F35" s="46">
        <f>2*6</f>
        <v>12</v>
      </c>
      <c r="G35" s="40">
        <v>9.06</v>
      </c>
      <c r="H35" s="47">
        <f t="shared" si="10"/>
        <v>0.21</v>
      </c>
      <c r="I35" s="40">
        <f t="shared" si="12"/>
        <v>10.9626</v>
      </c>
      <c r="J35" s="40">
        <f>I35*F35</f>
        <v>131.55119999999999</v>
      </c>
      <c r="K35" s="48">
        <v>97667</v>
      </c>
      <c r="L35" s="49" t="s">
        <v>15</v>
      </c>
      <c r="O35" s="19"/>
    </row>
    <row r="36" spans="3:15" ht="30" x14ac:dyDescent="0.2">
      <c r="C36" s="85" t="s">
        <v>130</v>
      </c>
      <c r="D36" s="163" t="str">
        <f>COMPOSIÇÕES!D110</f>
        <v>ELETRODUTO RÍGIDO SOLDÁVEL, PVC, DN 50 MM (1 1/2"), APARENTE - FORNECIMENTO E INSTALAÇÃO. AF_01/2026</v>
      </c>
      <c r="E36" s="45" t="s">
        <v>42</v>
      </c>
      <c r="F36" s="46">
        <f>12*6</f>
        <v>72</v>
      </c>
      <c r="G36" s="40">
        <f>COMPOSIÇÕES!H117</f>
        <v>31.507972000000002</v>
      </c>
      <c r="H36" s="47">
        <f t="shared" si="10"/>
        <v>0.21</v>
      </c>
      <c r="I36" s="40">
        <f t="shared" ref="I36" si="14">G36*(H36+1)</f>
        <v>38.124646120000001</v>
      </c>
      <c r="J36" s="40">
        <f>I36*F36</f>
        <v>2744.9745206400003</v>
      </c>
      <c r="K36" s="48" t="str">
        <f>COMPOSIÇÕES!C110</f>
        <v>CP- 11</v>
      </c>
      <c r="L36" s="49" t="s">
        <v>49</v>
      </c>
      <c r="O36" s="19"/>
    </row>
    <row r="37" spans="3:15" x14ac:dyDescent="0.2">
      <c r="C37" s="85" t="s">
        <v>131</v>
      </c>
      <c r="D37" s="169" t="s">
        <v>123</v>
      </c>
      <c r="E37" s="45" t="s">
        <v>42</v>
      </c>
      <c r="F37" s="9">
        <f>5+60+30+25+30+25+2*6</f>
        <v>187</v>
      </c>
      <c r="G37" s="40">
        <f>360/300</f>
        <v>1.2</v>
      </c>
      <c r="H37" s="113">
        <f>L7</f>
        <v>0.1535</v>
      </c>
      <c r="I37" s="22">
        <f t="shared" ref="I37" si="15">G37*(H37+1)</f>
        <v>1.3841999999999999</v>
      </c>
      <c r="J37" s="22">
        <f t="shared" ref="J37" si="16">I37*F37</f>
        <v>258.84539999999998</v>
      </c>
      <c r="K37" s="11" t="s">
        <v>124</v>
      </c>
      <c r="L37" s="12" t="s">
        <v>50</v>
      </c>
      <c r="O37" s="19"/>
    </row>
    <row r="38" spans="3:15" ht="30" x14ac:dyDescent="0.2">
      <c r="C38" s="85" t="s">
        <v>132</v>
      </c>
      <c r="D38" s="163" t="s">
        <v>171</v>
      </c>
      <c r="E38" s="8" t="s">
        <v>26</v>
      </c>
      <c r="F38" s="9">
        <f>0.3*0.3*0.6*1.3*(55+55+60+1.5*6+5)</f>
        <v>12.9168</v>
      </c>
      <c r="G38" s="22">
        <v>104.7</v>
      </c>
      <c r="H38" s="10">
        <f>$L$6</f>
        <v>0.21</v>
      </c>
      <c r="I38" s="22">
        <f>G38*(H38+1)</f>
        <v>126.687</v>
      </c>
      <c r="J38" s="22">
        <f>I38*F38</f>
        <v>1636.3906416</v>
      </c>
      <c r="K38" s="11">
        <v>93358</v>
      </c>
      <c r="L38" s="12" t="s">
        <v>15</v>
      </c>
      <c r="O38" s="19"/>
    </row>
    <row r="39" spans="3:15" x14ac:dyDescent="0.2">
      <c r="C39" s="85" t="s">
        <v>133</v>
      </c>
      <c r="D39" s="165" t="s">
        <v>45</v>
      </c>
      <c r="E39" s="8" t="s">
        <v>26</v>
      </c>
      <c r="F39" s="9">
        <f>0.3*0.3*0.6*(55+55+60+1.5*6+5)</f>
        <v>9.9359999999999999</v>
      </c>
      <c r="G39" s="22">
        <v>26.19</v>
      </c>
      <c r="H39" s="114">
        <f>$L$6</f>
        <v>0.21</v>
      </c>
      <c r="I39" s="22">
        <f>G39*(H39+1)</f>
        <v>31.689900000000002</v>
      </c>
      <c r="J39" s="22">
        <f>I39*F39</f>
        <v>314.8708464</v>
      </c>
      <c r="K39" s="11">
        <v>104737</v>
      </c>
      <c r="L39" s="12" t="s">
        <v>15</v>
      </c>
      <c r="O39" s="19"/>
    </row>
    <row r="40" spans="3:15" ht="30" x14ac:dyDescent="0.2">
      <c r="C40" s="85" t="s">
        <v>159</v>
      </c>
      <c r="D40" s="165" t="s">
        <v>134</v>
      </c>
      <c r="E40" s="8" t="s">
        <v>41</v>
      </c>
      <c r="F40" s="9">
        <v>18</v>
      </c>
      <c r="G40" s="22">
        <v>6</v>
      </c>
      <c r="H40" s="114">
        <f t="shared" ref="H40:H41" si="17">$L$6</f>
        <v>0.21</v>
      </c>
      <c r="I40" s="22">
        <f t="shared" ref="I40:I41" si="18">G40*(H40+1)</f>
        <v>7.26</v>
      </c>
      <c r="J40" s="22">
        <f t="shared" ref="J40:J41" si="19">I40*F40</f>
        <v>130.68</v>
      </c>
      <c r="K40" s="11">
        <v>11856</v>
      </c>
      <c r="L40" s="12" t="s">
        <v>15</v>
      </c>
      <c r="O40" s="19"/>
    </row>
    <row r="41" spans="3:15" ht="30" x14ac:dyDescent="0.2">
      <c r="C41" s="85" t="s">
        <v>172</v>
      </c>
      <c r="D41" s="165" t="s">
        <v>135</v>
      </c>
      <c r="E41" s="8" t="s">
        <v>41</v>
      </c>
      <c r="F41" s="9">
        <v>12</v>
      </c>
      <c r="G41" s="22">
        <v>9.2899999999999991</v>
      </c>
      <c r="H41" s="114">
        <f t="shared" si="17"/>
        <v>0.21</v>
      </c>
      <c r="I41" s="22">
        <f t="shared" si="18"/>
        <v>11.240899999999998</v>
      </c>
      <c r="J41" s="22">
        <f t="shared" si="19"/>
        <v>134.89079999999998</v>
      </c>
      <c r="K41" s="11">
        <v>11854</v>
      </c>
      <c r="L41" s="12" t="s">
        <v>15</v>
      </c>
      <c r="O41" s="19"/>
    </row>
    <row r="42" spans="3:15" ht="15.75" thickBot="1" x14ac:dyDescent="0.25">
      <c r="C42" s="127"/>
      <c r="D42" s="136"/>
      <c r="E42" s="128"/>
      <c r="F42" s="128"/>
      <c r="G42" s="128"/>
      <c r="H42" s="128"/>
      <c r="I42" s="128"/>
      <c r="J42" s="128"/>
      <c r="K42" s="128"/>
      <c r="L42" s="129"/>
    </row>
    <row r="43" spans="3:15" ht="16.5" thickTop="1" x14ac:dyDescent="0.2">
      <c r="C43" s="174">
        <v>3</v>
      </c>
      <c r="D43" s="115" t="s">
        <v>83</v>
      </c>
      <c r="E43" s="116"/>
      <c r="F43" s="117"/>
      <c r="G43" s="118"/>
      <c r="H43" s="119"/>
      <c r="I43" s="118" t="s">
        <v>8</v>
      </c>
      <c r="J43" s="118">
        <f>SUM(J44:J46)</f>
        <v>50130.698891833119</v>
      </c>
      <c r="K43" s="120"/>
      <c r="L43" s="121"/>
    </row>
    <row r="44" spans="3:15" ht="36.75" customHeight="1" x14ac:dyDescent="0.2">
      <c r="C44" s="85" t="s">
        <v>163</v>
      </c>
      <c r="D44" s="163" t="str">
        <f>COMPOSIÇÕES!D79</f>
        <v xml:space="preserve">REMOÇÃO DE CERCAS E MOURÕES, DE FORMA MANUAL, COM REAPROVEITAMENTO. H= 2,00 M (M) </v>
      </c>
      <c r="E44" s="45" t="s">
        <v>42</v>
      </c>
      <c r="F44" s="46">
        <v>92</v>
      </c>
      <c r="G44" s="40">
        <f>COMPOSIÇÕES!H84</f>
        <v>24.035346000000001</v>
      </c>
      <c r="H44" s="164">
        <f t="shared" ref="H44:H46" si="20">$L$6</f>
        <v>0.21</v>
      </c>
      <c r="I44" s="40">
        <f>G44*(H44+1)</f>
        <v>29.082768659999999</v>
      </c>
      <c r="J44" s="40">
        <f>I44*F44</f>
        <v>2675.6147167199997</v>
      </c>
      <c r="K44" s="48" t="str">
        <f>COMPOSIÇÕES!C79</f>
        <v>CP- 08</v>
      </c>
      <c r="L44" s="49" t="s">
        <v>49</v>
      </c>
      <c r="N44" s="50"/>
    </row>
    <row r="45" spans="3:15" ht="60" x14ac:dyDescent="0.2">
      <c r="C45" s="85" t="s">
        <v>164</v>
      </c>
      <c r="D45" s="163" t="str">
        <f>COMPOSIÇÕES!D86</f>
        <v>INSTALAÇÃO DE TELA DE ARAME GALVANIZADA, QUADRANGULAR / LOSANGULAR, FIO 2,77 MM (12 BWG), MALHA 5 X 5 CM, H = 2 M, COM MOURÕES DE CONCRETO RETO (EXCLUSIVE FORNECIMENTO DE TELA E MOURÕES) (M²)</v>
      </c>
      <c r="E45" s="45" t="s">
        <v>23</v>
      </c>
      <c r="F45" s="46">
        <f>92*2</f>
        <v>184</v>
      </c>
      <c r="G45" s="40">
        <f>COMPOSIÇÕES!H95</f>
        <v>29.786174749999997</v>
      </c>
      <c r="H45" s="164">
        <f t="shared" si="20"/>
        <v>0.21</v>
      </c>
      <c r="I45" s="40">
        <f>G45*(H45+1)</f>
        <v>36.041271447499994</v>
      </c>
      <c r="J45" s="40">
        <f>I45*F45</f>
        <v>6631.5939463399991</v>
      </c>
      <c r="K45" s="48" t="str">
        <f>COMPOSIÇÕES!C86</f>
        <v>CP-09</v>
      </c>
      <c r="L45" s="49" t="s">
        <v>49</v>
      </c>
      <c r="N45" s="50"/>
      <c r="O45" s="19"/>
    </row>
    <row r="46" spans="3:15" ht="60" x14ac:dyDescent="0.2">
      <c r="C46" s="85" t="s">
        <v>165</v>
      </c>
      <c r="D46" s="7" t="str">
        <f>COMPOSIÇÕES!D97</f>
        <v>ALAMBRADO, ESTRUTURADO POR TUBOS DE AÇO GALVANIZADO, (MONTANTES COM DIÂMETRO 2"), COM TELA DE ARAME GALVANIZADO, FIO 12 BWG E MALHA QUADRADA 5X5CM. H= 4,00 M. (M²)</v>
      </c>
      <c r="E46" s="8" t="s">
        <v>23</v>
      </c>
      <c r="F46" s="9">
        <f>4*92</f>
        <v>368</v>
      </c>
      <c r="G46" s="22">
        <f>COMPOSIÇÕES!H108</f>
        <v>91.680493686608699</v>
      </c>
      <c r="H46" s="114">
        <f t="shared" si="20"/>
        <v>0.21</v>
      </c>
      <c r="I46" s="22">
        <f>G46*(H46+1)</f>
        <v>110.93339736079652</v>
      </c>
      <c r="J46" s="22">
        <f>I46*F46</f>
        <v>40823.490228773117</v>
      </c>
      <c r="K46" s="11" t="str">
        <f>COMPOSIÇÕES!C97</f>
        <v>CP- 10</v>
      </c>
      <c r="L46" s="12" t="s">
        <v>49</v>
      </c>
    </row>
    <row r="47" spans="3:15" ht="15.75" thickBot="1" x14ac:dyDescent="0.25">
      <c r="C47" s="124"/>
      <c r="D47" s="137"/>
      <c r="E47" s="125"/>
      <c r="F47" s="125"/>
      <c r="G47" s="125"/>
      <c r="H47" s="125"/>
      <c r="I47" s="125"/>
      <c r="J47" s="125"/>
      <c r="K47" s="125"/>
      <c r="L47" s="126"/>
    </row>
    <row r="48" spans="3:15" ht="15.75" thickBot="1" x14ac:dyDescent="0.25">
      <c r="C48" s="106"/>
      <c r="D48" s="138"/>
      <c r="E48" s="107"/>
      <c r="F48" s="107"/>
      <c r="G48" s="107"/>
      <c r="H48" s="107"/>
      <c r="I48" s="107"/>
      <c r="J48" s="107"/>
      <c r="K48" s="107"/>
      <c r="L48" s="108"/>
    </row>
    <row r="49" spans="3:13" ht="30" customHeight="1" thickBot="1" x14ac:dyDescent="0.25">
      <c r="C49" s="185" t="s">
        <v>25</v>
      </c>
      <c r="D49" s="186"/>
      <c r="E49" s="186"/>
      <c r="F49" s="186"/>
      <c r="G49" s="186"/>
      <c r="H49" s="186"/>
      <c r="I49" s="186"/>
      <c r="J49" s="187">
        <f>J17+J13+J43</f>
        <v>215022.1340598971</v>
      </c>
      <c r="K49" s="187"/>
      <c r="L49" s="188"/>
    </row>
    <row r="50" spans="3:13" ht="15.75" thickBot="1" x14ac:dyDescent="0.25">
      <c r="C50" s="103"/>
      <c r="D50" s="139"/>
      <c r="E50" s="104"/>
      <c r="F50" s="104"/>
      <c r="G50" s="104"/>
      <c r="H50" s="104"/>
      <c r="I50" s="104"/>
      <c r="J50" s="104"/>
      <c r="K50" s="104"/>
      <c r="L50" s="105"/>
    </row>
    <row r="51" spans="3:13" x14ac:dyDescent="0.2">
      <c r="C51" s="89"/>
      <c r="D51" s="61"/>
      <c r="E51" s="89"/>
      <c r="F51" s="89"/>
      <c r="G51" s="89"/>
      <c r="H51" s="89"/>
      <c r="I51" s="89"/>
      <c r="J51" s="89"/>
      <c r="K51" s="89"/>
      <c r="L51" s="89"/>
    </row>
    <row r="52" spans="3:13" x14ac:dyDescent="0.2">
      <c r="C52" s="6" t="s">
        <v>24</v>
      </c>
      <c r="D52" s="62">
        <f ca="1">TODAY()</f>
        <v>46101</v>
      </c>
      <c r="E52" s="89"/>
      <c r="F52" s="89"/>
      <c r="G52" s="89"/>
      <c r="H52" s="89"/>
      <c r="I52" s="89"/>
      <c r="J52" s="89"/>
      <c r="K52" s="89"/>
      <c r="L52" s="89"/>
    </row>
    <row r="53" spans="3:13" x14ac:dyDescent="0.2">
      <c r="D53" s="62"/>
      <c r="E53" s="183"/>
      <c r="F53" s="183"/>
      <c r="G53" s="183"/>
      <c r="H53" s="183"/>
      <c r="I53" s="173"/>
      <c r="J53" s="183"/>
      <c r="K53" s="183"/>
      <c r="L53" s="183"/>
    </row>
    <row r="54" spans="3:13" x14ac:dyDescent="0.2">
      <c r="C54" s="89"/>
      <c r="D54" s="61"/>
      <c r="E54" s="183"/>
      <c r="F54" s="183"/>
      <c r="G54" s="183"/>
      <c r="H54" s="183"/>
      <c r="I54" s="173"/>
      <c r="J54" s="183"/>
      <c r="K54" s="183"/>
      <c r="L54" s="183"/>
    </row>
    <row r="55" spans="3:13" x14ac:dyDescent="0.2">
      <c r="E55" s="183"/>
      <c r="F55" s="183"/>
      <c r="G55" s="183"/>
      <c r="H55" s="183"/>
      <c r="J55" s="183"/>
      <c r="K55" s="183"/>
      <c r="L55" s="183"/>
      <c r="M55" s="73"/>
    </row>
    <row r="56" spans="3:13" x14ac:dyDescent="0.2">
      <c r="E56" s="183"/>
      <c r="F56" s="183"/>
      <c r="G56" s="183"/>
      <c r="H56" s="183"/>
      <c r="J56" s="183"/>
      <c r="K56" s="183"/>
      <c r="L56" s="183"/>
      <c r="M56" s="73"/>
    </row>
    <row r="57" spans="3:13" x14ac:dyDescent="0.2">
      <c r="C57" s="101"/>
      <c r="E57" s="183"/>
      <c r="F57" s="183"/>
      <c r="G57" s="183"/>
      <c r="H57" s="183"/>
      <c r="I57" s="122"/>
      <c r="J57" s="183"/>
      <c r="K57" s="183"/>
      <c r="L57" s="183"/>
      <c r="M57" s="73"/>
    </row>
    <row r="58" spans="3:13" x14ac:dyDescent="0.2">
      <c r="D58" s="178"/>
      <c r="E58" s="184"/>
      <c r="F58" s="184"/>
      <c r="G58" s="184"/>
      <c r="H58" s="184"/>
      <c r="I58" s="122"/>
      <c r="J58" s="184"/>
      <c r="K58" s="184"/>
      <c r="L58" s="184"/>
      <c r="M58" s="74"/>
    </row>
    <row r="59" spans="3:13" x14ac:dyDescent="0.2">
      <c r="C59" s="101"/>
      <c r="E59" s="112" t="s">
        <v>35</v>
      </c>
      <c r="F59" s="112"/>
      <c r="G59" s="112"/>
      <c r="H59" s="112"/>
      <c r="I59" s="122"/>
      <c r="J59" s="112" t="s">
        <v>39</v>
      </c>
      <c r="K59" s="112"/>
      <c r="L59" s="112"/>
      <c r="M59" s="75"/>
    </row>
    <row r="60" spans="3:13" x14ac:dyDescent="0.2">
      <c r="E60" s="37" t="s">
        <v>37</v>
      </c>
      <c r="F60" s="37"/>
      <c r="G60" s="37"/>
      <c r="H60" s="37"/>
      <c r="I60" s="53"/>
      <c r="J60" s="37" t="s">
        <v>161</v>
      </c>
      <c r="K60" s="37"/>
      <c r="L60" s="37"/>
      <c r="M60" s="75"/>
    </row>
    <row r="61" spans="3:13" x14ac:dyDescent="0.2">
      <c r="E61" s="37" t="s">
        <v>36</v>
      </c>
      <c r="F61" s="37"/>
      <c r="G61" s="37"/>
      <c r="H61" s="37"/>
      <c r="I61" s="53"/>
      <c r="J61" s="37" t="s">
        <v>162</v>
      </c>
      <c r="K61" s="37"/>
      <c r="L61" s="37"/>
      <c r="M61" s="75"/>
    </row>
    <row r="62" spans="3:13" x14ac:dyDescent="0.2">
      <c r="E62" s="37" t="s">
        <v>38</v>
      </c>
      <c r="F62" s="37"/>
      <c r="G62" s="37"/>
      <c r="H62" s="37"/>
      <c r="I62" s="53"/>
      <c r="J62" s="172"/>
      <c r="K62" s="172"/>
      <c r="L62" s="172"/>
      <c r="M62" s="75"/>
    </row>
    <row r="63" spans="3:13" x14ac:dyDescent="0.2">
      <c r="C63" s="101"/>
      <c r="E63" s="101"/>
      <c r="F63" s="123"/>
      <c r="G63" s="122"/>
      <c r="H63" s="101"/>
      <c r="I63" s="122"/>
      <c r="J63" s="122"/>
      <c r="K63" s="101"/>
      <c r="L63" s="101"/>
    </row>
    <row r="64" spans="3:13" x14ac:dyDescent="0.2">
      <c r="E64" s="101"/>
      <c r="F64" s="123"/>
      <c r="G64" s="122"/>
      <c r="H64" s="101"/>
      <c r="I64" s="122"/>
      <c r="J64" s="122"/>
      <c r="K64" s="101"/>
      <c r="L64" s="101"/>
    </row>
    <row r="68" spans="3:12" x14ac:dyDescent="0.2">
      <c r="C68" s="101"/>
      <c r="E68" s="101"/>
      <c r="F68" s="123"/>
      <c r="G68" s="122"/>
      <c r="H68" s="101"/>
      <c r="I68" s="122"/>
      <c r="J68" s="122"/>
      <c r="K68" s="101"/>
      <c r="L68" s="101"/>
    </row>
    <row r="69" spans="3:12" x14ac:dyDescent="0.2">
      <c r="C69" s="101"/>
      <c r="E69" s="101"/>
      <c r="F69" s="123"/>
      <c r="G69" s="122"/>
      <c r="H69" s="101"/>
      <c r="I69" s="122"/>
      <c r="J69" s="122"/>
      <c r="K69" s="101"/>
      <c r="L69" s="101"/>
    </row>
    <row r="71" spans="3:12" x14ac:dyDescent="0.2">
      <c r="C71" s="101"/>
      <c r="E71" s="101"/>
      <c r="F71" s="123"/>
      <c r="G71" s="122"/>
      <c r="H71" s="101"/>
      <c r="I71" s="122"/>
      <c r="J71" s="122"/>
      <c r="K71" s="101"/>
      <c r="L71" s="101"/>
    </row>
  </sheetData>
  <mergeCells count="15">
    <mergeCell ref="E53:H58"/>
    <mergeCell ref="J53:L58"/>
    <mergeCell ref="C49:I49"/>
    <mergeCell ref="J49:L49"/>
    <mergeCell ref="C2:L2"/>
    <mergeCell ref="C3:L3"/>
    <mergeCell ref="C9:J9"/>
    <mergeCell ref="C10:J10"/>
    <mergeCell ref="C7:J8"/>
    <mergeCell ref="C5:D5"/>
    <mergeCell ref="C6:J6"/>
    <mergeCell ref="E4:L4"/>
    <mergeCell ref="E5:L5"/>
    <mergeCell ref="L9:L10"/>
    <mergeCell ref="K9:K10"/>
  </mergeCells>
  <phoneticPr fontId="9" type="noConversion"/>
  <conditionalFormatting sqref="L12:L15 L44:L45 L17:L30 L33:L36">
    <cfRule type="containsErrors" dxfId="17" priority="406">
      <formula>ISERROR(L12)</formula>
    </cfRule>
    <cfRule type="containsText" dxfId="16" priority="407" operator="containsText" text="INVÁLIDO">
      <formula>NOT(ISERROR(SEARCH("INVÁLIDO",L12)))</formula>
    </cfRule>
    <cfRule type="containsText" dxfId="15" priority="408" operator="containsText" text="SINAPI-I">
      <formula>NOT(ISERROR(SEARCH("SINAPI-I",L12)))</formula>
    </cfRule>
  </conditionalFormatting>
  <conditionalFormatting sqref="L43">
    <cfRule type="containsErrors" dxfId="14" priority="262">
      <formula>ISERROR(L43)</formula>
    </cfRule>
    <cfRule type="containsText" dxfId="13" priority="263" operator="containsText" text="INVÁLIDO">
      <formula>NOT(ISERROR(SEARCH("INVÁLIDO",L43)))</formula>
    </cfRule>
    <cfRule type="containsText" dxfId="12" priority="264" operator="containsText" text="SINAPI-I">
      <formula>NOT(ISERROR(SEARCH("SINAPI-I",L43)))</formula>
    </cfRule>
  </conditionalFormatting>
  <conditionalFormatting sqref="L37">
    <cfRule type="containsErrors" dxfId="11" priority="127">
      <formula>ISERROR(L37)</formula>
    </cfRule>
    <cfRule type="containsText" dxfId="10" priority="128" operator="containsText" text="INVÁLIDO">
      <formula>NOT(ISERROR(SEARCH("INVÁLIDO",L37)))</formula>
    </cfRule>
    <cfRule type="containsText" dxfId="9" priority="129" operator="containsText" text="SINAPI-I">
      <formula>NOT(ISERROR(SEARCH("SINAPI-I",L37)))</formula>
    </cfRule>
  </conditionalFormatting>
  <conditionalFormatting sqref="L31:L32">
    <cfRule type="containsErrors" dxfId="8" priority="19">
      <formula>ISERROR(L31)</formula>
    </cfRule>
    <cfRule type="containsText" dxfId="7" priority="20" operator="containsText" text="INVÁLIDO">
      <formula>NOT(ISERROR(SEARCH("INVÁLIDO",L31)))</formula>
    </cfRule>
    <cfRule type="containsText" dxfId="6" priority="21" operator="containsText" text="SINAPI-I">
      <formula>NOT(ISERROR(SEARCH("SINAPI-I",L31)))</formula>
    </cfRule>
  </conditionalFormatting>
  <conditionalFormatting sqref="L38:L41">
    <cfRule type="containsErrors" dxfId="5" priority="7">
      <formula>ISERROR(L38)</formula>
    </cfRule>
    <cfRule type="containsText" dxfId="4" priority="8" operator="containsText" text="INVÁLIDO">
      <formula>NOT(ISERROR(SEARCH("INVÁLIDO",L38)))</formula>
    </cfRule>
    <cfRule type="containsText" dxfId="3" priority="9" operator="containsText" text="SINAPI-I">
      <formula>NOT(ISERROR(SEARCH("SINAPI-I",L38)))</formula>
    </cfRule>
  </conditionalFormatting>
  <conditionalFormatting sqref="L46">
    <cfRule type="containsErrors" dxfId="2" priority="1">
      <formula>ISERROR(L46)</formula>
    </cfRule>
    <cfRule type="containsText" dxfId="1" priority="2" operator="containsText" text="INVÁLIDO">
      <formula>NOT(ISERROR(SEARCH("INVÁLIDO",L46)))</formula>
    </cfRule>
    <cfRule type="containsText" dxfId="0" priority="3" operator="containsText" text="SINAPI-I">
      <formula>NOT(ISERROR(SEARCH("SINAPI-I",L46)))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7" fitToHeight="8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2:J117"/>
  <sheetViews>
    <sheetView topLeftCell="C13" workbookViewId="0">
      <selection activeCell="I1" sqref="I1:J1048576"/>
    </sheetView>
  </sheetViews>
  <sheetFormatPr defaultColWidth="9.140625" defaultRowHeight="12.75" x14ac:dyDescent="0.2"/>
  <cols>
    <col min="1" max="2" width="9.140625" style="68"/>
    <col min="3" max="3" width="23" style="152" customWidth="1"/>
    <col min="4" max="4" width="138.42578125" style="146" customWidth="1"/>
    <col min="5" max="5" width="6.140625" style="65" customWidth="1"/>
    <col min="6" max="6" width="14.42578125" style="69" bestFit="1" customWidth="1"/>
    <col min="7" max="7" width="21.85546875" style="140" bestFit="1" customWidth="1"/>
    <col min="8" max="8" width="14.28515625" style="140" bestFit="1" customWidth="1"/>
    <col min="9" max="9" width="21.42578125" style="68" hidden="1" customWidth="1"/>
    <col min="10" max="10" width="12.140625" style="68" hidden="1" customWidth="1"/>
    <col min="11" max="16384" width="9.140625" style="68"/>
  </cols>
  <sheetData>
    <row r="2" spans="3:8" ht="18" x14ac:dyDescent="0.25">
      <c r="C2" s="224" t="s">
        <v>115</v>
      </c>
      <c r="D2" s="224"/>
      <c r="E2" s="224"/>
      <c r="F2" s="224"/>
      <c r="G2" s="224"/>
      <c r="H2" s="224"/>
    </row>
    <row r="3" spans="3:8" ht="18" x14ac:dyDescent="0.25">
      <c r="C3" s="142" t="s">
        <v>112</v>
      </c>
      <c r="D3" s="158">
        <v>46054</v>
      </c>
      <c r="E3" s="141"/>
      <c r="F3" s="141"/>
      <c r="G3" s="141"/>
      <c r="H3" s="141"/>
    </row>
    <row r="4" spans="3:8" ht="18" x14ac:dyDescent="0.25">
      <c r="C4" s="142" t="s">
        <v>113</v>
      </c>
      <c r="D4" s="159" t="s">
        <v>114</v>
      </c>
      <c r="E4" s="141"/>
      <c r="F4" s="141"/>
      <c r="G4" s="141"/>
      <c r="H4" s="141"/>
    </row>
    <row r="6" spans="3:8" ht="30" customHeight="1" x14ac:dyDescent="0.2">
      <c r="C6" s="155" t="s">
        <v>78</v>
      </c>
      <c r="D6" s="225" t="s">
        <v>116</v>
      </c>
      <c r="E6" s="225"/>
      <c r="F6" s="225"/>
      <c r="G6" s="225"/>
      <c r="H6" s="225"/>
    </row>
    <row r="7" spans="3:8" ht="25.5" x14ac:dyDescent="0.2">
      <c r="C7" s="148" t="s">
        <v>111</v>
      </c>
      <c r="D7" s="96" t="s">
        <v>69</v>
      </c>
      <c r="E7" s="51" t="s">
        <v>2</v>
      </c>
      <c r="F7" s="51" t="s">
        <v>55</v>
      </c>
      <c r="G7" s="72" t="s">
        <v>51</v>
      </c>
      <c r="H7" s="72" t="s">
        <v>57</v>
      </c>
    </row>
    <row r="8" spans="3:8" x14ac:dyDescent="0.2">
      <c r="C8" s="148" t="s">
        <v>50</v>
      </c>
      <c r="D8" s="96" t="s">
        <v>107</v>
      </c>
      <c r="E8" s="51" t="s">
        <v>41</v>
      </c>
      <c r="F8" s="52">
        <v>1</v>
      </c>
      <c r="G8" s="70">
        <v>2090</v>
      </c>
      <c r="H8" s="70">
        <f>F8*G8</f>
        <v>2090</v>
      </c>
    </row>
    <row r="9" spans="3:8" x14ac:dyDescent="0.2">
      <c r="C9" s="148">
        <v>3777</v>
      </c>
      <c r="D9" s="96" t="s">
        <v>109</v>
      </c>
      <c r="E9" s="51" t="s">
        <v>110</v>
      </c>
      <c r="F9" s="52">
        <f>(0.48*2+0.35*2)*1.8</f>
        <v>2.988</v>
      </c>
      <c r="G9" s="70">
        <v>1.95</v>
      </c>
      <c r="H9" s="70">
        <f>F9*G9</f>
        <v>5.8266</v>
      </c>
    </row>
    <row r="10" spans="3:8" ht="25.5" x14ac:dyDescent="0.2">
      <c r="C10" s="149">
        <v>94965</v>
      </c>
      <c r="D10" s="96" t="s">
        <v>108</v>
      </c>
      <c r="E10" s="51" t="s">
        <v>26</v>
      </c>
      <c r="F10" s="52">
        <f>1*0.8*1</f>
        <v>0.8</v>
      </c>
      <c r="G10" s="70">
        <v>604.39</v>
      </c>
      <c r="H10" s="70">
        <f>F10*G10</f>
        <v>483.512</v>
      </c>
    </row>
    <row r="11" spans="3:8" x14ac:dyDescent="0.2">
      <c r="C11" s="149">
        <v>88309</v>
      </c>
      <c r="D11" s="96" t="s">
        <v>53</v>
      </c>
      <c r="E11" s="51" t="s">
        <v>43</v>
      </c>
      <c r="F11" s="52">
        <v>3</v>
      </c>
      <c r="G11" s="70">
        <v>36.22</v>
      </c>
      <c r="H11" s="70">
        <f t="shared" ref="H11:H12" si="0">F11*G11</f>
        <v>108.66</v>
      </c>
    </row>
    <row r="12" spans="3:8" x14ac:dyDescent="0.2">
      <c r="C12" s="149">
        <v>88316</v>
      </c>
      <c r="D12" s="96" t="s">
        <v>54</v>
      </c>
      <c r="E12" s="51" t="s">
        <v>43</v>
      </c>
      <c r="F12" s="52">
        <v>1.5</v>
      </c>
      <c r="G12" s="70">
        <v>26.47</v>
      </c>
      <c r="H12" s="70">
        <f t="shared" si="0"/>
        <v>39.704999999999998</v>
      </c>
    </row>
    <row r="13" spans="3:8" x14ac:dyDescent="0.2">
      <c r="C13" s="150">
        <v>88264</v>
      </c>
      <c r="D13" s="96" t="s">
        <v>59</v>
      </c>
      <c r="E13" s="51" t="s">
        <v>43</v>
      </c>
      <c r="F13" s="52">
        <v>3</v>
      </c>
      <c r="G13" s="70">
        <v>45.65</v>
      </c>
      <c r="H13" s="70">
        <f>F13*G13</f>
        <v>136.94999999999999</v>
      </c>
    </row>
    <row r="14" spans="3:8" x14ac:dyDescent="0.2">
      <c r="C14" s="150">
        <v>88247</v>
      </c>
      <c r="D14" s="96" t="s">
        <v>60</v>
      </c>
      <c r="E14" s="51" t="s">
        <v>43</v>
      </c>
      <c r="F14" s="52">
        <v>1.5</v>
      </c>
      <c r="G14" s="70">
        <v>29.03</v>
      </c>
      <c r="H14" s="70">
        <f t="shared" ref="H14:H18" si="1">F14*G14</f>
        <v>43.545000000000002</v>
      </c>
    </row>
    <row r="15" spans="3:8" ht="25.5" x14ac:dyDescent="0.2">
      <c r="C15" s="149">
        <v>5930</v>
      </c>
      <c r="D15" s="96" t="s">
        <v>79</v>
      </c>
      <c r="E15" s="51" t="s">
        <v>81</v>
      </c>
      <c r="F15" s="52">
        <v>1</v>
      </c>
      <c r="G15" s="70">
        <v>85.86</v>
      </c>
      <c r="H15" s="70">
        <f t="shared" si="1"/>
        <v>85.86</v>
      </c>
    </row>
    <row r="16" spans="3:8" ht="25.5" x14ac:dyDescent="0.2">
      <c r="C16" s="149">
        <v>5928</v>
      </c>
      <c r="D16" s="96" t="s">
        <v>80</v>
      </c>
      <c r="E16" s="51" t="s">
        <v>82</v>
      </c>
      <c r="F16" s="52">
        <v>1</v>
      </c>
      <c r="G16" s="70">
        <v>293.70999999999998</v>
      </c>
      <c r="H16" s="70">
        <f t="shared" si="1"/>
        <v>293.70999999999998</v>
      </c>
    </row>
    <row r="17" spans="3:10" x14ac:dyDescent="0.2">
      <c r="C17" s="151" t="s">
        <v>88</v>
      </c>
      <c r="D17" s="96" t="s">
        <v>87</v>
      </c>
      <c r="E17" s="51" t="s">
        <v>86</v>
      </c>
      <c r="F17" s="52">
        <f>1/6</f>
        <v>0.16666666666666666</v>
      </c>
      <c r="G17" s="70">
        <v>3045.21</v>
      </c>
      <c r="H17" s="70">
        <f t="shared" si="1"/>
        <v>507.53499999999997</v>
      </c>
    </row>
    <row r="18" spans="3:10" x14ac:dyDescent="0.2">
      <c r="C18" s="149">
        <v>96973</v>
      </c>
      <c r="D18" s="96" t="s">
        <v>92</v>
      </c>
      <c r="E18" s="51" t="s">
        <v>42</v>
      </c>
      <c r="F18" s="52">
        <v>12</v>
      </c>
      <c r="G18" s="70">
        <f>85.89-J18</f>
        <v>67.975391999999999</v>
      </c>
      <c r="H18" s="70">
        <f t="shared" si="1"/>
        <v>815.70470399999999</v>
      </c>
      <c r="I18" s="68">
        <v>0.24840000000000001</v>
      </c>
      <c r="J18" s="94">
        <f>I18*G12+I18*G13</f>
        <v>17.914608000000001</v>
      </c>
    </row>
    <row r="19" spans="3:10" x14ac:dyDescent="0.2">
      <c r="C19" s="226"/>
      <c r="D19" s="227"/>
      <c r="E19" s="227"/>
      <c r="F19" s="227"/>
      <c r="G19" s="227"/>
      <c r="H19" s="228"/>
    </row>
    <row r="20" spans="3:10" x14ac:dyDescent="0.2">
      <c r="C20" s="221" t="s">
        <v>34</v>
      </c>
      <c r="D20" s="222"/>
      <c r="E20" s="222"/>
      <c r="F20" s="222"/>
      <c r="G20" s="223"/>
      <c r="H20" s="88">
        <f>SUM(H8:H18)</f>
        <v>4611.008304</v>
      </c>
    </row>
    <row r="21" spans="3:10" x14ac:dyDescent="0.2">
      <c r="C21" s="143"/>
      <c r="D21" s="160"/>
      <c r="E21" s="100"/>
      <c r="F21" s="100"/>
      <c r="G21" s="100"/>
      <c r="H21" s="92"/>
    </row>
    <row r="22" spans="3:10" x14ac:dyDescent="0.2">
      <c r="C22" s="155" t="s">
        <v>65</v>
      </c>
      <c r="D22" s="225" t="s">
        <v>117</v>
      </c>
      <c r="E22" s="225"/>
      <c r="F22" s="225"/>
      <c r="G22" s="225"/>
      <c r="H22" s="225"/>
    </row>
    <row r="23" spans="3:10" ht="25.5" x14ac:dyDescent="0.2">
      <c r="C23" s="148" t="s">
        <v>111</v>
      </c>
      <c r="D23" s="96" t="s">
        <v>69</v>
      </c>
      <c r="E23" s="67" t="s">
        <v>2</v>
      </c>
      <c r="F23" s="51" t="s">
        <v>55</v>
      </c>
      <c r="G23" s="72" t="s">
        <v>51</v>
      </c>
      <c r="H23" s="72" t="s">
        <v>57</v>
      </c>
      <c r="I23" s="64"/>
    </row>
    <row r="24" spans="3:10" ht="25.5" x14ac:dyDescent="0.2">
      <c r="C24" s="149">
        <v>102355</v>
      </c>
      <c r="D24" s="96" t="s">
        <v>84</v>
      </c>
      <c r="E24" s="51" t="s">
        <v>26</v>
      </c>
      <c r="F24" s="52">
        <f>1.8*0.8*1</f>
        <v>1.4400000000000002</v>
      </c>
      <c r="G24" s="70">
        <v>203.14</v>
      </c>
      <c r="H24" s="70">
        <f t="shared" ref="H24:H26" si="2">F24*G24</f>
        <v>292.52160000000003</v>
      </c>
      <c r="I24" s="65"/>
    </row>
    <row r="25" spans="3:10" ht="25.5" x14ac:dyDescent="0.2">
      <c r="C25" s="149">
        <v>102360</v>
      </c>
      <c r="D25" s="96" t="s">
        <v>85</v>
      </c>
      <c r="E25" s="51" t="s">
        <v>26</v>
      </c>
      <c r="F25" s="52">
        <f>F24</f>
        <v>1.4400000000000002</v>
      </c>
      <c r="G25" s="70">
        <v>29.15</v>
      </c>
      <c r="H25" s="70">
        <f t="shared" si="2"/>
        <v>41.976000000000006</v>
      </c>
      <c r="I25" s="65"/>
    </row>
    <row r="26" spans="3:10" x14ac:dyDescent="0.2">
      <c r="C26" s="151" t="s">
        <v>88</v>
      </c>
      <c r="D26" s="96" t="s">
        <v>87</v>
      </c>
      <c r="E26" s="51" t="s">
        <v>86</v>
      </c>
      <c r="F26" s="52">
        <f>1/3</f>
        <v>0.33333333333333331</v>
      </c>
      <c r="G26" s="70">
        <v>3045.21</v>
      </c>
      <c r="H26" s="70">
        <f t="shared" si="2"/>
        <v>1015.0699999999999</v>
      </c>
      <c r="I26" s="65"/>
    </row>
    <row r="27" spans="3:10" x14ac:dyDescent="0.2">
      <c r="C27" s="151">
        <v>88263</v>
      </c>
      <c r="D27" s="96" t="s">
        <v>89</v>
      </c>
      <c r="E27" s="51" t="s">
        <v>43</v>
      </c>
      <c r="F27" s="52">
        <v>4</v>
      </c>
      <c r="G27" s="70">
        <v>27.74</v>
      </c>
      <c r="H27" s="70">
        <f t="shared" ref="H27:H28" si="3">F27*G27</f>
        <v>110.96</v>
      </c>
      <c r="I27" s="65"/>
    </row>
    <row r="28" spans="3:10" x14ac:dyDescent="0.2">
      <c r="C28" s="149">
        <v>104737</v>
      </c>
      <c r="D28" s="96" t="s">
        <v>90</v>
      </c>
      <c r="E28" s="51" t="s">
        <v>26</v>
      </c>
      <c r="F28" s="52">
        <f>0.8*0.8*1*1.3</f>
        <v>0.83200000000000018</v>
      </c>
      <c r="G28" s="70">
        <v>26.19</v>
      </c>
      <c r="H28" s="70">
        <f t="shared" si="3"/>
        <v>21.790080000000007</v>
      </c>
      <c r="I28" s="65"/>
    </row>
    <row r="29" spans="3:10" x14ac:dyDescent="0.2">
      <c r="C29" s="226"/>
      <c r="D29" s="227"/>
      <c r="E29" s="227"/>
      <c r="F29" s="227"/>
      <c r="G29" s="227"/>
      <c r="H29" s="228"/>
      <c r="I29" s="65"/>
    </row>
    <row r="30" spans="3:10" x14ac:dyDescent="0.2">
      <c r="C30" s="221" t="s">
        <v>34</v>
      </c>
      <c r="D30" s="222"/>
      <c r="E30" s="222"/>
      <c r="F30" s="222"/>
      <c r="G30" s="223"/>
      <c r="H30" s="88">
        <f>SUM(H24:H28)</f>
        <v>1482.3176799999999</v>
      </c>
      <c r="I30" s="94"/>
      <c r="J30" s="94"/>
    </row>
    <row r="31" spans="3:10" x14ac:dyDescent="0.2">
      <c r="C31" s="143"/>
      <c r="D31" s="160"/>
      <c r="E31" s="100"/>
      <c r="F31" s="100"/>
      <c r="G31" s="100"/>
      <c r="H31" s="92"/>
    </row>
    <row r="32" spans="3:10" x14ac:dyDescent="0.2">
      <c r="C32" s="155" t="s">
        <v>64</v>
      </c>
      <c r="D32" s="225" t="s">
        <v>118</v>
      </c>
      <c r="E32" s="225"/>
      <c r="F32" s="225"/>
      <c r="G32" s="225"/>
      <c r="H32" s="225"/>
    </row>
    <row r="33" spans="3:9" ht="25.5" x14ac:dyDescent="0.2">
      <c r="C33" s="148" t="s">
        <v>111</v>
      </c>
      <c r="D33" s="96" t="s">
        <v>69</v>
      </c>
      <c r="E33" s="66" t="s">
        <v>2</v>
      </c>
      <c r="F33" s="51" t="s">
        <v>55</v>
      </c>
      <c r="G33" s="72" t="s">
        <v>51</v>
      </c>
      <c r="H33" s="72" t="s">
        <v>57</v>
      </c>
    </row>
    <row r="34" spans="3:9" ht="25.5" x14ac:dyDescent="0.2">
      <c r="C34" s="149">
        <v>102329</v>
      </c>
      <c r="D34" s="96" t="s">
        <v>91</v>
      </c>
      <c r="E34" s="51" t="s">
        <v>26</v>
      </c>
      <c r="F34" s="52">
        <f>1.8*0.8*1</f>
        <v>1.4400000000000002</v>
      </c>
      <c r="G34" s="70">
        <v>10.47</v>
      </c>
      <c r="H34" s="70">
        <f t="shared" ref="H34:H37" si="4">F34*G34</f>
        <v>15.076800000000002</v>
      </c>
    </row>
    <row r="35" spans="3:9" x14ac:dyDescent="0.2">
      <c r="C35" s="149">
        <v>104737</v>
      </c>
      <c r="D35" s="96" t="s">
        <v>90</v>
      </c>
      <c r="E35" s="51" t="s">
        <v>26</v>
      </c>
      <c r="F35" s="52">
        <f>0.8*0.8*1*1.3</f>
        <v>0.83200000000000018</v>
      </c>
      <c r="G35" s="70">
        <v>26.19</v>
      </c>
      <c r="H35" s="70">
        <f t="shared" si="4"/>
        <v>21.790080000000007</v>
      </c>
    </row>
    <row r="36" spans="3:9" x14ac:dyDescent="0.2">
      <c r="C36" s="151" t="s">
        <v>88</v>
      </c>
      <c r="D36" s="96" t="s">
        <v>87</v>
      </c>
      <c r="E36" s="51" t="s">
        <v>86</v>
      </c>
      <c r="F36" s="52">
        <f>1/6</f>
        <v>0.16666666666666666</v>
      </c>
      <c r="G36" s="70">
        <v>3045.21</v>
      </c>
      <c r="H36" s="70">
        <f t="shared" si="4"/>
        <v>507.53499999999997</v>
      </c>
    </row>
    <row r="37" spans="3:9" x14ac:dyDescent="0.2">
      <c r="C37" s="149">
        <v>88316</v>
      </c>
      <c r="D37" s="96" t="s">
        <v>54</v>
      </c>
      <c r="E37" s="51" t="s">
        <v>43</v>
      </c>
      <c r="F37" s="52">
        <v>4</v>
      </c>
      <c r="G37" s="70">
        <v>26.47</v>
      </c>
      <c r="H37" s="70">
        <f t="shared" si="4"/>
        <v>105.88</v>
      </c>
    </row>
    <row r="38" spans="3:9" x14ac:dyDescent="0.2">
      <c r="C38" s="226"/>
      <c r="D38" s="227"/>
      <c r="E38" s="227"/>
      <c r="F38" s="227"/>
      <c r="G38" s="227"/>
      <c r="H38" s="228"/>
    </row>
    <row r="39" spans="3:9" x14ac:dyDescent="0.2">
      <c r="C39" s="221" t="s">
        <v>34</v>
      </c>
      <c r="D39" s="222"/>
      <c r="E39" s="222"/>
      <c r="F39" s="222"/>
      <c r="G39" s="223"/>
      <c r="H39" s="88">
        <f>SUM(H34:H37)</f>
        <v>650.28188</v>
      </c>
      <c r="I39" s="94"/>
    </row>
    <row r="40" spans="3:9" x14ac:dyDescent="0.2">
      <c r="C40" s="143"/>
      <c r="D40" s="160"/>
      <c r="E40" s="100"/>
      <c r="F40" s="100"/>
      <c r="G40" s="100"/>
      <c r="H40" s="92"/>
      <c r="I40" s="94"/>
    </row>
    <row r="41" spans="3:9" x14ac:dyDescent="0.2">
      <c r="C41" s="156" t="s">
        <v>63</v>
      </c>
      <c r="D41" s="225" t="s">
        <v>119</v>
      </c>
      <c r="E41" s="225"/>
      <c r="F41" s="225"/>
      <c r="G41" s="225"/>
      <c r="H41" s="225"/>
    </row>
    <row r="42" spans="3:9" ht="25.5" x14ac:dyDescent="0.2">
      <c r="C42" s="148" t="s">
        <v>111</v>
      </c>
      <c r="D42" s="96" t="s">
        <v>69</v>
      </c>
      <c r="E42" s="66" t="s">
        <v>2</v>
      </c>
      <c r="F42" s="51" t="s">
        <v>55</v>
      </c>
      <c r="G42" s="72" t="s">
        <v>51</v>
      </c>
      <c r="H42" s="72" t="s">
        <v>57</v>
      </c>
    </row>
    <row r="43" spans="3:9" x14ac:dyDescent="0.2">
      <c r="C43" s="150">
        <v>88264</v>
      </c>
      <c r="D43" s="144" t="s">
        <v>59</v>
      </c>
      <c r="E43" s="67" t="s">
        <v>52</v>
      </c>
      <c r="F43" s="95">
        <v>0.3</v>
      </c>
      <c r="G43" s="70">
        <v>45.65</v>
      </c>
      <c r="H43" s="70">
        <f t="shared" ref="H43:H46" si="5">F43*G43</f>
        <v>13.694999999999999</v>
      </c>
    </row>
    <row r="44" spans="3:9" x14ac:dyDescent="0.2">
      <c r="C44" s="150">
        <v>88247</v>
      </c>
      <c r="D44" s="144" t="s">
        <v>60</v>
      </c>
      <c r="E44" s="67" t="s">
        <v>52</v>
      </c>
      <c r="F44" s="95">
        <v>0.15</v>
      </c>
      <c r="G44" s="70">
        <v>29.03</v>
      </c>
      <c r="H44" s="70">
        <f t="shared" si="5"/>
        <v>4.3544999999999998</v>
      </c>
    </row>
    <row r="45" spans="3:9" x14ac:dyDescent="0.2">
      <c r="C45" s="150">
        <v>431</v>
      </c>
      <c r="D45" s="144" t="s">
        <v>96</v>
      </c>
      <c r="E45" s="67" t="s">
        <v>2</v>
      </c>
      <c r="F45" s="95">
        <v>4</v>
      </c>
      <c r="G45" s="70">
        <v>14.42</v>
      </c>
      <c r="H45" s="70">
        <f t="shared" ref="H45" si="6">F45*G45</f>
        <v>57.68</v>
      </c>
    </row>
    <row r="46" spans="3:9" ht="51" x14ac:dyDescent="0.2">
      <c r="C46" s="148" t="s">
        <v>50</v>
      </c>
      <c r="D46" s="145" t="s">
        <v>93</v>
      </c>
      <c r="E46" s="51" t="s">
        <v>2</v>
      </c>
      <c r="F46" s="52">
        <v>1</v>
      </c>
      <c r="G46" s="70">
        <v>1598.77</v>
      </c>
      <c r="H46" s="70">
        <f t="shared" si="5"/>
        <v>1598.77</v>
      </c>
    </row>
    <row r="47" spans="3:9" x14ac:dyDescent="0.2">
      <c r="C47" s="229"/>
      <c r="D47" s="230"/>
      <c r="E47" s="230"/>
      <c r="F47" s="230"/>
      <c r="G47" s="230"/>
      <c r="H47" s="231"/>
    </row>
    <row r="48" spans="3:9" x14ac:dyDescent="0.2">
      <c r="C48" s="221" t="s">
        <v>34</v>
      </c>
      <c r="D48" s="222"/>
      <c r="E48" s="222"/>
      <c r="F48" s="222"/>
      <c r="G48" s="223"/>
      <c r="H48" s="88">
        <f>SUM(H43:H46)</f>
        <v>1674.4994999999999</v>
      </c>
    </row>
    <row r="49" spans="3:8" x14ac:dyDescent="0.2">
      <c r="C49" s="143"/>
      <c r="D49" s="160"/>
      <c r="E49" s="100"/>
      <c r="F49" s="100"/>
      <c r="G49" s="100"/>
      <c r="H49" s="92"/>
    </row>
    <row r="50" spans="3:8" x14ac:dyDescent="0.2">
      <c r="C50" s="156" t="s">
        <v>62</v>
      </c>
      <c r="D50" s="225" t="s">
        <v>120</v>
      </c>
      <c r="E50" s="225"/>
      <c r="F50" s="225"/>
      <c r="G50" s="225"/>
      <c r="H50" s="225"/>
    </row>
    <row r="51" spans="3:8" ht="25.5" x14ac:dyDescent="0.2">
      <c r="C51" s="148" t="s">
        <v>111</v>
      </c>
      <c r="D51" s="96" t="s">
        <v>69</v>
      </c>
      <c r="E51" s="66" t="s">
        <v>2</v>
      </c>
      <c r="F51" s="51" t="s">
        <v>55</v>
      </c>
      <c r="G51" s="72" t="s">
        <v>51</v>
      </c>
      <c r="H51" s="72" t="s">
        <v>57</v>
      </c>
    </row>
    <row r="52" spans="3:8" x14ac:dyDescent="0.2">
      <c r="C52" s="150">
        <v>88264</v>
      </c>
      <c r="D52" s="144" t="s">
        <v>59</v>
      </c>
      <c r="E52" s="67" t="s">
        <v>52</v>
      </c>
      <c r="F52" s="95">
        <v>0.75</v>
      </c>
      <c r="G52" s="154">
        <f>G43</f>
        <v>45.65</v>
      </c>
      <c r="H52" s="70">
        <f t="shared" ref="H52:H55" si="7">F52*G52</f>
        <v>34.237499999999997</v>
      </c>
    </row>
    <row r="53" spans="3:8" x14ac:dyDescent="0.2">
      <c r="C53" s="150">
        <v>88247</v>
      </c>
      <c r="D53" s="144" t="s">
        <v>60</v>
      </c>
      <c r="E53" s="67" t="s">
        <v>52</v>
      </c>
      <c r="F53" s="95">
        <v>0.3</v>
      </c>
      <c r="G53" s="154">
        <f>G44</f>
        <v>29.03</v>
      </c>
      <c r="H53" s="70">
        <f t="shared" si="7"/>
        <v>8.7089999999999996</v>
      </c>
    </row>
    <row r="54" spans="3:8" x14ac:dyDescent="0.2">
      <c r="C54" s="149">
        <v>88309</v>
      </c>
      <c r="D54" s="96" t="s">
        <v>53</v>
      </c>
      <c r="E54" s="51" t="s">
        <v>52</v>
      </c>
      <c r="F54" s="52">
        <v>0.3</v>
      </c>
      <c r="G54" s="70">
        <v>36.22</v>
      </c>
      <c r="H54" s="70">
        <f t="shared" si="7"/>
        <v>10.866</v>
      </c>
    </row>
    <row r="55" spans="3:8" x14ac:dyDescent="0.2">
      <c r="C55" s="148" t="s">
        <v>50</v>
      </c>
      <c r="D55" s="145" t="s">
        <v>94</v>
      </c>
      <c r="E55" s="67" t="s">
        <v>2</v>
      </c>
      <c r="F55" s="52">
        <v>1</v>
      </c>
      <c r="G55" s="70">
        <f>(230+249.9)/2</f>
        <v>239.95</v>
      </c>
      <c r="H55" s="70">
        <f t="shared" si="7"/>
        <v>239.95</v>
      </c>
    </row>
    <row r="56" spans="3:8" x14ac:dyDescent="0.2">
      <c r="C56" s="149">
        <v>428</v>
      </c>
      <c r="D56" s="96" t="s">
        <v>95</v>
      </c>
      <c r="E56" s="51" t="s">
        <v>2</v>
      </c>
      <c r="F56" s="52">
        <v>2</v>
      </c>
      <c r="G56" s="70">
        <v>34.97</v>
      </c>
      <c r="H56" s="70">
        <f t="shared" ref="H56" si="8">F56*G56</f>
        <v>69.94</v>
      </c>
    </row>
    <row r="57" spans="3:8" x14ac:dyDescent="0.2">
      <c r="C57" s="151"/>
      <c r="D57" s="97"/>
      <c r="E57" s="98"/>
      <c r="F57" s="90"/>
      <c r="G57" s="91"/>
      <c r="H57" s="70"/>
    </row>
    <row r="58" spans="3:8" x14ac:dyDescent="0.2">
      <c r="C58" s="221" t="s">
        <v>34</v>
      </c>
      <c r="D58" s="222"/>
      <c r="E58" s="222"/>
      <c r="F58" s="222"/>
      <c r="G58" s="223"/>
      <c r="H58" s="88">
        <f>SUM(H52:H56)</f>
        <v>363.70249999999999</v>
      </c>
    </row>
    <row r="59" spans="3:8" x14ac:dyDescent="0.2">
      <c r="C59" s="143"/>
      <c r="D59" s="160"/>
      <c r="E59" s="100"/>
      <c r="F59" s="100"/>
      <c r="G59" s="100"/>
      <c r="H59" s="92"/>
    </row>
    <row r="60" spans="3:8" ht="24" customHeight="1" x14ac:dyDescent="0.2">
      <c r="C60" s="155" t="s">
        <v>66</v>
      </c>
      <c r="D60" s="225" t="s">
        <v>121</v>
      </c>
      <c r="E60" s="225"/>
      <c r="F60" s="225"/>
      <c r="G60" s="225"/>
      <c r="H60" s="225"/>
    </row>
    <row r="61" spans="3:8" ht="25.5" x14ac:dyDescent="0.2">
      <c r="C61" s="148" t="s">
        <v>111</v>
      </c>
      <c r="D61" s="96" t="s">
        <v>69</v>
      </c>
      <c r="E61" s="66" t="s">
        <v>2</v>
      </c>
      <c r="F61" s="51" t="s">
        <v>55</v>
      </c>
      <c r="G61" s="72" t="s">
        <v>51</v>
      </c>
      <c r="H61" s="72" t="s">
        <v>57</v>
      </c>
    </row>
    <row r="62" spans="3:8" x14ac:dyDescent="0.2">
      <c r="C62" s="150">
        <v>88264</v>
      </c>
      <c r="D62" s="144" t="s">
        <v>59</v>
      </c>
      <c r="E62" s="67" t="s">
        <v>52</v>
      </c>
      <c r="F62" s="95">
        <v>1</v>
      </c>
      <c r="G62" s="154">
        <f>G52</f>
        <v>45.65</v>
      </c>
      <c r="H62" s="70">
        <f t="shared" ref="H62:H64" si="9">F62*G62</f>
        <v>45.65</v>
      </c>
    </row>
    <row r="63" spans="3:8" x14ac:dyDescent="0.2">
      <c r="C63" s="150">
        <v>88247</v>
      </c>
      <c r="D63" s="144" t="s">
        <v>60</v>
      </c>
      <c r="E63" s="67" t="s">
        <v>52</v>
      </c>
      <c r="F63" s="95">
        <v>0.5</v>
      </c>
      <c r="G63" s="154">
        <f>G53</f>
        <v>29.03</v>
      </c>
      <c r="H63" s="70">
        <f t="shared" si="9"/>
        <v>14.515000000000001</v>
      </c>
    </row>
    <row r="64" spans="3:8" x14ac:dyDescent="0.2">
      <c r="C64" s="150">
        <v>39756</v>
      </c>
      <c r="D64" s="144" t="s">
        <v>105</v>
      </c>
      <c r="E64" s="67" t="s">
        <v>2</v>
      </c>
      <c r="F64" s="95">
        <v>1</v>
      </c>
      <c r="G64" s="70">
        <v>338.66</v>
      </c>
      <c r="H64" s="70">
        <f t="shared" si="9"/>
        <v>338.66</v>
      </c>
    </row>
    <row r="65" spans="3:9" x14ac:dyDescent="0.2">
      <c r="C65" s="232"/>
      <c r="D65" s="220"/>
      <c r="E65" s="220"/>
      <c r="F65" s="220"/>
      <c r="G65" s="220"/>
      <c r="H65" s="233"/>
    </row>
    <row r="66" spans="3:9" x14ac:dyDescent="0.2">
      <c r="C66" s="221" t="s">
        <v>34</v>
      </c>
      <c r="D66" s="222"/>
      <c r="E66" s="222"/>
      <c r="F66" s="222"/>
      <c r="G66" s="223"/>
      <c r="H66" s="88">
        <f>SUM(H62:H64)</f>
        <v>398.82500000000005</v>
      </c>
    </row>
    <row r="68" spans="3:9" ht="30" customHeight="1" x14ac:dyDescent="0.2">
      <c r="C68" s="155" t="s">
        <v>68</v>
      </c>
      <c r="D68" s="219" t="s">
        <v>122</v>
      </c>
      <c r="E68" s="219"/>
      <c r="F68" s="219"/>
      <c r="G68" s="219"/>
      <c r="H68" s="219"/>
      <c r="I68" s="71"/>
    </row>
    <row r="69" spans="3:9" ht="25.5" x14ac:dyDescent="0.2">
      <c r="C69" s="148" t="s">
        <v>111</v>
      </c>
      <c r="D69" s="96" t="s">
        <v>69</v>
      </c>
      <c r="E69" s="66" t="s">
        <v>2</v>
      </c>
      <c r="F69" s="51" t="s">
        <v>55</v>
      </c>
      <c r="G69" s="72" t="s">
        <v>51</v>
      </c>
      <c r="H69" s="72" t="s">
        <v>57</v>
      </c>
      <c r="I69" s="71"/>
    </row>
    <row r="70" spans="3:9" ht="25.5" x14ac:dyDescent="0.2">
      <c r="C70" s="149">
        <v>104750</v>
      </c>
      <c r="D70" s="96" t="s">
        <v>97</v>
      </c>
      <c r="E70" s="51" t="s">
        <v>2</v>
      </c>
      <c r="F70" s="52">
        <v>1</v>
      </c>
      <c r="G70" s="70">
        <v>19.89</v>
      </c>
      <c r="H70" s="70">
        <f t="shared" ref="H70" si="10">F70*G70</f>
        <v>19.89</v>
      </c>
      <c r="I70" s="71"/>
    </row>
    <row r="71" spans="3:9" x14ac:dyDescent="0.2">
      <c r="C71" s="149">
        <v>96985</v>
      </c>
      <c r="D71" s="96" t="s">
        <v>98</v>
      </c>
      <c r="E71" s="51" t="s">
        <v>2</v>
      </c>
      <c r="F71" s="52">
        <v>1</v>
      </c>
      <c r="G71" s="70">
        <v>79.94</v>
      </c>
      <c r="H71" s="70">
        <f t="shared" ref="H71:H75" si="11">F71*G71</f>
        <v>79.94</v>
      </c>
      <c r="I71" s="71"/>
    </row>
    <row r="72" spans="3:9" ht="25.5" x14ac:dyDescent="0.2">
      <c r="C72" s="149">
        <v>97883</v>
      </c>
      <c r="D72" s="96" t="s">
        <v>99</v>
      </c>
      <c r="E72" s="51" t="s">
        <v>2</v>
      </c>
      <c r="F72" s="52">
        <v>1</v>
      </c>
      <c r="G72" s="70">
        <v>480.85</v>
      </c>
      <c r="H72" s="70">
        <f t="shared" si="11"/>
        <v>480.85</v>
      </c>
      <c r="I72" s="71"/>
    </row>
    <row r="73" spans="3:9" x14ac:dyDescent="0.2">
      <c r="C73" s="149">
        <v>104737</v>
      </c>
      <c r="D73" s="96" t="s">
        <v>100</v>
      </c>
      <c r="E73" s="51" t="s">
        <v>67</v>
      </c>
      <c r="F73" s="52">
        <f>0.8*0.8*0.8*1.3-(0.6*0.6*0.5)</f>
        <v>0.4856000000000002</v>
      </c>
      <c r="G73" s="70">
        <v>26.19</v>
      </c>
      <c r="H73" s="70">
        <f t="shared" si="11"/>
        <v>12.717864000000006</v>
      </c>
      <c r="I73" s="71"/>
    </row>
    <row r="74" spans="3:9" x14ac:dyDescent="0.2">
      <c r="C74" s="150">
        <v>88264</v>
      </c>
      <c r="D74" s="144" t="s">
        <v>59</v>
      </c>
      <c r="E74" s="67" t="s">
        <v>52</v>
      </c>
      <c r="F74" s="95">
        <v>1</v>
      </c>
      <c r="G74" s="154">
        <f>G62</f>
        <v>45.65</v>
      </c>
      <c r="H74" s="70">
        <f t="shared" si="11"/>
        <v>45.65</v>
      </c>
      <c r="I74" s="71"/>
    </row>
    <row r="75" spans="3:9" x14ac:dyDescent="0.2">
      <c r="C75" s="150">
        <v>88247</v>
      </c>
      <c r="D75" s="144" t="s">
        <v>60</v>
      </c>
      <c r="E75" s="67" t="s">
        <v>52</v>
      </c>
      <c r="F75" s="95">
        <v>0.5</v>
      </c>
      <c r="G75" s="154">
        <f>G63</f>
        <v>29.03</v>
      </c>
      <c r="H75" s="70">
        <f t="shared" si="11"/>
        <v>14.515000000000001</v>
      </c>
      <c r="I75" s="71"/>
    </row>
    <row r="76" spans="3:9" x14ac:dyDescent="0.2">
      <c r="C76" s="222"/>
      <c r="D76" s="222"/>
      <c r="E76" s="222"/>
      <c r="F76" s="222"/>
      <c r="G76" s="222"/>
      <c r="H76" s="222"/>
      <c r="I76" s="71"/>
    </row>
    <row r="77" spans="3:9" x14ac:dyDescent="0.2">
      <c r="C77" s="221" t="s">
        <v>34</v>
      </c>
      <c r="D77" s="222"/>
      <c r="E77" s="222"/>
      <c r="F77" s="222"/>
      <c r="G77" s="223"/>
      <c r="H77" s="88">
        <f>SUM(H70:H75)</f>
        <v>653.56286399999999</v>
      </c>
      <c r="I77" s="71"/>
    </row>
    <row r="78" spans="3:9" x14ac:dyDescent="0.2">
      <c r="C78" s="153"/>
      <c r="D78" s="147"/>
      <c r="E78" s="93"/>
      <c r="F78" s="93"/>
      <c r="G78" s="99"/>
      <c r="H78" s="99"/>
      <c r="I78" s="71"/>
    </row>
    <row r="79" spans="3:9" x14ac:dyDescent="0.2">
      <c r="C79" s="155" t="s">
        <v>138</v>
      </c>
      <c r="D79" s="219" t="s">
        <v>148</v>
      </c>
      <c r="E79" s="219"/>
      <c r="F79" s="219"/>
      <c r="G79" s="219"/>
      <c r="H79" s="219"/>
      <c r="I79" s="71"/>
    </row>
    <row r="80" spans="3:9" ht="25.5" x14ac:dyDescent="0.2">
      <c r="C80" s="148" t="s">
        <v>111</v>
      </c>
      <c r="D80" s="96" t="s">
        <v>69</v>
      </c>
      <c r="E80" s="66" t="s">
        <v>2</v>
      </c>
      <c r="F80" s="51" t="s">
        <v>55</v>
      </c>
      <c r="G80" s="72" t="s">
        <v>51</v>
      </c>
      <c r="H80" s="72" t="s">
        <v>57</v>
      </c>
      <c r="I80" s="71"/>
    </row>
    <row r="81" spans="3:10" x14ac:dyDescent="0.2">
      <c r="C81" s="150">
        <v>88316</v>
      </c>
      <c r="D81" s="144" t="s">
        <v>54</v>
      </c>
      <c r="E81" s="67" t="s">
        <v>52</v>
      </c>
      <c r="F81" s="95">
        <f>0.1917*2</f>
        <v>0.38340000000000002</v>
      </c>
      <c r="G81" s="154">
        <v>26.47</v>
      </c>
      <c r="H81" s="70">
        <f t="shared" ref="H81:H82" si="12">F81*G81</f>
        <v>10.148598</v>
      </c>
      <c r="I81" s="71"/>
    </row>
    <row r="82" spans="3:10" x14ac:dyDescent="0.2">
      <c r="C82" s="150">
        <v>88309</v>
      </c>
      <c r="D82" s="144" t="s">
        <v>53</v>
      </c>
      <c r="E82" s="67" t="s">
        <v>52</v>
      </c>
      <c r="F82" s="95">
        <f>0.1917*2</f>
        <v>0.38340000000000002</v>
      </c>
      <c r="G82" s="154">
        <v>36.22</v>
      </c>
      <c r="H82" s="70">
        <f t="shared" si="12"/>
        <v>13.886748000000001</v>
      </c>
      <c r="I82" s="71"/>
    </row>
    <row r="83" spans="3:10" x14ac:dyDescent="0.2">
      <c r="C83" s="222"/>
      <c r="D83" s="222"/>
      <c r="E83" s="222"/>
      <c r="F83" s="222"/>
      <c r="G83" s="222"/>
      <c r="H83" s="222"/>
      <c r="I83" s="71"/>
    </row>
    <row r="84" spans="3:10" x14ac:dyDescent="0.2">
      <c r="C84" s="221" t="s">
        <v>34</v>
      </c>
      <c r="D84" s="222"/>
      <c r="E84" s="222"/>
      <c r="F84" s="222"/>
      <c r="G84" s="223"/>
      <c r="H84" s="88">
        <f>SUM(H81:H82)</f>
        <v>24.035346000000001</v>
      </c>
      <c r="I84" s="71"/>
    </row>
    <row r="85" spans="3:10" x14ac:dyDescent="0.2">
      <c r="C85" s="161"/>
      <c r="D85" s="182"/>
      <c r="E85" s="161"/>
      <c r="F85" s="161"/>
      <c r="G85" s="161"/>
      <c r="H85" s="92"/>
      <c r="I85" s="71"/>
    </row>
    <row r="86" spans="3:10" ht="30" customHeight="1" x14ac:dyDescent="0.2">
      <c r="C86" s="155" t="s">
        <v>143</v>
      </c>
      <c r="D86" s="219" t="s">
        <v>166</v>
      </c>
      <c r="E86" s="219" t="s">
        <v>139</v>
      </c>
      <c r="F86" s="219"/>
      <c r="G86" s="219"/>
      <c r="H86" s="219"/>
    </row>
    <row r="87" spans="3:10" ht="25.5" x14ac:dyDescent="0.2">
      <c r="C87" s="148" t="s">
        <v>111</v>
      </c>
      <c r="D87" s="96" t="s">
        <v>69</v>
      </c>
      <c r="E87" s="157" t="s">
        <v>2</v>
      </c>
      <c r="F87" s="51" t="s">
        <v>55</v>
      </c>
      <c r="G87" s="72" t="s">
        <v>51</v>
      </c>
      <c r="H87" s="72" t="s">
        <v>57</v>
      </c>
    </row>
    <row r="88" spans="3:10" ht="25.5" x14ac:dyDescent="0.2">
      <c r="C88" s="150">
        <v>94962</v>
      </c>
      <c r="D88" s="162" t="s">
        <v>144</v>
      </c>
      <c r="E88" s="51" t="s">
        <v>56</v>
      </c>
      <c r="F88" s="52">
        <v>4.4999999999999997E-3</v>
      </c>
      <c r="G88" s="70">
        <v>494.29</v>
      </c>
      <c r="H88" s="70">
        <f t="shared" ref="H88:H93" si="13">F88*G88</f>
        <v>2.2243049999999998</v>
      </c>
      <c r="I88" s="167"/>
      <c r="J88" s="71"/>
    </row>
    <row r="89" spans="3:10" x14ac:dyDescent="0.2">
      <c r="C89" s="150">
        <v>88316</v>
      </c>
      <c r="D89" s="144" t="s">
        <v>54</v>
      </c>
      <c r="E89" s="67" t="s">
        <v>52</v>
      </c>
      <c r="F89" s="95">
        <v>0.5</v>
      </c>
      <c r="G89" s="154">
        <v>26.47</v>
      </c>
      <c r="H89" s="70">
        <f t="shared" si="13"/>
        <v>13.234999999999999</v>
      </c>
      <c r="I89" s="166"/>
    </row>
    <row r="90" spans="3:10" x14ac:dyDescent="0.2">
      <c r="C90" s="150">
        <v>88315</v>
      </c>
      <c r="D90" s="144" t="s">
        <v>140</v>
      </c>
      <c r="E90" s="67" t="s">
        <v>52</v>
      </c>
      <c r="F90" s="95">
        <v>0.25</v>
      </c>
      <c r="G90" s="154">
        <v>35.93</v>
      </c>
      <c r="H90" s="70">
        <f t="shared" si="13"/>
        <v>8.9824999999999999</v>
      </c>
    </row>
    <row r="91" spans="3:10" x14ac:dyDescent="0.2">
      <c r="C91" s="150">
        <v>43130</v>
      </c>
      <c r="D91" s="144" t="s">
        <v>141</v>
      </c>
      <c r="E91" s="67" t="s">
        <v>142</v>
      </c>
      <c r="F91" s="52">
        <v>0.14349999999999999</v>
      </c>
      <c r="G91" s="154">
        <v>25</v>
      </c>
      <c r="H91" s="70">
        <f t="shared" si="13"/>
        <v>3.5874999999999999</v>
      </c>
    </row>
    <row r="92" spans="3:10" ht="25.5" x14ac:dyDescent="0.2">
      <c r="C92" s="150">
        <v>96522</v>
      </c>
      <c r="D92" s="144" t="s">
        <v>150</v>
      </c>
      <c r="E92" s="67" t="s">
        <v>67</v>
      </c>
      <c r="F92" s="95">
        <f>(0.3*0.3*0.5)*0.15*1.3</f>
        <v>8.7749999999999998E-3</v>
      </c>
      <c r="G92" s="154">
        <v>178.5</v>
      </c>
      <c r="H92" s="70">
        <f t="shared" si="13"/>
        <v>1.5663374999999999</v>
      </c>
    </row>
    <row r="93" spans="3:10" x14ac:dyDescent="0.2">
      <c r="C93" s="149">
        <v>104737</v>
      </c>
      <c r="D93" s="96" t="s">
        <v>100</v>
      </c>
      <c r="E93" s="51" t="s">
        <v>67</v>
      </c>
      <c r="F93" s="52">
        <f>(F92-0.003*0.5)</f>
        <v>7.2750000000000002E-3</v>
      </c>
      <c r="G93" s="70">
        <v>26.19</v>
      </c>
      <c r="H93" s="70">
        <f t="shared" si="13"/>
        <v>0.19053225000000001</v>
      </c>
    </row>
    <row r="94" spans="3:10" x14ac:dyDescent="0.2">
      <c r="C94" s="220"/>
      <c r="D94" s="220"/>
      <c r="E94" s="220"/>
      <c r="F94" s="220"/>
      <c r="G94" s="220"/>
      <c r="H94" s="220"/>
      <c r="J94" s="71"/>
    </row>
    <row r="95" spans="3:10" x14ac:dyDescent="0.2">
      <c r="C95" s="221" t="s">
        <v>34</v>
      </c>
      <c r="D95" s="222"/>
      <c r="E95" s="222"/>
      <c r="F95" s="222"/>
      <c r="G95" s="223"/>
      <c r="H95" s="88">
        <f>SUM(H88:H93)</f>
        <v>29.786174749999997</v>
      </c>
    </row>
    <row r="97" spans="3:10" ht="33" customHeight="1" x14ac:dyDescent="0.2">
      <c r="C97" s="155" t="s">
        <v>146</v>
      </c>
      <c r="D97" s="219" t="s">
        <v>147</v>
      </c>
      <c r="E97" s="219" t="s">
        <v>139</v>
      </c>
      <c r="F97" s="219"/>
      <c r="G97" s="219"/>
      <c r="H97" s="219"/>
    </row>
    <row r="98" spans="3:10" ht="25.5" x14ac:dyDescent="0.2">
      <c r="C98" s="148" t="s">
        <v>111</v>
      </c>
      <c r="D98" s="96" t="s">
        <v>69</v>
      </c>
      <c r="E98" s="157" t="s">
        <v>2</v>
      </c>
      <c r="F98" s="51" t="s">
        <v>55</v>
      </c>
      <c r="G98" s="72" t="s">
        <v>51</v>
      </c>
      <c r="H98" s="72" t="s">
        <v>57</v>
      </c>
    </row>
    <row r="99" spans="3:10" ht="25.5" x14ac:dyDescent="0.2">
      <c r="C99" s="148">
        <v>94962</v>
      </c>
      <c r="D99" s="144" t="s">
        <v>144</v>
      </c>
      <c r="E99" s="51" t="s">
        <v>56</v>
      </c>
      <c r="F99" s="52">
        <v>8.9999999999999993E-3</v>
      </c>
      <c r="G99" s="70">
        <v>494.29</v>
      </c>
      <c r="H99" s="70">
        <f t="shared" ref="H99:H104" si="14">F99*G99</f>
        <v>4.4486099999999995</v>
      </c>
      <c r="I99" s="167"/>
      <c r="J99" s="71"/>
    </row>
    <row r="100" spans="3:10" x14ac:dyDescent="0.2">
      <c r="C100" s="148">
        <v>88316</v>
      </c>
      <c r="D100" s="144" t="s">
        <v>54</v>
      </c>
      <c r="E100" s="67" t="s">
        <v>52</v>
      </c>
      <c r="F100" s="95">
        <v>0.3</v>
      </c>
      <c r="G100" s="154">
        <v>26.47</v>
      </c>
      <c r="H100" s="70">
        <f t="shared" si="14"/>
        <v>7.9409999999999989</v>
      </c>
      <c r="I100" s="166"/>
    </row>
    <row r="101" spans="3:10" x14ac:dyDescent="0.2">
      <c r="C101" s="148">
        <v>88315</v>
      </c>
      <c r="D101" s="144" t="s">
        <v>140</v>
      </c>
      <c r="E101" s="67" t="s">
        <v>52</v>
      </c>
      <c r="F101" s="95">
        <v>0.5</v>
      </c>
      <c r="G101" s="154">
        <v>35.93</v>
      </c>
      <c r="H101" s="70">
        <f>F101*G101</f>
        <v>17.965</v>
      </c>
    </row>
    <row r="102" spans="3:10" x14ac:dyDescent="0.2">
      <c r="C102" s="148">
        <v>43130</v>
      </c>
      <c r="D102" s="144" t="s">
        <v>141</v>
      </c>
      <c r="E102" s="67" t="s">
        <v>142</v>
      </c>
      <c r="F102" s="95">
        <f>0.0796749*3</f>
        <v>0.23902470000000003</v>
      </c>
      <c r="G102" s="154">
        <v>25</v>
      </c>
      <c r="H102" s="70">
        <f>F102*G102</f>
        <v>5.9756175000000011</v>
      </c>
    </row>
    <row r="103" spans="3:10" x14ac:dyDescent="0.2">
      <c r="C103" s="148">
        <v>7696</v>
      </c>
      <c r="D103" s="144" t="s">
        <v>149</v>
      </c>
      <c r="E103" s="67" t="s">
        <v>136</v>
      </c>
      <c r="F103" s="52">
        <f>(7*6+3*2*6)/(4*92)</f>
        <v>0.21195652173913043</v>
      </c>
      <c r="G103" s="154">
        <v>77.63</v>
      </c>
      <c r="H103" s="70">
        <f t="shared" si="14"/>
        <v>16.454184782608696</v>
      </c>
      <c r="I103" s="168"/>
      <c r="J103" s="71"/>
    </row>
    <row r="104" spans="3:10" x14ac:dyDescent="0.2">
      <c r="C104" s="148">
        <v>7158</v>
      </c>
      <c r="D104" s="144" t="s">
        <v>145</v>
      </c>
      <c r="E104" s="67" t="s">
        <v>139</v>
      </c>
      <c r="F104" s="95">
        <v>1.0202960999999999</v>
      </c>
      <c r="G104" s="154">
        <v>34.64</v>
      </c>
      <c r="H104" s="70">
        <f t="shared" si="14"/>
        <v>35.343056904000001</v>
      </c>
      <c r="I104" s="166"/>
    </row>
    <row r="105" spans="3:10" ht="25.5" x14ac:dyDescent="0.2">
      <c r="C105" s="148">
        <v>96522</v>
      </c>
      <c r="D105" s="144" t="s">
        <v>151</v>
      </c>
      <c r="E105" s="67" t="s">
        <v>67</v>
      </c>
      <c r="F105" s="95">
        <f>(0.3*0.3*1)*0.15*1.3</f>
        <v>1.755E-2</v>
      </c>
      <c r="G105" s="154">
        <v>178.5</v>
      </c>
      <c r="H105" s="70">
        <f t="shared" ref="H105:H106" si="15">F105*G105</f>
        <v>3.1326749999999999</v>
      </c>
    </row>
    <row r="106" spans="3:10" x14ac:dyDescent="0.2">
      <c r="C106" s="149">
        <v>104737</v>
      </c>
      <c r="D106" s="96" t="s">
        <v>100</v>
      </c>
      <c r="E106" s="51" t="s">
        <v>67</v>
      </c>
      <c r="F106" s="52">
        <f>(F105-0.003*0.5)</f>
        <v>1.6049999999999998E-2</v>
      </c>
      <c r="G106" s="70">
        <v>26.19</v>
      </c>
      <c r="H106" s="70">
        <f t="shared" si="15"/>
        <v>0.42034949999999999</v>
      </c>
    </row>
    <row r="107" spans="3:10" x14ac:dyDescent="0.2">
      <c r="C107" s="220"/>
      <c r="D107" s="220"/>
      <c r="E107" s="220"/>
      <c r="F107" s="220"/>
      <c r="G107" s="220"/>
      <c r="H107" s="220"/>
    </row>
    <row r="108" spans="3:10" x14ac:dyDescent="0.2">
      <c r="C108" s="221" t="s">
        <v>34</v>
      </c>
      <c r="D108" s="222"/>
      <c r="E108" s="222"/>
      <c r="F108" s="222"/>
      <c r="G108" s="223"/>
      <c r="H108" s="88">
        <f>SUM(H99:H106)</f>
        <v>91.680493686608699</v>
      </c>
    </row>
    <row r="110" spans="3:10" x14ac:dyDescent="0.2">
      <c r="C110" s="155" t="s">
        <v>173</v>
      </c>
      <c r="D110" s="219" t="s">
        <v>174</v>
      </c>
      <c r="E110" s="219" t="s">
        <v>139</v>
      </c>
      <c r="F110" s="219"/>
      <c r="G110" s="219"/>
      <c r="H110" s="219"/>
    </row>
    <row r="111" spans="3:10" ht="25.5" x14ac:dyDescent="0.2">
      <c r="C111" s="148" t="s">
        <v>111</v>
      </c>
      <c r="D111" s="96" t="s">
        <v>69</v>
      </c>
      <c r="E111" s="157" t="s">
        <v>2</v>
      </c>
      <c r="F111" s="51" t="s">
        <v>55</v>
      </c>
      <c r="G111" s="72" t="s">
        <v>51</v>
      </c>
      <c r="H111" s="72" t="s">
        <v>57</v>
      </c>
    </row>
    <row r="112" spans="3:10" ht="25.5" x14ac:dyDescent="0.2">
      <c r="C112" s="148">
        <v>91171</v>
      </c>
      <c r="D112" s="144" t="s">
        <v>176</v>
      </c>
      <c r="E112" s="51" t="s">
        <v>136</v>
      </c>
      <c r="F112" s="52">
        <v>1</v>
      </c>
      <c r="G112" s="70">
        <v>16.920000000000002</v>
      </c>
      <c r="H112" s="70">
        <f t="shared" ref="H112:H115" si="16">F112*G112</f>
        <v>16.920000000000002</v>
      </c>
    </row>
    <row r="113" spans="3:8" x14ac:dyDescent="0.2">
      <c r="C113" s="148">
        <v>88264</v>
      </c>
      <c r="D113" s="144" t="s">
        <v>59</v>
      </c>
      <c r="E113" s="67" t="s">
        <v>52</v>
      </c>
      <c r="F113" s="95">
        <v>0.1</v>
      </c>
      <c r="G113" s="70">
        <v>45.65</v>
      </c>
      <c r="H113" s="70">
        <f t="shared" si="16"/>
        <v>4.5650000000000004</v>
      </c>
    </row>
    <row r="114" spans="3:8" x14ac:dyDescent="0.2">
      <c r="C114" s="148">
        <v>88247</v>
      </c>
      <c r="D114" s="144" t="s">
        <v>60</v>
      </c>
      <c r="E114" s="67" t="s">
        <v>52</v>
      </c>
      <c r="F114" s="95">
        <v>0.05</v>
      </c>
      <c r="G114" s="70">
        <v>29.03</v>
      </c>
      <c r="H114" s="70">
        <f t="shared" si="16"/>
        <v>1.4515000000000002</v>
      </c>
    </row>
    <row r="115" spans="3:8" x14ac:dyDescent="0.2">
      <c r="C115" s="148">
        <v>2675</v>
      </c>
      <c r="D115" s="144" t="s">
        <v>175</v>
      </c>
      <c r="E115" s="67" t="s">
        <v>136</v>
      </c>
      <c r="F115" s="95">
        <v>1.0556000000000001</v>
      </c>
      <c r="G115" s="70">
        <v>8.1199999999999992</v>
      </c>
      <c r="H115" s="70">
        <f t="shared" si="16"/>
        <v>8.571472</v>
      </c>
    </row>
    <row r="116" spans="3:8" x14ac:dyDescent="0.2">
      <c r="C116" s="220"/>
      <c r="D116" s="220"/>
      <c r="E116" s="220"/>
      <c r="F116" s="220"/>
      <c r="G116" s="220"/>
      <c r="H116" s="220"/>
    </row>
    <row r="117" spans="3:8" x14ac:dyDescent="0.2">
      <c r="C117" s="221" t="s">
        <v>34</v>
      </c>
      <c r="D117" s="222"/>
      <c r="E117" s="222"/>
      <c r="F117" s="222"/>
      <c r="G117" s="223"/>
      <c r="H117" s="88">
        <f>SUM(H112:H115)</f>
        <v>31.507972000000002</v>
      </c>
    </row>
  </sheetData>
  <mergeCells count="33">
    <mergeCell ref="D32:H32"/>
    <mergeCell ref="D79:H79"/>
    <mergeCell ref="C83:H83"/>
    <mergeCell ref="C84:G84"/>
    <mergeCell ref="D68:H68"/>
    <mergeCell ref="C65:H65"/>
    <mergeCell ref="C77:G77"/>
    <mergeCell ref="C76:H76"/>
    <mergeCell ref="C2:H2"/>
    <mergeCell ref="C66:G66"/>
    <mergeCell ref="C30:G30"/>
    <mergeCell ref="C48:G48"/>
    <mergeCell ref="C20:G20"/>
    <mergeCell ref="D6:H6"/>
    <mergeCell ref="C19:H19"/>
    <mergeCell ref="C29:H29"/>
    <mergeCell ref="C38:H38"/>
    <mergeCell ref="C39:G39"/>
    <mergeCell ref="D22:H22"/>
    <mergeCell ref="D60:H60"/>
    <mergeCell ref="D50:H50"/>
    <mergeCell ref="D41:H41"/>
    <mergeCell ref="C58:G58"/>
    <mergeCell ref="C47:H47"/>
    <mergeCell ref="D110:H110"/>
    <mergeCell ref="C116:H116"/>
    <mergeCell ref="C117:G117"/>
    <mergeCell ref="D86:H86"/>
    <mergeCell ref="C95:G95"/>
    <mergeCell ref="D97:H97"/>
    <mergeCell ref="C108:G108"/>
    <mergeCell ref="C107:H107"/>
    <mergeCell ref="C94:H94"/>
  </mergeCells>
  <phoneticPr fontId="9" type="noConversion"/>
  <pageMargins left="0.78740157480314965" right="0.39370078740157483" top="0.78740157480314965" bottom="0.39370078740157483" header="0.31496062992125984" footer="0.31496062992125984"/>
  <pageSetup paperSize="9" scale="4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D3:O33"/>
  <sheetViews>
    <sheetView topLeftCell="A25" zoomScale="85" zoomScaleNormal="85" workbookViewId="0">
      <selection activeCell="S21" sqref="S21"/>
    </sheetView>
  </sheetViews>
  <sheetFormatPr defaultColWidth="9.140625" defaultRowHeight="14.25" x14ac:dyDescent="0.2"/>
  <cols>
    <col min="1" max="3" width="9.140625" style="29"/>
    <col min="4" max="4" width="9.28515625" style="29" customWidth="1"/>
    <col min="5" max="5" width="55.140625" style="29" customWidth="1"/>
    <col min="6" max="6" width="17.7109375" style="30" bestFit="1" customWidth="1"/>
    <col min="7" max="7" width="9.28515625" style="29" bestFit="1" customWidth="1"/>
    <col min="8" max="8" width="17.140625" style="29" bestFit="1" customWidth="1"/>
    <col min="9" max="9" width="10.42578125" style="29" customWidth="1"/>
    <col min="10" max="10" width="17.7109375" style="29" customWidth="1"/>
    <col min="11" max="11" width="18.28515625" style="29" bestFit="1" customWidth="1"/>
    <col min="12" max="12" width="19.5703125" style="29" customWidth="1"/>
    <col min="13" max="16384" width="9.140625" style="29"/>
  </cols>
  <sheetData>
    <row r="3" spans="4:12" ht="15" thickBot="1" x14ac:dyDescent="0.25"/>
    <row r="4" spans="4:12" ht="75.75" customHeight="1" x14ac:dyDescent="0.2">
      <c r="D4" s="189" t="s">
        <v>27</v>
      </c>
      <c r="E4" s="190"/>
      <c r="F4" s="190"/>
      <c r="G4" s="190"/>
      <c r="H4" s="190"/>
      <c r="I4" s="190"/>
      <c r="J4" s="190"/>
      <c r="K4" s="190"/>
      <c r="L4" s="191"/>
    </row>
    <row r="5" spans="4:12" ht="29.25" customHeight="1" thickBot="1" x14ac:dyDescent="0.25">
      <c r="D5" s="259" t="str">
        <f>ORÇAMENTO!C3</f>
        <v>ILUMINAÇÃO E CERCAMENTO DO CAMPO DE FUTEBOL DA ASSOCIAÇÃO AMÉRICA FUTEBOL CLUBE DE IOMERÊ/SC</v>
      </c>
      <c r="E5" s="260"/>
      <c r="F5" s="260"/>
      <c r="G5" s="260"/>
      <c r="H5" s="260"/>
      <c r="I5" s="260"/>
      <c r="J5" s="260"/>
      <c r="K5" s="260"/>
      <c r="L5" s="261"/>
    </row>
    <row r="6" spans="4:12" ht="15" x14ac:dyDescent="0.2">
      <c r="D6" s="262" t="s">
        <v>10</v>
      </c>
      <c r="E6" s="263"/>
      <c r="F6" s="264" t="s">
        <v>11</v>
      </c>
      <c r="G6" s="264"/>
      <c r="H6" s="264"/>
      <c r="I6" s="264"/>
      <c r="J6" s="264"/>
      <c r="K6" s="264"/>
      <c r="L6" s="265"/>
    </row>
    <row r="7" spans="4:12" ht="15" x14ac:dyDescent="0.2">
      <c r="D7" s="266" t="s">
        <v>9</v>
      </c>
      <c r="E7" s="267"/>
      <c r="F7" s="268" t="str">
        <f>ORÇAMENTO!E5</f>
        <v>Linha Caravaggio, Interior, Iomerê/SC</v>
      </c>
      <c r="G7" s="268"/>
      <c r="H7" s="268"/>
      <c r="I7" s="268"/>
      <c r="J7" s="268"/>
      <c r="K7" s="268"/>
      <c r="L7" s="269"/>
    </row>
    <row r="8" spans="4:12" ht="15" x14ac:dyDescent="0.2">
      <c r="D8" s="195" t="s">
        <v>12</v>
      </c>
      <c r="E8" s="196"/>
      <c r="F8" s="196"/>
      <c r="G8" s="196"/>
      <c r="H8" s="196"/>
      <c r="I8" s="196"/>
      <c r="J8" s="196"/>
      <c r="K8" s="54" t="str">
        <f>ORÇAMENTO!K6</f>
        <v>BDI 1</v>
      </c>
      <c r="L8" s="56">
        <f>ORÇAMENTO!L6</f>
        <v>0.21</v>
      </c>
    </row>
    <row r="9" spans="4:12" ht="15.75" customHeight="1" x14ac:dyDescent="0.2">
      <c r="D9" s="242" t="str">
        <f>ORÇAMENTO!C7</f>
        <v>Planilha orçamentária para a execução da iluminação e do cercamento para o campo de futebol da Associação América Futebol Clube de Iomerê/SC (Termo de cooperação n.º 05/2023, celebrado entre o Município de Iomerê e a Associação América Futebol Clube)</v>
      </c>
      <c r="E9" s="243"/>
      <c r="F9" s="243"/>
      <c r="G9" s="243"/>
      <c r="H9" s="243"/>
      <c r="I9" s="243"/>
      <c r="J9" s="243"/>
      <c r="K9" s="55" t="str">
        <f>ORÇAMENTO!K7</f>
        <v>BDI 2 (itens de cotação)</v>
      </c>
      <c r="L9" s="57">
        <f>ORÇAMENTO!L7</f>
        <v>0.1535</v>
      </c>
    </row>
    <row r="10" spans="4:12" ht="35.25" customHeight="1" x14ac:dyDescent="0.2">
      <c r="D10" s="244"/>
      <c r="E10" s="245"/>
      <c r="F10" s="245"/>
      <c r="G10" s="245"/>
      <c r="H10" s="245"/>
      <c r="I10" s="245"/>
      <c r="J10" s="245"/>
      <c r="K10" s="13">
        <f ca="1">TODAY()</f>
        <v>46101</v>
      </c>
      <c r="L10" s="25" t="str">
        <f>ORÇAMENTO!L8</f>
        <v>Revisão 01</v>
      </c>
    </row>
    <row r="11" spans="4:12" x14ac:dyDescent="0.2">
      <c r="D11" s="195" t="s">
        <v>13</v>
      </c>
      <c r="E11" s="196"/>
      <c r="F11" s="196"/>
      <c r="G11" s="196"/>
      <c r="H11" s="196"/>
      <c r="I11" s="196"/>
      <c r="J11" s="196"/>
      <c r="K11" s="238" t="s">
        <v>14</v>
      </c>
      <c r="L11" s="240">
        <f>ORÇAMENTO!L9</f>
        <v>215022.1340598971</v>
      </c>
    </row>
    <row r="12" spans="4:12" ht="16.5" customHeight="1" thickBot="1" x14ac:dyDescent="0.25">
      <c r="D12" s="198" t="str">
        <f>ORÇAMENTO!C10</f>
        <v>COTAÇÃO/ SINAPI 01/2026-  SEM DESONERAÇÃO / IPPUJ 12/2015 (Atualizado INCC)</v>
      </c>
      <c r="E12" s="199"/>
      <c r="F12" s="199"/>
      <c r="G12" s="199"/>
      <c r="H12" s="199"/>
      <c r="I12" s="199"/>
      <c r="J12" s="199"/>
      <c r="K12" s="239"/>
      <c r="L12" s="241"/>
    </row>
    <row r="13" spans="4:12" ht="15" thickBot="1" x14ac:dyDescent="0.25"/>
    <row r="14" spans="4:12" ht="24.75" customHeight="1" x14ac:dyDescent="0.2">
      <c r="D14" s="253" t="s">
        <v>0</v>
      </c>
      <c r="E14" s="255" t="s">
        <v>1</v>
      </c>
      <c r="F14" s="257" t="s">
        <v>5</v>
      </c>
      <c r="G14" s="252" t="s">
        <v>28</v>
      </c>
      <c r="H14" s="252"/>
      <c r="I14" s="251" t="s">
        <v>29</v>
      </c>
      <c r="J14" s="251"/>
      <c r="K14" s="249" t="s">
        <v>30</v>
      </c>
      <c r="L14" s="250"/>
    </row>
    <row r="15" spans="4:12" ht="28.5" customHeight="1" thickBot="1" x14ac:dyDescent="0.25">
      <c r="D15" s="254"/>
      <c r="E15" s="256"/>
      <c r="F15" s="258"/>
      <c r="G15" s="83" t="s">
        <v>31</v>
      </c>
      <c r="H15" s="83" t="s">
        <v>32</v>
      </c>
      <c r="I15" s="83" t="s">
        <v>31</v>
      </c>
      <c r="J15" s="83" t="s">
        <v>32</v>
      </c>
      <c r="K15" s="83" t="s">
        <v>31</v>
      </c>
      <c r="L15" s="84" t="s">
        <v>32</v>
      </c>
    </row>
    <row r="16" spans="4:12" ht="24" customHeight="1" x14ac:dyDescent="0.2">
      <c r="D16" s="77">
        <f>ORÇAMENTO!C13</f>
        <v>1</v>
      </c>
      <c r="E16" s="78" t="str">
        <f>ORÇAMENTO!D13</f>
        <v>ADMINISTRAÇÃO LOCAL</v>
      </c>
      <c r="F16" s="79">
        <f>ORÇAMENTO!J13</f>
        <v>3899.83</v>
      </c>
      <c r="G16" s="80">
        <v>0.5</v>
      </c>
      <c r="H16" s="81">
        <f>F16*G16</f>
        <v>1949.915</v>
      </c>
      <c r="I16" s="80">
        <v>0.5</v>
      </c>
      <c r="J16" s="79">
        <f>I16*$F$16</f>
        <v>1949.915</v>
      </c>
      <c r="K16" s="176">
        <f>G16+I16</f>
        <v>1</v>
      </c>
      <c r="L16" s="82">
        <f>H16+J16</f>
        <v>3899.83</v>
      </c>
    </row>
    <row r="17" spans="4:15" ht="22.5" customHeight="1" x14ac:dyDescent="0.2">
      <c r="D17" s="32">
        <f>ORÇAMENTO!C17</f>
        <v>2</v>
      </c>
      <c r="E17" s="38" t="str">
        <f>ORÇAMENTO!D17</f>
        <v>ILUMINAÇÃO DO CAMPO</v>
      </c>
      <c r="F17" s="31">
        <f>ORÇAMENTO!J17</f>
        <v>160991.60516806398</v>
      </c>
      <c r="G17" s="39">
        <f>H17/F17</f>
        <v>0.70950134944950938</v>
      </c>
      <c r="H17" s="31">
        <f>SUM(ORÇAMENTO!J18:J22)</f>
        <v>114223.76111678399</v>
      </c>
      <c r="I17" s="39">
        <f>J17/F17</f>
        <v>0.29049865055049079</v>
      </c>
      <c r="J17" s="31">
        <f>SUM(ORÇAMENTO!J23:J41)</f>
        <v>46767.844051280008</v>
      </c>
      <c r="K17" s="176">
        <f t="shared" ref="K17:K18" si="0">G17+I17</f>
        <v>1.0000000000000002</v>
      </c>
      <c r="L17" s="82">
        <f t="shared" ref="L17:L18" si="1">H17+J17</f>
        <v>160991.60516806401</v>
      </c>
    </row>
    <row r="18" spans="4:15" ht="22.5" customHeight="1" x14ac:dyDescent="0.2">
      <c r="D18" s="32">
        <f>ORÇAMENTO!C43</f>
        <v>3</v>
      </c>
      <c r="E18" s="38" t="str">
        <f>ORÇAMENTO!D43</f>
        <v>CERCAMENTO</v>
      </c>
      <c r="F18" s="31">
        <f>ORÇAMENTO!J43</f>
        <v>50130.698891833119</v>
      </c>
      <c r="G18" s="39">
        <f>H18/F18</f>
        <v>5.3372779072822556E-2</v>
      </c>
      <c r="H18" s="31">
        <f>SUM(ORÇAMENTO!J44)</f>
        <v>2675.6147167199997</v>
      </c>
      <c r="I18" s="39">
        <f>J18/F18</f>
        <v>0.94662722092717733</v>
      </c>
      <c r="J18" s="31">
        <f>SUM(ORÇAMENTO!J45:J46)</f>
        <v>47455.084175113116</v>
      </c>
      <c r="K18" s="176">
        <f t="shared" si="0"/>
        <v>0.99999999999999989</v>
      </c>
      <c r="L18" s="82">
        <f t="shared" si="1"/>
        <v>50130.698891833119</v>
      </c>
    </row>
    <row r="19" spans="4:15" ht="15" thickBot="1" x14ac:dyDescent="0.25">
      <c r="D19" s="246"/>
      <c r="E19" s="246"/>
      <c r="F19" s="246"/>
      <c r="G19" s="246"/>
      <c r="H19" s="246"/>
      <c r="I19" s="246"/>
      <c r="J19" s="246"/>
      <c r="K19" s="246"/>
      <c r="L19" s="246"/>
    </row>
    <row r="20" spans="4:15" ht="25.5" customHeight="1" thickBot="1" x14ac:dyDescent="0.25">
      <c r="D20" s="247" t="s">
        <v>34</v>
      </c>
      <c r="E20" s="248"/>
      <c r="F20" s="33">
        <f>SUM(F16:F18)</f>
        <v>215022.1340598971</v>
      </c>
      <c r="G20" s="86">
        <f>H20/F20</f>
        <v>0.55273049610974945</v>
      </c>
      <c r="H20" s="34">
        <f>SUM(H16:H18)</f>
        <v>118849.29083350398</v>
      </c>
      <c r="I20" s="87">
        <f>J20/F20</f>
        <v>0.44726950389025061</v>
      </c>
      <c r="J20" s="34">
        <f>SUM(J16:J18)</f>
        <v>96172.843226393132</v>
      </c>
      <c r="K20" s="35">
        <f>L20/F20</f>
        <v>1</v>
      </c>
      <c r="L20" s="34">
        <f>SUM(L16:L18)</f>
        <v>215022.1340598971</v>
      </c>
    </row>
    <row r="21" spans="4:15" ht="25.5" customHeight="1" x14ac:dyDescent="0.2">
      <c r="D21" s="6" t="s">
        <v>24</v>
      </c>
      <c r="E21" s="36">
        <f ca="1">TODAY()</f>
        <v>46101</v>
      </c>
      <c r="F21" s="41"/>
      <c r="G21" s="42"/>
      <c r="H21" s="41"/>
      <c r="I21" s="43"/>
      <c r="J21" s="41"/>
      <c r="K21" s="44"/>
      <c r="L21" s="41"/>
    </row>
    <row r="22" spans="4:15" ht="25.5" customHeight="1" x14ac:dyDescent="0.2">
      <c r="D22" s="6"/>
      <c r="E22" s="36"/>
      <c r="F22" s="171"/>
      <c r="G22" s="42"/>
      <c r="H22" s="171"/>
      <c r="I22" s="170"/>
      <c r="J22" s="171"/>
      <c r="K22" s="170"/>
      <c r="L22" s="171"/>
    </row>
    <row r="23" spans="4:15" ht="25.5" customHeight="1" x14ac:dyDescent="0.2">
      <c r="F23" s="234"/>
      <c r="G23" s="234"/>
      <c r="H23" s="234"/>
      <c r="I23" s="175"/>
      <c r="J23" s="236"/>
      <c r="K23" s="236"/>
      <c r="L23" s="236"/>
    </row>
    <row r="24" spans="4:15" ht="13.9" customHeight="1" x14ac:dyDescent="0.2">
      <c r="F24" s="234"/>
      <c r="G24" s="234"/>
      <c r="H24" s="234"/>
      <c r="I24" s="175"/>
      <c r="J24" s="236"/>
      <c r="K24" s="236"/>
      <c r="L24" s="236"/>
    </row>
    <row r="25" spans="4:15" ht="13.9" customHeight="1" x14ac:dyDescent="0.2">
      <c r="F25" s="234"/>
      <c r="G25" s="234"/>
      <c r="H25" s="234"/>
      <c r="I25" s="175"/>
      <c r="J25" s="236"/>
      <c r="K25" s="236"/>
      <c r="L25" s="236"/>
    </row>
    <row r="26" spans="4:15" ht="13.9" customHeight="1" x14ac:dyDescent="0.2">
      <c r="F26" s="234"/>
      <c r="G26" s="234"/>
      <c r="H26" s="234"/>
      <c r="I26" s="175"/>
      <c r="J26" s="236"/>
      <c r="K26" s="236"/>
      <c r="L26" s="236"/>
    </row>
    <row r="27" spans="4:15" ht="13.9" customHeight="1" x14ac:dyDescent="0.2">
      <c r="F27" s="234"/>
      <c r="G27" s="234"/>
      <c r="H27" s="234"/>
      <c r="I27" s="175"/>
      <c r="J27" s="236"/>
      <c r="K27" s="236"/>
      <c r="L27" s="236"/>
    </row>
    <row r="28" spans="4:15" ht="14.25" customHeight="1" x14ac:dyDescent="0.2">
      <c r="F28" s="235"/>
      <c r="G28" s="235"/>
      <c r="H28" s="235"/>
      <c r="I28" s="175"/>
      <c r="J28" s="237"/>
      <c r="K28" s="237"/>
      <c r="L28" s="237"/>
    </row>
    <row r="29" spans="4:15" x14ac:dyDescent="0.2">
      <c r="F29" s="271" t="s">
        <v>35</v>
      </c>
      <c r="G29" s="271"/>
      <c r="H29" s="271"/>
      <c r="I29" s="37"/>
      <c r="J29" s="271" t="str">
        <f>ORÇAMENTO!J59</f>
        <v>Prefeitura Municipal de Iomerê</v>
      </c>
      <c r="K29" s="271"/>
      <c r="L29" s="271"/>
    </row>
    <row r="30" spans="4:15" x14ac:dyDescent="0.2">
      <c r="F30" s="270" t="s">
        <v>37</v>
      </c>
      <c r="G30" s="270"/>
      <c r="H30" s="270"/>
      <c r="I30" s="37"/>
      <c r="J30" s="270" t="str">
        <f>ORÇAMENTO!J60</f>
        <v>Araceli Mezzomo Weirich</v>
      </c>
      <c r="K30" s="270"/>
      <c r="L30" s="270"/>
    </row>
    <row r="31" spans="4:15" x14ac:dyDescent="0.2">
      <c r="F31" s="270" t="s">
        <v>36</v>
      </c>
      <c r="G31" s="270"/>
      <c r="H31" s="270"/>
      <c r="I31" s="37"/>
      <c r="J31" s="270" t="str">
        <f>ORÇAMENTO!J61</f>
        <v>Secretária de Educação, Cultura, Esporte e Turismo</v>
      </c>
      <c r="K31" s="270"/>
      <c r="L31" s="270"/>
    </row>
    <row r="32" spans="4:15" x14ac:dyDescent="0.2">
      <c r="F32" s="270" t="s">
        <v>38</v>
      </c>
      <c r="G32" s="270"/>
      <c r="H32" s="270"/>
      <c r="I32" s="37"/>
      <c r="K32" s="63"/>
      <c r="L32" s="63"/>
      <c r="M32" s="37"/>
      <c r="N32" s="37"/>
      <c r="O32" s="37"/>
    </row>
    <row r="33" spans="9:9" x14ac:dyDescent="0.2">
      <c r="I33" s="37"/>
    </row>
  </sheetData>
  <mergeCells count="29">
    <mergeCell ref="F32:H32"/>
    <mergeCell ref="J29:L29"/>
    <mergeCell ref="J30:L30"/>
    <mergeCell ref="J31:L31"/>
    <mergeCell ref="F29:H29"/>
    <mergeCell ref="F30:H30"/>
    <mergeCell ref="F31:H31"/>
    <mergeCell ref="D4:L4"/>
    <mergeCell ref="D5:L5"/>
    <mergeCell ref="D6:E6"/>
    <mergeCell ref="F6:L6"/>
    <mergeCell ref="D7:E7"/>
    <mergeCell ref="F7:L7"/>
    <mergeCell ref="F23:H28"/>
    <mergeCell ref="J23:L28"/>
    <mergeCell ref="K11:K12"/>
    <mergeCell ref="L11:L12"/>
    <mergeCell ref="D8:J8"/>
    <mergeCell ref="D11:J11"/>
    <mergeCell ref="D12:J12"/>
    <mergeCell ref="D9:J10"/>
    <mergeCell ref="D19:L19"/>
    <mergeCell ref="D20:E20"/>
    <mergeCell ref="K14:L14"/>
    <mergeCell ref="I14:J14"/>
    <mergeCell ref="G14:H14"/>
    <mergeCell ref="D14:D15"/>
    <mergeCell ref="E14:E15"/>
    <mergeCell ref="F14:F15"/>
  </mergeCells>
  <pageMargins left="0.511811024" right="0.511811024" top="0.78740157499999996" bottom="0.78740157499999996" header="0.31496062000000002" footer="0.31496062000000002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</vt:lpstr>
      <vt:lpstr>COMPOSIÇÕES</vt:lpstr>
      <vt:lpstr>CRONOGRAMA</vt:lpstr>
      <vt:lpstr>COMPOSIÇÕES!Area_de_impressao</vt:lpstr>
      <vt:lpstr>CRONOGRAMA!Area_de_impressao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 Iomere</dc:creator>
  <cp:lastModifiedBy>Engenharia Iomere</cp:lastModifiedBy>
  <cp:lastPrinted>2026-03-05T13:13:43Z</cp:lastPrinted>
  <dcterms:created xsi:type="dcterms:W3CDTF">2024-08-13T13:18:47Z</dcterms:created>
  <dcterms:modified xsi:type="dcterms:W3CDTF">2026-03-20T14:43:53Z</dcterms:modified>
</cp:coreProperties>
</file>