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Usuário\Dropbox\A - E2I Engenharia\E - Prefeitura Municipal de Luisburgo\A - PROJETOS\50-Reforma das escolas municipais\"/>
    </mc:Choice>
  </mc:AlternateContent>
  <xr:revisionPtr revIDLastSave="0" documentId="13_ncr:1_{70CDB907-975C-4269-8DFF-6D3E8F770C5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LANILHA" sheetId="1" r:id="rId1"/>
    <sheet name="CRONOGRAMA" sheetId="2" r:id="rId2"/>
  </sheets>
  <definedNames>
    <definedName name="_xlnm._FilterDatabase" localSheetId="0" hidden="1">PLANILHA!$G$1:$G$523</definedName>
    <definedName name="_xlnm.Print_Area" localSheetId="1">CRONOGRAMA!$A$1:$Q$33</definedName>
    <definedName name="_xlnm.Print_Area" localSheetId="0">PLANILHA!$A$1:$J$297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NzaABONjY+4nVGhYamhQoxdXgrKljGTRerTH8FsdcnY="/>
    </ext>
  </extLst>
</workbook>
</file>

<file path=xl/calcChain.xml><?xml version="1.0" encoding="utf-8"?>
<calcChain xmlns="http://schemas.openxmlformats.org/spreadsheetml/2006/main">
  <c r="D78" i="1" l="1"/>
  <c r="D198" i="1"/>
  <c r="D229" i="1"/>
  <c r="D235" i="1" s="1"/>
  <c r="D172" i="1"/>
  <c r="D66" i="1"/>
  <c r="D50" i="1"/>
  <c r="D207" i="1"/>
  <c r="D284" i="1"/>
  <c r="D241" i="1"/>
  <c r="D232" i="1"/>
  <c r="D214" i="1"/>
  <c r="D201" i="1"/>
  <c r="D175" i="1"/>
  <c r="D181" i="1"/>
  <c r="D178" i="1"/>
  <c r="D147" i="1"/>
  <c r="D133" i="1" l="1"/>
  <c r="D131" i="1"/>
  <c r="D60" i="1"/>
  <c r="D56" i="1"/>
  <c r="D282" i="1"/>
  <c r="G282" i="1" s="1"/>
  <c r="D280" i="1"/>
  <c r="G280" i="1" s="1"/>
  <c r="D23" i="1"/>
  <c r="D47" i="1"/>
  <c r="D35" i="1"/>
  <c r="D32" i="1"/>
  <c r="D29" i="1"/>
  <c r="D20" i="1"/>
  <c r="D17" i="1"/>
  <c r="D14" i="1"/>
  <c r="D11" i="1"/>
  <c r="B28" i="2" l="1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C289" i="1"/>
  <c r="C288" i="1"/>
  <c r="G284" i="1"/>
  <c r="F280" i="1" l="1"/>
  <c r="F282" i="1"/>
  <c r="F175" i="1"/>
  <c r="G175" i="1" s="1"/>
  <c r="F172" i="1"/>
  <c r="G172" i="1" s="1"/>
  <c r="F20" i="1"/>
  <c r="G20" i="1" s="1"/>
  <c r="F184" i="1"/>
  <c r="G184" i="1" s="1"/>
  <c r="F284" i="1"/>
  <c r="F164" i="1"/>
  <c r="G164" i="1" s="1"/>
  <c r="F17" i="1"/>
  <c r="G17" i="1" s="1"/>
  <c r="F26" i="1"/>
  <c r="G26" i="1" s="1"/>
  <c r="F41" i="1"/>
  <c r="G41" i="1" s="1"/>
  <c r="F29" i="1"/>
  <c r="G29" i="1" s="1"/>
  <c r="F32" i="1"/>
  <c r="G32" i="1" s="1"/>
  <c r="F120" i="1"/>
  <c r="G120" i="1" s="1"/>
  <c r="F38" i="1"/>
  <c r="G38" i="1" s="1"/>
  <c r="F50" i="1"/>
  <c r="G50" i="1" s="1"/>
  <c r="F11" i="1"/>
  <c r="G11" i="1" s="1"/>
  <c r="F70" i="1"/>
  <c r="G70" i="1" s="1"/>
  <c r="F23" i="1"/>
  <c r="G23" i="1" s="1"/>
  <c r="F78" i="1"/>
  <c r="G78" i="1" s="1"/>
  <c r="F105" i="1"/>
  <c r="G105" i="1" s="1"/>
  <c r="F83" i="1"/>
  <c r="G83" i="1" s="1"/>
  <c r="F99" i="1"/>
  <c r="G99" i="1" s="1"/>
  <c r="F86" i="1"/>
  <c r="G86" i="1" s="1"/>
  <c r="F90" i="1"/>
  <c r="G90" i="1" s="1"/>
  <c r="F131" i="1"/>
  <c r="G131" i="1" s="1"/>
  <c r="F124" i="1"/>
  <c r="G124" i="1" s="1"/>
  <c r="F135" i="1"/>
  <c r="G135" i="1" s="1"/>
  <c r="F142" i="1"/>
  <c r="G142" i="1" s="1"/>
  <c r="F7" i="1"/>
  <c r="G7" i="1" s="1"/>
  <c r="F47" i="1"/>
  <c r="G47" i="1" s="1"/>
  <c r="F56" i="1"/>
  <c r="G56" i="1" s="1"/>
  <c r="F60" i="1"/>
  <c r="G60" i="1" s="1"/>
  <c r="F117" i="1"/>
  <c r="G117" i="1" s="1"/>
  <c r="F133" i="1"/>
  <c r="G133" i="1" s="1"/>
  <c r="F14" i="1"/>
  <c r="G14" i="1" s="1"/>
  <c r="F75" i="1"/>
  <c r="G75" i="1" s="1"/>
  <c r="F93" i="1"/>
  <c r="G93" i="1" s="1"/>
  <c r="F112" i="1"/>
  <c r="G112" i="1" s="1"/>
  <c r="F35" i="1"/>
  <c r="G35" i="1" s="1"/>
  <c r="F66" i="1"/>
  <c r="G66" i="1" s="1"/>
  <c r="F114" i="1"/>
  <c r="G114" i="1" s="1"/>
  <c r="F96" i="1"/>
  <c r="G96" i="1" s="1"/>
  <c r="F138" i="1"/>
  <c r="G138" i="1" s="1"/>
  <c r="F150" i="1"/>
  <c r="G150" i="1" s="1"/>
  <c r="F157" i="1"/>
  <c r="G157" i="1" s="1"/>
  <c r="F147" i="1"/>
  <c r="G147" i="1" s="1"/>
  <c r="F198" i="1"/>
  <c r="G198" i="1" s="1"/>
  <c r="F187" i="1"/>
  <c r="G187" i="1" s="1"/>
  <c r="F193" i="1"/>
  <c r="G193" i="1" s="1"/>
  <c r="F155" i="1"/>
  <c r="G155" i="1" s="1"/>
  <c r="F181" i="1"/>
  <c r="G181" i="1" s="1"/>
  <c r="F211" i="1"/>
  <c r="G211" i="1" s="1"/>
  <c r="F235" i="1"/>
  <c r="G235" i="1" s="1"/>
  <c r="F241" i="1"/>
  <c r="G241" i="1" s="1"/>
  <c r="F218" i="1"/>
  <c r="G218" i="1" s="1"/>
  <c r="F201" i="1"/>
  <c r="G201" i="1" s="1"/>
  <c r="F207" i="1"/>
  <c r="G207" i="1" s="1"/>
  <c r="F214" i="1"/>
  <c r="G214" i="1" s="1"/>
  <c r="F167" i="1"/>
  <c r="G167" i="1" s="1"/>
  <c r="F223" i="1"/>
  <c r="G223" i="1" s="1"/>
  <c r="F178" i="1"/>
  <c r="G178" i="1" s="1"/>
  <c r="F254" i="1"/>
  <c r="G254" i="1" s="1"/>
  <c r="F251" i="1"/>
  <c r="G251" i="1" s="1"/>
  <c r="F262" i="1"/>
  <c r="G262" i="1" s="1"/>
  <c r="F260" i="1"/>
  <c r="G260" i="1" s="1"/>
  <c r="F276" i="1"/>
  <c r="G276" i="1" s="1"/>
  <c r="G286" i="1"/>
  <c r="F229" i="1"/>
  <c r="G229" i="1" s="1"/>
  <c r="F232" i="1"/>
  <c r="G232" i="1" s="1"/>
  <c r="F246" i="1"/>
  <c r="G246" i="1" s="1"/>
  <c r="F267" i="1"/>
  <c r="G267" i="1" s="1"/>
  <c r="G144" i="1" l="1"/>
  <c r="C15" i="2" s="1"/>
  <c r="J15" i="2" s="1"/>
  <c r="G189" i="1"/>
  <c r="C18" i="2" s="1"/>
  <c r="J18" i="2" s="1"/>
  <c r="G195" i="1"/>
  <c r="C19" i="2" s="1"/>
  <c r="L19" i="2" s="1"/>
  <c r="G9" i="1"/>
  <c r="C10" i="2" s="1"/>
  <c r="J10" i="2" s="1"/>
  <c r="G52" i="1"/>
  <c r="C12" i="2" s="1"/>
  <c r="J12" i="2" s="1"/>
  <c r="G80" i="1"/>
  <c r="C13" i="2" s="1"/>
  <c r="F13" i="2" s="1"/>
  <c r="G126" i="1"/>
  <c r="C14" i="2" s="1"/>
  <c r="L14" i="2" s="1"/>
  <c r="G48" i="1"/>
  <c r="C11" i="2" s="1"/>
  <c r="P11" i="2" s="1"/>
  <c r="G204" i="1"/>
  <c r="C20" i="2" s="1"/>
  <c r="H20" i="2" s="1"/>
  <c r="G158" i="1"/>
  <c r="C16" i="2" s="1"/>
  <c r="H16" i="2" s="1"/>
  <c r="G169" i="1"/>
  <c r="C17" i="2" s="1"/>
  <c r="J17" i="2" s="1"/>
  <c r="G220" i="1"/>
  <c r="C21" i="2" s="1"/>
  <c r="P21" i="2" s="1"/>
  <c r="G226" i="1"/>
  <c r="C22" i="2" s="1"/>
  <c r="N22" i="2" s="1"/>
  <c r="G238" i="1"/>
  <c r="C23" i="2" s="1"/>
  <c r="H23" i="2" s="1"/>
  <c r="G264" i="1"/>
  <c r="C25" i="2" s="1"/>
  <c r="L25" i="2" s="1"/>
  <c r="G278" i="1"/>
  <c r="C27" i="2" s="1"/>
  <c r="H27" i="2" s="1"/>
  <c r="G271" i="1"/>
  <c r="C26" i="2" s="1"/>
  <c r="J26" i="2" s="1"/>
  <c r="G248" i="1"/>
  <c r="C24" i="2" s="1"/>
  <c r="J24" i="2" s="1"/>
  <c r="C28" i="2"/>
  <c r="G287" i="1" l="1"/>
  <c r="G290" i="1" s="1"/>
  <c r="G4" i="1" s="1"/>
  <c r="N10" i="2"/>
  <c r="P10" i="2"/>
  <c r="L10" i="2"/>
  <c r="F10" i="2"/>
  <c r="H10" i="2"/>
  <c r="N12" i="2"/>
  <c r="L12" i="2"/>
  <c r="P12" i="2"/>
  <c r="H14" i="2"/>
  <c r="P13" i="2"/>
  <c r="L15" i="2"/>
  <c r="N14" i="2"/>
  <c r="P14" i="2"/>
  <c r="F14" i="2"/>
  <c r="N15" i="2"/>
  <c r="J14" i="2"/>
  <c r="J13" i="2"/>
  <c r="F12" i="2"/>
  <c r="H13" i="2"/>
  <c r="L13" i="2"/>
  <c r="H12" i="2"/>
  <c r="N13" i="2"/>
  <c r="P15" i="2"/>
  <c r="F15" i="2"/>
  <c r="H15" i="2"/>
  <c r="J11" i="2"/>
  <c r="H11" i="2"/>
  <c r="L11" i="2"/>
  <c r="F11" i="2"/>
  <c r="N11" i="2"/>
  <c r="N17" i="2"/>
  <c r="F19" i="2"/>
  <c r="H19" i="2"/>
  <c r="P19" i="2"/>
  <c r="P17" i="2"/>
  <c r="L17" i="2"/>
  <c r="F20" i="2"/>
  <c r="P20" i="2"/>
  <c r="L20" i="2"/>
  <c r="N20" i="2"/>
  <c r="F17" i="2"/>
  <c r="N21" i="2"/>
  <c r="J20" i="2"/>
  <c r="H17" i="2"/>
  <c r="F21" i="2"/>
  <c r="H21" i="2"/>
  <c r="J21" i="2"/>
  <c r="L21" i="2"/>
  <c r="N16" i="2"/>
  <c r="L16" i="2"/>
  <c r="P16" i="2"/>
  <c r="F16" i="2"/>
  <c r="J16" i="2"/>
  <c r="F18" i="2"/>
  <c r="P18" i="2"/>
  <c r="J19" i="2"/>
  <c r="N18" i="2"/>
  <c r="L18" i="2"/>
  <c r="N19" i="2"/>
  <c r="H18" i="2"/>
  <c r="P22" i="2"/>
  <c r="H22" i="2"/>
  <c r="F22" i="2"/>
  <c r="J22" i="2"/>
  <c r="L22" i="2"/>
  <c r="F27" i="2"/>
  <c r="L27" i="2"/>
  <c r="H26" i="2"/>
  <c r="N25" i="2"/>
  <c r="J23" i="2"/>
  <c r="P27" i="2"/>
  <c r="H24" i="2"/>
  <c r="N24" i="2"/>
  <c r="H25" i="2"/>
  <c r="J27" i="2"/>
  <c r="L26" i="2"/>
  <c r="N23" i="2"/>
  <c r="P25" i="2"/>
  <c r="N26" i="2"/>
  <c r="N27" i="2"/>
  <c r="L23" i="2"/>
  <c r="F26" i="2"/>
  <c r="F23" i="2"/>
  <c r="P26" i="2"/>
  <c r="P23" i="2"/>
  <c r="F25" i="2"/>
  <c r="L24" i="2"/>
  <c r="J25" i="2"/>
  <c r="P24" i="2"/>
  <c r="F24" i="2"/>
  <c r="J28" i="2"/>
  <c r="H28" i="2"/>
  <c r="F28" i="2"/>
  <c r="P28" i="2"/>
  <c r="L28" i="2"/>
  <c r="N28" i="2"/>
  <c r="C30" i="2"/>
  <c r="D28" i="2" l="1"/>
  <c r="Q10" i="2"/>
  <c r="S10" i="2" s="1"/>
  <c r="Q14" i="2"/>
  <c r="S14" i="2" s="1"/>
  <c r="Q13" i="2"/>
  <c r="S13" i="2" s="1"/>
  <c r="Q12" i="2"/>
  <c r="S12" i="2" s="1"/>
  <c r="Q15" i="2"/>
  <c r="S15" i="2" s="1"/>
  <c r="Q11" i="2"/>
  <c r="S11" i="2" s="1"/>
  <c r="Q21" i="2"/>
  <c r="S21" i="2" s="1"/>
  <c r="Q20" i="2"/>
  <c r="S20" i="2" s="1"/>
  <c r="Q16" i="2"/>
  <c r="S16" i="2" s="1"/>
  <c r="Q17" i="2"/>
  <c r="S17" i="2" s="1"/>
  <c r="Q19" i="2"/>
  <c r="S19" i="2" s="1"/>
  <c r="Q18" i="2"/>
  <c r="S18" i="2" s="1"/>
  <c r="Q22" i="2"/>
  <c r="S22" i="2" s="1"/>
  <c r="L29" i="2"/>
  <c r="K29" i="2" s="1"/>
  <c r="H29" i="2"/>
  <c r="G29" i="2" s="1"/>
  <c r="P29" i="2"/>
  <c r="O29" i="2" s="1"/>
  <c r="Q27" i="2"/>
  <c r="S27" i="2" s="1"/>
  <c r="Q23" i="2"/>
  <c r="S23" i="2" s="1"/>
  <c r="Q26" i="2"/>
  <c r="S26" i="2" s="1"/>
  <c r="Q25" i="2"/>
  <c r="S25" i="2" s="1"/>
  <c r="J29" i="2"/>
  <c r="I29" i="2" s="1"/>
  <c r="Q24" i="2"/>
  <c r="S24" i="2" s="1"/>
  <c r="N29" i="2"/>
  <c r="M29" i="2" s="1"/>
  <c r="Q28" i="2"/>
  <c r="S28" i="2" s="1"/>
  <c r="D18" i="2"/>
  <c r="D10" i="2"/>
  <c r="D17" i="2"/>
  <c r="D23" i="2"/>
  <c r="D11" i="2"/>
  <c r="D12" i="2"/>
  <c r="D26" i="2"/>
  <c r="D19" i="2"/>
  <c r="D25" i="2"/>
  <c r="D21" i="2"/>
  <c r="D20" i="2"/>
  <c r="D13" i="2"/>
  <c r="D22" i="2"/>
  <c r="D24" i="2"/>
  <c r="D16" i="2"/>
  <c r="D15" i="2"/>
  <c r="D14" i="2"/>
  <c r="D27" i="2"/>
  <c r="F29" i="2"/>
  <c r="Q29" i="2" l="1"/>
  <c r="Q30" i="2" s="1"/>
  <c r="S30" i="2" s="1"/>
  <c r="D30" i="2"/>
  <c r="F30" i="2"/>
  <c r="E29" i="2"/>
  <c r="H30" i="2" l="1"/>
  <c r="E30" i="2"/>
  <c r="G30" i="2" l="1"/>
  <c r="J30" i="2"/>
  <c r="I30" i="2" l="1"/>
  <c r="L30" i="2"/>
  <c r="N30" i="2" l="1"/>
  <c r="K30" i="2"/>
  <c r="P30" i="2" l="1"/>
  <c r="O30" i="2" s="1"/>
  <c r="M30" i="2"/>
</calcChain>
</file>

<file path=xl/sharedStrings.xml><?xml version="1.0" encoding="utf-8"?>
<sst xmlns="http://schemas.openxmlformats.org/spreadsheetml/2006/main" count="525" uniqueCount="431">
  <si>
    <r>
      <rPr>
        <b/>
        <sz val="14"/>
        <color theme="1"/>
        <rFont val="Calibri"/>
        <family val="2"/>
      </rPr>
      <t xml:space="preserve">        SECRETARIA DE ESTADO DE EDUCAÇÃO - SUPERINTENDÊNCIA DE INFRAESTRUTURA E LOGÍSTICA - DIRETORIA DE GESTÃO DE PARCERIAS E FISCALIZAÇÃO -</t>
    </r>
    <r>
      <rPr>
        <b/>
        <sz val="14"/>
        <color rgb="FFFF0000"/>
        <rFont val="Calibri"/>
        <family val="2"/>
      </rPr>
      <t xml:space="preserve"> PLANILHA DE SERVIÇOS </t>
    </r>
    <r>
      <rPr>
        <b/>
        <sz val="14"/>
        <color theme="1"/>
        <rFont val="Calibri"/>
        <family val="2"/>
      </rPr>
      <t>- SEM DESONERAÇÃO</t>
    </r>
  </si>
  <si>
    <t>COD ESCOLA:</t>
  </si>
  <si>
    <t>S.R.E.:</t>
  </si>
  <si>
    <t>ISS</t>
  </si>
  <si>
    <t>SERVIÇOS:</t>
  </si>
  <si>
    <t>CONSTRUÇÃO / AMPLIAÇÃO / REFORMA</t>
  </si>
  <si>
    <t>ITEM</t>
  </si>
  <si>
    <t>DESCRIÇÃO</t>
  </si>
  <si>
    <t>UN</t>
  </si>
  <si>
    <t>ANALISADO</t>
  </si>
  <si>
    <t>LOCAL DE INTERVENÇÃO</t>
  </si>
  <si>
    <t>QUANT.</t>
  </si>
  <si>
    <t>P. UNIT. (S/BDI)</t>
  </si>
  <si>
    <t>P. UNIT. (C/BDI)</t>
  </si>
  <si>
    <t>P. TOTAL (C/BDI)</t>
  </si>
  <si>
    <t>MEMÓRIA DE CALCULO</t>
  </si>
  <si>
    <t>010000</t>
  </si>
  <si>
    <t>INSTALAÇÃO DOS SERVIÇOS DE ENGENHARIA</t>
  </si>
  <si>
    <t>M</t>
  </si>
  <si>
    <t>010003</t>
  </si>
  <si>
    <t>Fornecimento e colocação de placa dos serviços de engenharia em chapa galvanizada (3,00 X 1,50m)   -  Governo do Estado  -  (Ampliação e / ou Reforma acima de R$ 30.000,00)</t>
  </si>
  <si>
    <t>Será medido por unidade de placa instalada (UN).
O item remunera as placas de obras que deverão ser confeccionadas em chapa galvanizada 0,26. As chapas serão afixadas com rebites 540 e parafusos 3/8, em uma estrutura metálica com viga U 2” enrijecida e Metalon 20x20. O suporte para a instalação deverá ser em Eucalipto Autoclavado. As placas serão pintadas na frente e no verso com fundo anticorrosivo e tinta automotiva. FORMATO: 3,00 x 1,50m. O tamanho da placa é definido em função do local da sua instalação e/ou do valor dos serviços acima de R$ 30.000,00, obedecendo à proporção de 6,00 x 3,00m e o manual de identidade visual do Governo de Minas.</t>
  </si>
  <si>
    <t>M²</t>
  </si>
  <si>
    <t>SUB-TOTAL =</t>
  </si>
  <si>
    <t>020000</t>
  </si>
  <si>
    <t>DEMOLIÇÕES E REMOÇÕES</t>
  </si>
  <si>
    <t>020003</t>
  </si>
  <si>
    <t>Demolição de alvenaria de elevação em tijolo comum ou elemento vazado, incluindo o revestimento.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</si>
  <si>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3</t>
    </r>
  </si>
  <si>
    <t>Será medido pelo volume real demolido, aferido antes da demolição (m³). 
O item remunera o fornecimento da mão-de-obra necessária e ferramentas adequadas para a execução dos serviços: desmonte, demolição, fragmentação de elementos em alvenaria de elevação em tijolo comum ou elemento vazado, manualmente; a seleção e acomodação manual do entulho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</si>
  <si>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020004</t>
  </si>
  <si>
    <t>Demolição de revestimento cerâmico incluindo base</t>
  </si>
  <si>
    <t>Será medido por área real de revestimento cerâmico, inclusive a base, demolido, aferida antes da demolição (m²).
O item remunera o fornecimento da mão-de-obra necessária e ferramentas adequadas para a execução dos serviços: demolição, fragmentação de revestimentos cerâmicos, inclusive a base de assentamento, manualmente; a seleção e acomodação manual do entulho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  serviços.</t>
  </si>
  <si>
    <t>Será medido pela área de cobertura em projeção horizontal (m²), com os acréscimos:
a) 5% para cobertura de 18% a 27% de inclinação;
b) 8% para cobertura de 28% a 38% de inclinação;
c) 12% para cobertura de 39% a 50% de inclinação.
O item remunera o fornecimento da mão-de-obra necessária para a retirada completa das telhas de cerâmica, inclusive elementos de fixação, a seleção e a guarda das peças reaproveitáveis. Remunera também; a carga, o transporte o descarregamento; a seleção e acomodação manual do entulho das peças não reaproveitadas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</si>
  <si>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020008</t>
  </si>
  <si>
    <t>Demolição de cobertura  de telha cerâmica com reaproveitamento</t>
  </si>
  <si>
    <t>020014</t>
  </si>
  <si>
    <t>Demolição de  estrutura de madeira para telhado de telha cerâmica sem reaproveitamento, inclusive transporte e empilhamento</t>
  </si>
  <si>
    <t>Será medido pela área de cobertura em projeção horizontal (m²).
O item remunera o fornecimento da mão-de-obra necessária para a retirada completa da estrutura de madeira, para telhas cerâmicas, a seleção e a guarda das peças possíveis de serem reaproveitáveis. Remunera também; a carga, o transporte o descarregamento; a seleção e acomodação manual do entulho das peças não reaproveitadas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</si>
  <si>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020022</t>
  </si>
  <si>
    <t>Demolição de piso cimentado inclusive a base sobre lastro de concreto.</t>
  </si>
  <si>
    <t>Será medido por área real de piso cimentado, inclusive a base, demolido, medida no projeto ou aferida antes da demolição (m²).
O item remunera o fornecimento da mão-de-obra necessária e ferramentas adequadas para a execução dos serviços: demolição, fragmentação de pisos cimentados, inclusive a base de assentamento, manualmente; a seleção e acomodação manual do entulho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</si>
  <si>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020023</t>
  </si>
  <si>
    <t>Demolição de piso cerâmico inclusive a base sobre lastro de concreto.</t>
  </si>
  <si>
    <t>Será medido por área real de revestimento cerâmico, inclusive a base, demolido, medida no projeto ou aferida antes da demolição (m²).
O item remunera o fornecimento da mão-de-obra necessária e ferramentas adequadas para a execução dos serviços: demolição, fragmentação de revestimentos cerâmicos, inclusive a base de assentamento, manualmente; a seleção e acomodação manual do entulho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</si>
  <si>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020027</t>
  </si>
  <si>
    <t>Remoção de portas, janelas e grades metálicas, inclusive caixilhos</t>
  </si>
  <si>
    <t>Será medido pela área da esquadria retirada (m²).
O item remunera o fornecimento da mão-de-obra necessária para a retirada completa de esquadrias metálicas e acessórios, em geral; a seleção e a guarda das peças reaproveitáveis. Remunera também; a carga, o transporte o descarregamento; a seleção e acomodação manual do entulho das peças não reaproveitadas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</si>
  <si>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020031</t>
  </si>
  <si>
    <t>Retirada de folha de porta ou folha de janela de madeira.</t>
  </si>
  <si>
    <t>Será medido por área retirada (m²).
O item remunera o fornecimento de mão-de-obra necessária para a retirada de folha de esquadria em madeira, a seleção e a guarda das peças reaproveitáveis. Remunera também; a carga, o transporte o descarregamento; a seleção e acomodação manual do entulho das peças não reaproveitadas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</si>
  <si>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020032</t>
  </si>
  <si>
    <t>Remoção de marcos chumbados de madeira, alisares e acessórios</t>
  </si>
  <si>
    <t>Será medido pelo unidade de peças retiradas (un).
O item remunera o fornecimento de mão-de-obra necessária para a retirada de batentes com guarnição e peças lineares em madeira, chumbados; remunera também a seleção e a guarda  das peças reaproveitáveis, a carga, o transporte o descarregamento; a seleção e acomodação manual do entulho das peças não reaproveitadas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</si>
  <si>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020035</t>
  </si>
  <si>
    <t>Remoção de louças (lavatório, pia, tanque, vaso sanitário)</t>
  </si>
  <si>
    <t>Será medido pela quantidade real de louças com provável reaproveitamento ou não, inclusive sistema de fixação medida no projeto ou aferida antes da demolição (un).
O item remunera o fornecimento da mão-de-obra necessária e ferramentas adequadas para a execução dos serviços: remoção de louças e sistema de fixação, fragmentação das unidades sem possibilidade de reaproveitamento e a seleção e acomodação do restante, separação manual do entulho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</si>
  <si>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020100</t>
  </si>
  <si>
    <t>Demolição de forro</t>
  </si>
  <si>
    <t>Será medido por área real de forro demolido, inclusive sistema de fixação, aferida antes da demolição (m²).
O item remunera o fornecimento da mão-de-obra necessária e ferramentas adequadas para a execução dos serviços: demolição, fragmentação de forro, inclusive o sistema de fixação, manualmente; a seleção e acomodação manual do entulho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</si>
  <si>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020103</t>
  </si>
  <si>
    <t xml:space="preserve">Forro de PVC. 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</si>
  <si>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</si>
  <si>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t>040000</t>
  </si>
  <si>
    <t>SONDAGEM, FUNDAÇÕES, MUROS E CONTENÇÕES</t>
  </si>
  <si>
    <t>040005</t>
  </si>
  <si>
    <t>Contrapiso não estrutural impermeabilizado, E=5 cm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</si>
  <si>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</si>
  <si>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t>Será medido pela área onde será executado, na espessura mínima de 5cm (m²).
O item remunera o fornecimento de cimento, areia, pedra britada nº 1, 2, e a mão-de-obra necessária para o apiloamento do terreno e execução do lastro.</t>
  </si>
  <si>
    <t>Execução de:</t>
  </si>
  <si>
    <t>070000</t>
  </si>
  <si>
    <t>COBERTURA E FORRO</t>
  </si>
  <si>
    <t>070100</t>
  </si>
  <si>
    <t xml:space="preserve">Fornecimento, transporte e colocação de telhas, tipo: </t>
  </si>
  <si>
    <t>070105</t>
  </si>
  <si>
    <t xml:space="preserve">Cerâmica Colonial, inclinação 35% (m²= área de projeção do telhado x 1,08) 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</si>
  <si>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</si>
  <si>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r>
      <rPr>
        <sz val="12"/>
        <color theme="1"/>
        <rFont val="Calibri"/>
        <family val="2"/>
      </rPr>
      <t xml:space="preserve">Será medido pela área de cobertura em projeção horizontal (m²) com os acréscimos:
A) 5% para coberturas de 18% a 27% de inclinação;
</t>
    </r>
    <r>
      <rPr>
        <b/>
        <sz val="12"/>
        <color theme="1"/>
        <rFont val="Calibri"/>
        <family val="2"/>
      </rPr>
      <t>B) 8% para coberturas de 28% a 38% de inclinação;</t>
    </r>
    <r>
      <rPr>
        <sz val="12"/>
        <color theme="1"/>
        <rFont val="Calibri"/>
        <family val="2"/>
      </rPr>
      <t xml:space="preserve">
C) 12% para coberturas de 39% a 50% de inclinação.
O item remunera o fornecimento das telhas, materiais, acessórios e a mão-de-obra necessária para a colocação, fixação e emboçamento das telhas.</t>
    </r>
  </si>
  <si>
    <t>070200</t>
  </si>
  <si>
    <t>Fornecimento, transporte e colocação de cumeeira e espigão:</t>
  </si>
  <si>
    <t>070201</t>
  </si>
  <si>
    <t>Para telha cerâmica referência 3 unidades / m</t>
  </si>
  <si>
    <t>Será medido pelo comprimento executado (m).
O item remunera o fornecimento das peças de cumeeiras e ou espigão, materiais acessórios e a mão-de-obra necessária para o assentamento e emboçamento das peças.</t>
  </si>
  <si>
    <t>070400</t>
  </si>
  <si>
    <t>Instalação de Calhas e rufos:</t>
  </si>
  <si>
    <t>Será medido por comprimento instalado (m).
Os itens remuneram o fornecimento e instalação de calhas ou rufos em chapa galvanizada nº 24, com desenvolvimento descrito no item, inclusive materiais acessórios para emendas, junção em outras peças, vedação e fixação.</t>
  </si>
  <si>
    <t>070403</t>
  </si>
  <si>
    <t>Calha de chapa galvanizada, nº 24 desenvolvimento 60 cm</t>
  </si>
  <si>
    <t>070500</t>
  </si>
  <si>
    <t>Condutor de água pluvial e buzinotes</t>
  </si>
  <si>
    <t>Será medido por comprimento instalado (m).
O item remunera o fornecimento de materiais e mão de obra para instalação de tubo na cor branca (condutores) verticais e executadas com PVC reforçado com  as juntas com bolsa e anel de borracha, inclusive materiais acessórios para emendas, suportes, junção em outras peças, vedação e fixação.</t>
  </si>
  <si>
    <t>070502</t>
  </si>
  <si>
    <t>Condutor de água (tubo de PVC branco, com conexões, ponta bolsa e virola, diâmetro da seção 100mm)</t>
  </si>
  <si>
    <t>070600</t>
  </si>
  <si>
    <t>Fornecimento, transporte e execução de engradamento:</t>
  </si>
  <si>
    <t>Será medido pela área de projeção horizontal da cobertura (m²).
O item remunera o fornecimento de: madeira seca maciça, referência Cupiúba, Paraju ou outra madeira classificada conforme a resistência à compressão paralela às fibras de acordo com a NBR 7190 / 97 e a Legislação Brasileira vigente, livre de esmagamentos, isenta de defeitos como nós, fendas ou rachaduras, arqueamento, sinais de deterioração por insetos ou fungos, desbitolamento, ou qualquer outro defeito que comprometa a resistência da madeira; ferragem específica para estrutura abrangendo chapas, estribos, braçadeiras, chumbadores, pregos, parafusos e porcas em aço com acabamento galvanizado a fogo; materiais acessórios, conforme determinações do projeto; equipamentos e a mão-de-obra necessária para a confecção e montagem de estrutura completa em tesouras com vãos conforme abaixo, para cobertura em telhas cerâmicas ou de concreto, constituída por: armação principal em treliças paralelas ( tesouras ) e trama com com terças, caibros e ripas, nas dimensões conforme projeto e determinações da NBR 7190 / 97.</t>
  </si>
  <si>
    <t>070601</t>
  </si>
  <si>
    <t xml:space="preserve">Estrutura de madeira tesourada p/ telha cerâmica ou de concreto, vão de até 7,00m 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</si>
  <si>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</si>
  <si>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t>070700</t>
  </si>
  <si>
    <t>Fornecimento, transporte e colocação de forro:</t>
  </si>
  <si>
    <t>070703</t>
  </si>
  <si>
    <t>Forro de PVC em painéis lineares encaixados entre si e fixados em estrutura de aço (Metalon), dimensões 200x6000 mm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</si>
  <si>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</si>
  <si>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t>Será medido por área de forro instalado (m²).
O item remunera o fornecimento e instalação de forro alveolar extrudado, em lâminas de PVC rígido, auto extinguível, imune à corrosão, resistente a álcool e materiais de limpeza, constituído por: lâminas com largura de 200 mm e espessuras de 8 a 10 mm, estrutura de sustentação primária, em tubos de aço (Metalon) de 20 x 20 mm, espessura de 1,0 mm, com espaçamento máximo de: 500 mm, estrutura de sustentação secundária em perfil cartola de 1 1/4" x 5/8", espessura de 0,7 mm, com espaçamento máximo de: 1000 mm, materiais acessórios para fixação.</t>
  </si>
  <si>
    <t>Será medido pela área onde será executado, na espessura mínima de 3 cm (m²).
O item remunera o fornecimento de cimento, areia e a mão-de-obra necessária para a regularização do contra piso acertando o contrapiso para o recebimento do piso com a utilização de régua para um perfeito acabamento.</t>
  </si>
  <si>
    <t>080000</t>
  </si>
  <si>
    <t>INSTALAÇÕES HIDRÁULICAS</t>
  </si>
  <si>
    <t>080100</t>
  </si>
  <si>
    <t>Fornecimento e instalação de:</t>
  </si>
  <si>
    <t>080102</t>
  </si>
  <si>
    <t>Torneira de pressão metálica com arejador, cromada, para uso em tanques.</t>
  </si>
  <si>
    <t>Será medido por unidade de torneira instalada (un).
O item remunera o fornecimento e instalação de torneira curta com rosca, para uso geral, em latão fundido cromado de 1/2" ou 3/4"; inclusive materiais acessórios necessários à instalação e ligação à rede de água.</t>
  </si>
  <si>
    <t>080103</t>
  </si>
  <si>
    <t>Torneira de pressão metálica para pia de cozinha e laboratórios, bica móvel, de mesa / parede</t>
  </si>
  <si>
    <t>Será medido por unidade de torneira instalada (un).
O item remunera o fornecimento e instalação de torneira para pia com bica móvel e arejador, para instalação em parede ou mesa, em latão fundido cromado de 3/4" ou 1/2"; inclusive materiais acessórios necessários à instalação e ligação à rede de água.</t>
  </si>
  <si>
    <t>080200</t>
  </si>
  <si>
    <t>Será medido por unidade instalada (un).
O item remunera o fornecimento da mão-de-obra, inclusive materiais acessórios, necessários para a instalação de grelha metálica inox com caixilho.</t>
  </si>
  <si>
    <t>080204</t>
  </si>
  <si>
    <t>Grelha metálica c/ porta grelha para caixa sifonada, inox, com fecho giratório 15 x 15 cm</t>
  </si>
  <si>
    <t>080207</t>
  </si>
  <si>
    <t>Lavatório de louça, sem coluna completa para fixação direta.</t>
  </si>
  <si>
    <t>Será medido por unidade instalada (un).
O item remunera o fornecimento e a instalação do lavatório constituído por: lavatório de louça sem coluna; torneira de mesa para lavatório acabamento em latão cromado de 1/2", sifão cromado de 1" x 1 1/2"; tubo de ligação cromado com canopla; válvula metálica de 1" para ligação ao sifão, um par de parafusos com bucha para fixação do lavatório, materiais acessórios necessários para sua instalação e ligação à rede de esgoto.</t>
  </si>
  <si>
    <t>080209</t>
  </si>
  <si>
    <t>Vaso sanitário com caixa acoplada branca.</t>
  </si>
  <si>
    <t>1) Será medido por unidade (conjunto) instalado (un).
O item remunera o fornecimento do conjunto de bacia sifonada em louça e caixa acoplada conforme as normas vigentes NBR 15097 e NBR 15099. Remunera também: bolsa de borracha; anel de borracha de expansão de 4"; tubo de ligação com canopla, parafusos niquelados; massa para fixação e assentamento da base; materiais acessórios e a mão-de-obra necessária para a instalação e ligação às redes de água e esgoto.</t>
  </si>
  <si>
    <t>080212</t>
  </si>
  <si>
    <t>Vaso sanitário sifonado convencional para PCD sem furo frontal com louça branca sem assento, incluso conjunto de ligação para bacia sanitária ajustável - fornecimento e instalação</t>
  </si>
  <si>
    <t>Será medido por unidade instalada (un).
O item remunera o fornecimento da bacia sifonada de louça para atendimento PCD sem furo frontal. com altura mínima sem assento de 43cm. Remunera também: bolsa de borracha; anel de borracha de expansão de 4"; tubo de ligação com canopla, parafusos niquelados; massa para fixação e assentamento da base; materiais acessórios e a mão-de-obra necessária para a instalação e ligação às redes de água e esgoto.</t>
  </si>
  <si>
    <t>080400</t>
  </si>
  <si>
    <t>Fornecimento e instalação de registro de gaveta com e sem acabamento:</t>
  </si>
  <si>
    <t>Será medido por unidade de registro instalado (un).
O item remunera o fornecimento e instalação de registro de gaveta em latão fundido, diâmetro e acabamento como especificado, inclusive materiais acessórios e de vedação.</t>
  </si>
  <si>
    <t>080407</t>
  </si>
  <si>
    <t>Com canopla diâmetro 25mm (3/4") - (acabamento cromado)</t>
  </si>
  <si>
    <t>080600</t>
  </si>
  <si>
    <t>Fornecimento, transporte e instalação de:</t>
  </si>
  <si>
    <t>080700</t>
  </si>
  <si>
    <t>Fornecimento, transporte e instalação da rede de água fria em tubo em PVC:</t>
  </si>
  <si>
    <t>Será medido por comprimento (m):
O item remunera o fornecimento e instalação de tubos de PVC rígido soldável  ou roscável de diâmetro especificado; para rede de água fria, inclusive conexões e materiais acessórios; abertura e fechamento de rasgos, para tubulações embutidas; ou escavação e reaterro apiloado de valas com profundidade média de 60 cm, para tubulações enterradas; ou fixação por grampos ou presilhas quando a tubulação for aparente.</t>
  </si>
  <si>
    <t>080705</t>
  </si>
  <si>
    <t>Tubo PVC soldável  25mm (com conexões), incluindo serviços de rasgo e enchimento de rasgo em alvenaria com argamassa para passagem de tubulação</t>
  </si>
  <si>
    <t>080706</t>
  </si>
  <si>
    <t>Tubo PVC soldável  32mm (com conexões), incluindo serviços de rasgo e enchimento de rasgo em alvenaria com argamassa para passagem de tubulação</t>
  </si>
  <si>
    <t>080900</t>
  </si>
  <si>
    <t>Dispenser em plástico ABS</t>
  </si>
  <si>
    <t>080901</t>
  </si>
  <si>
    <t xml:space="preserve">Saboneteira tipo dispenser, para refil de 800ml </t>
  </si>
  <si>
    <t>Será medido por unidade de saboneteira instalada (un).
O item remunera o fornecimento de saboneteira tipo dispenser, constituída por reservatório em plástico ABS, para refil de 800 ml de sabão líquido tipo gel, materiais acessórios e a mão-de-obra necessária para a instalação da saboneteira; não remunera o fornecimento do refil.</t>
  </si>
  <si>
    <t>080903</t>
  </si>
  <si>
    <t>Dispenser toalheiro em ABS para folhas de papel</t>
  </si>
  <si>
    <t>Será medido por unidade de dispenser toalheiro instalado (un).
O item remunera o fornecimento e instalação do porta-papel de parede (dispenser toalheiro), em plástico ABS branco, com fecho de segurança, para papel com duas, ou três dobras,  inclusive material de fixação.</t>
  </si>
  <si>
    <t>081100</t>
  </si>
  <si>
    <t>Outros (Fornecimento e instalação):</t>
  </si>
  <si>
    <t>081108</t>
  </si>
  <si>
    <t>Lavatório de louça de embutir (cuba), com torneira de pressão e acessórios.</t>
  </si>
  <si>
    <t>Será medido por unidade instalada (un).
O item remunera o fornecimento e instalação da cuba de louça de embutir para lavatório, torneira de mesa para lavatório acabamento em latão cromado de 1/2",   sifão cromado de 1" x 1 1/2"; tubo de ligação cromado com canopla; válvula metálica de 1" para ligação ao sifão, materiais acessórios necessários para sua instalação em bancadas e ligação à rede de esgoto.</t>
  </si>
  <si>
    <t>090000</t>
  </si>
  <si>
    <t>INSTALAÇÕES SANITÁRIAS</t>
  </si>
  <si>
    <t>090300</t>
  </si>
  <si>
    <t>Fornecimento, transporte e instalação de tubulação em PVC esgoto diâmetros descritos:</t>
  </si>
  <si>
    <t>Será medido por comprimento de tubulação executada (m).
Os itens a seguir remunera o fornecimento e instalação de tubos de PVC rígido, diâmetro nominal de especificado com ponta e bolsa e anel de borracha; para esgoto domiciliar, inclusive conexões e materiais acessórios; abertura e fechamento de rasgos, para tubulações embutidas; ou escavação e reaterro apiloado de valas com profundidade média de 60 cm, para tubulações enterradas; ou fixação por grampos ou presilhas quando a tubulação for aparente.</t>
  </si>
  <si>
    <t>090301</t>
  </si>
  <si>
    <t>Diâmetro de 40 mm</t>
  </si>
  <si>
    <t>090302</t>
  </si>
  <si>
    <t xml:space="preserve">Diâmetro de 50 mm </t>
  </si>
  <si>
    <t>090304</t>
  </si>
  <si>
    <t>Diâmetro de 100 mm</t>
  </si>
  <si>
    <t>090400</t>
  </si>
  <si>
    <t>Outros:</t>
  </si>
  <si>
    <t>090406</t>
  </si>
  <si>
    <t>Tanque de louça com coluna</t>
  </si>
  <si>
    <t>Será medido por unidade instalada (un).
O item remunera o fornecimento e a instalação do tanque constituído por: tanque com coluna em louça com capacidade para 22 litros, inclusiva sifão plástico de 1 1/4" x 2"; tubo em PVC de 2"; válvula em latão de 1 1/4’ x 2" para ligação ao sifão; conjunto para fixação de tanque; materiais acessórios necessários para sua instalação e ligação à rede de esgoto.</t>
  </si>
  <si>
    <t>090500</t>
  </si>
  <si>
    <t>Fornecimento e instalação de caixa sifonada:</t>
  </si>
  <si>
    <t>090501</t>
  </si>
  <si>
    <t>Em PVC, com grelha quadrada/redonda,150x150x50mm</t>
  </si>
  <si>
    <t>Será medido por unidade caixa instalada (un).
O item remunera o fornecimento e instalação da caixa sifonada, em PVC rígido, de 150 x 150 x 50 mm, inclusive grelha metálica e o material necessário para sua ligação à rede de esgoto.</t>
  </si>
  <si>
    <t>INSTALAÇÃO ELÉTRICA</t>
  </si>
  <si>
    <t>101200</t>
  </si>
  <si>
    <t>101208</t>
  </si>
  <si>
    <t>Plafonier para lâmpada fluorescente / LED compacta</t>
  </si>
  <si>
    <t>Será medido por unidade de plafonier instalado (un).
O item remunera o fornecimento de plafonier, para acabamento de ponto de luz, com soquete E-27 integrado para lâmpadas até 100 W, em plástico ou PVC,  na cor branca, remunera também materiais acessórios e a mão-de-obra necessária para a instalação do plafonier em teto ou parede; não remunera o fornecimento da lâmpada.</t>
  </si>
  <si>
    <t>Será medido por unidade de refletor instalado (un).
O item remunera o fornecimento e instalação de Refletor LED com proteção IP65 indicado para iluminar áreas internas e externas; deve possuir driver incorporado, fluxo luminoso constante em toda faixa de tensão, com corpo e dissipador em alumínio com tampo em vidro, trabalhar, bivolt automático e emissão na cor branca.</t>
  </si>
  <si>
    <t>101210</t>
  </si>
  <si>
    <t>Refletor Slim LED 150W de potência, branco Frio, 6500k, Autovolt</t>
  </si>
  <si>
    <t>101300</t>
  </si>
  <si>
    <t>Lâmpadas Led ou Fluorescentes 127V</t>
  </si>
  <si>
    <t>Será medido por unidade de lâmpada instalada (un).
O item remunera o fornecimento de lâmpada especificada compacta para base E27ou TLDRS; remunera também o fornecimento da mão-de-obra necessária para a instalação da lâmpada.</t>
  </si>
  <si>
    <t>101311</t>
  </si>
  <si>
    <t>Lâmpada LED 15 W bivolt branca, formato tradicional (base E27)</t>
  </si>
  <si>
    <t>101312</t>
  </si>
  <si>
    <t>Lâmpada LED 20 W bivolt branca, formato tradicional (base E27)</t>
  </si>
  <si>
    <t>ESQUADRIAS DE MADEIRA</t>
  </si>
  <si>
    <t>110500</t>
  </si>
  <si>
    <t>Instalação de porta interna / externa, completa, inclusive marcos e alizares</t>
  </si>
  <si>
    <t xml:space="preserve">Será medido por unidade de porta instalada (un).
O item remunera o fornecimento, acessórios, ferramentas e mão de obra necessária para fornecimento e instalação de porta, marcos, alizares, acessórios e ferragens, sendo que a porta poderá ser folheada em madeira que será escolhida de acordo com o acabamento final, Ipê, Sucupira, Freijó e mogno (se for cera ou Verniz) e Imbuia, Angelim e jatobá (se Pintura), a escolha e instalação dos marcos e alizares devem adotar o mesmo procedimento. As dobradiças devem obedecer a norma específica de no mínimo três unidades por porta e com dimensões mínimas de altura 87 mm, largura 76 mm e espessura 2,4 mm, diâmetro do eixo 6,0 mm, fixada cada por seis parafusos com comprimento mínimo de 25 mm, o conjunto de fechadura deverá ser de embutir, com cubo lingueta, trinco, contra-chapa e chapa-testa (ou falsa chapa-testa) integralmente executados em latão amarelo e com acabamento cromado em todas as partes externas aparentes do tipo Gorges, com 55 mm de distância de broca, 75,5 mm de distância do cubo à entrada, também dotadas de falsa chapa-testa e de trinco reversível, e com peso mínimo de 770 g para porta interna e 1.020g para porta externa. 
</t>
  </si>
  <si>
    <t>110505</t>
  </si>
  <si>
    <t>Porta externa de madeira maciça, colocação e acabamento, de uma folha com batente, guarnição e ferragem - 0,80 x 2,10m (porta completa)</t>
  </si>
  <si>
    <t>110600</t>
  </si>
  <si>
    <t>Portas sanitárias</t>
  </si>
  <si>
    <t>110601</t>
  </si>
  <si>
    <t>Porta de madeira p/ sanitário 90 x 210cm, conforme norma de acessibilidade, acabamento liso à prova d'água, com puxador horizontal interno, Ø= 1”, C=45cm, a 90cm do piso, maçaneta tipo alavanca, proteção na parte inferior, interna e externa, em chapa de aço inox h=40cm.</t>
  </si>
  <si>
    <t xml:space="preserve">Será medido por unidade de porta instalada (un).
O item remunera o fornecimento, acessórios, ferramentas e mão de obra necessária para instalação de porta e ferragens, sendo que a porta poderá ser folheada em madeira, porém, a prova de água que será escolhida de acordo com o acabamento final, Ipê, Sucupira, Freijó e mogno (se for cera ou Verniz) e Imbuia, Angelim e jatobá (se Pintura), as dobradiças devem obedecer a norma específica de no mínimo três unidades por porta e com dimensões mínimas de 3” x 2 ½“, espessura de 2 mm e peso mínimo de 110 g, fixada cada por seis parafusos com comprimento mínimo de 25 mm, o conjunto de fechadura deve ser de embutir, cromada, acompanhadas de chaves, maçaneta tipo alavanca, maciça, bordas arredondadas, acabamento cromado, devem possuir roseta com acabamento cromado acompanhando as maçanetas, a porta deverá abrir para fora do ambiente da instalação sanitária acessível. Remunera também o fornecimento e instalação de chapa em aço inoxidável escovado para proteção contra choques mecânicos, nº 22 (espessura aproximada de 0,79mm) na parte interna e externa até uma altura de 40 cm da parte inferior da porta, tornando-se revestimento resistente ao impacto da cadeira de rodas e puxador horizontal em aço inox escovado Ø= 1” e c=45cm, afixado com parafusos auto-atarraxantes, Ø=4 a 6mm, com cabeça tipo panela ou chata e comprimento máximo de 25mm também na parte interna, bem como a identificação universal de acessibilidade do lado externo, remunera também a instalação e fornecimento de marco e alisar em madeira.
</t>
  </si>
  <si>
    <t>120000</t>
  </si>
  <si>
    <t>ESQUADRIAS METÁLICAS</t>
  </si>
  <si>
    <t>120100</t>
  </si>
  <si>
    <t>120106</t>
  </si>
  <si>
    <t>Janela de alumínio sob encomenda, colocação e acabamento , basculante, com contramarcos.</t>
  </si>
  <si>
    <t>Será medido por área de janela instalado (m²).
O item remunera o fornecimento da janela basculante completo, sob medida, em perfis de alumínio anodizado natural L 25; cimento; areia; vidros, acessórios e a mão-de-obra necessária para a instalação completa da janela.</t>
  </si>
  <si>
    <t>120107</t>
  </si>
  <si>
    <t>Janela de alumínio sob encomenda, colocação e acabamento , de correr, com contramarcos</t>
  </si>
  <si>
    <t>Será medido por área de janela instalado (m²).
O item remunera o fornecimento de janela de correr completo, sob medida, em perfis de alumínio anodizado natural L 25; cimento; areia, vidros; acessórios e a mão-de-obra necessária para a instalação completa da janela.</t>
  </si>
  <si>
    <t>Será medido pela área da porta instalada (un).
O item remunera o fornecimento da porta de entrada de abrir com batentes, sob medida, em alumínio anodizado L 30; inclusive ferragem, cimento, areia, acessórios e a mão-de-obra necessária para a instalação completa da porta.</t>
  </si>
  <si>
    <t>,</t>
  </si>
  <si>
    <t>120110</t>
  </si>
  <si>
    <t>Porta veneziana em alumínio completa, dimensão (80x210) cm, tipo de abrir, com uma (1) folha, linha 25/suprema, acabamento anodizado natural, inclusive perfis, ferragens e instalação</t>
  </si>
  <si>
    <t>FERRAGENS</t>
  </si>
  <si>
    <t>130200</t>
  </si>
  <si>
    <t>Outros: (fornecimento e execução):</t>
  </si>
  <si>
    <t>130202</t>
  </si>
  <si>
    <t>Barra apoio deficiente tubo em aço inox 1 1/4" L=80cm para apoio de lavatório</t>
  </si>
  <si>
    <t>Será medido por unidade instalada (un).
O item remunera o fornecimento de barra de apoio em lavatórios, para pessoas com mobilidade reduzida, em tubo de aço inoxidável AISI 304, liga 18,8, diâmetro nominal de 1 1/4", com espessura de 3/32", comprimento de 800 mm; com resistência mínima ao esforço, em qualquer sentido, de 1,5 kN; flanges nas extremidades e parafusos para fixação, em aço inoxidável;  tubo e flanges com acabamento escovado, ou polido fosco; acessórios e a mão-de-obra necessária.</t>
  </si>
  <si>
    <t>REVESTIMENTO</t>
  </si>
  <si>
    <t>140107</t>
  </si>
  <si>
    <t>Azulejo extra assentado internamente com argamassa pré-fabricada de cimento colante, inclusive c/ rejuntamento interno ou externo</t>
  </si>
  <si>
    <t>Será medido pela área de revestimento com placa cerâmica, descontando-se toda e qualquer interferência, acrescentando-se as áreas desenvolvidas por espaletas ou dobras (m²).
O item remunera o fornecimento de placa cerâmica esmaltada, de primeira qualidade ( classe A, ou classe extra ), conforme anexo A da NBR 13818, indicada para revestimentos internos, com as características:
A) Dimensões: 15 x 15 cm, 20 x 20 cm ou 25 x 25 cm;
B) Alta absorção de água: &gt; 10%, grupo BIII ( poroso );
C) Resistência química: classe B ( média resistência química a produtos domésticos e de piscinas );
D) Resistência ao manchamento: classe de limpabilidade 5;
E) Carga de ruptura &gt; 200 N;
F) Resistente ao choque térmico;
Remunera também o fornecimento de argamassa colante industrializada, e a mão-de-obra necessária para a execução dos serviços: limpeza e preparo da superfície de assentamento, preparo e aplicação da argamassa colante industrializada e o assentamento das peças conforme exigências das normas NBR 8214, NBR 13754, NBR 13816, NBR 13817, NBR 13818 e NBR 14081, e recomendações dos fabricantes. Remunera também os serviços de regularização da superfície e de rejuntamento.</t>
  </si>
  <si>
    <t>140109</t>
  </si>
  <si>
    <t>Revestimento com cerâmica aplicado em parede, acabamento esmaltado, ambiente interno/externo, padrão extra, cor branca, dimensão da peça até 2.025cm², PEI III, assentamento com argamassa industrializada, inclusive rejuntamento</t>
  </si>
  <si>
    <t>Será medido pela área de revestimento com placa cerâmica, descontando-se toda e qualquer interferência, acrescentando-se as áreas desenvolvidas por espaletas ou dobras (m²).
O item remunera o fornecimento de placa cerâmica esmaltada, de primeira qualidade ( classe A, ou classe extra ), conforme anexo A da NBR 13818, indicada para revestimentos internos ou externos, com as características:
A) Dimensões: até 2.025cm²;
B) Alta absorção de água: &gt; 10%, grupo BIII ( poroso );
C) Resistência química: classe B ( média resistência química a produtos domésticos e de piscinas );
D) Resistência ao manchamento: classe de limpabilidade 5;
E) Carga de ruptura &gt; 200 N;
F) Resistente ao choque térmico;
Remunera também o fornecimento de argamassa colante industrializada, e a mão-de-obra necessária para a execução dos serviços: limpeza e preparo da superfície de assentamento, preparo e aplicação da argamassa colante industrializada e o assentamento das peças conforme exigências das normas NBR 8214, NBR 13754, NBR 13816, NBR 13817, NBR 13818 e NBR 14081, e recomendações dos fabricantes. Remunera também os serviços de regularização da superfície e de rejuntamento.</t>
  </si>
  <si>
    <t>PISOS E RODAPÉS</t>
  </si>
  <si>
    <t>Fornecimento e assentamento de pisos, em:</t>
  </si>
  <si>
    <t xml:space="preserve">1) Será medido pela área de revestimento com placa em porcelanato esmaltado, descontando-se toda e qualquer interferência, acrescentando-se as áreas desenvolvidas por espaletas ou dobras (m²).
2) O item remunera o fornecimento e assentamento de placa em porcelanato esmaltado, resistência química: no mínimo classe B, à abrasão superficial: 4, à gretagem, ao manchamento, a flexão, ao coeficiente de atrito, etc. Rejunte aditivo com polímeros para maior resistência e elasticidade, e cores firmes e duradouras, referência Junta Plus Total da Eliane ou Weber ou Quartzolit ou equivalente.
Remunera também o fornecimento de argamassa industrializada colante tipo ACII, rejunte para porcelanato e a mão-de-obra necessária para a execução dos serviços de preparo da argamassa industrializada colante de assentamento, rejuntamento para junta média 5 mm; aplicação da argamassa de assentamento na espessura média de 2,5 cm, e o assentamento das peças, conforme exigências da norma e recomendações dos fabricantes.
</t>
  </si>
  <si>
    <t>150117</t>
  </si>
  <si>
    <t>Revestimento com porcelanato aplicado em piso, acabamento polido, ambiente interno, padrão extra, borda retificada, dimensão da peça até 60x60cm, assentamento com argamassa industrializada, inclusive rejuntamento</t>
  </si>
  <si>
    <t>150300</t>
  </si>
  <si>
    <t>Contra- piso e regularização:</t>
  </si>
  <si>
    <t>150301</t>
  </si>
  <si>
    <t>Lastro de concreto (contrapiso) não estrutural impermeabilizado, E=6 cm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</si>
  <si>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</si>
  <si>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t>Será medido pela área onde será executado, na espessura mínima de 6cm (m²).
O item remunera o fornecimento de cimento, areia, pedra britada nº 1, 2 e a mão-de-obra necessária para o apiloamento do terreno e execução do lastro.</t>
  </si>
  <si>
    <t>150302</t>
  </si>
  <si>
    <t>Regularização sarrafeada de base para revestimento de piso com argamassa de cimento e areia sem peneirar traço 1:3,  e=3cm</t>
  </si>
  <si>
    <t>150400</t>
  </si>
  <si>
    <t>Outros (fornecimento e assentamento):</t>
  </si>
  <si>
    <t>150405</t>
  </si>
  <si>
    <t>Passeio de concreto e= 8 cm, Fck 15 Mpa, c/ preparo p/ terreno, incluindo preparo de caixa, sem revestimento com argamassa de cimento e areia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</si>
  <si>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</si>
  <si>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t>Será medido pela área de piso concretado (m²).
O item remunera o fornecimento de cimento; areia; pedra britada nº 1; ripa de Cupiúba  ou Paraju; remunera também o fornecimento de materiais acessórios e a mão de obra necessária para o preparo do concreto, preparo da caixa, lançamento e a execução do passeio com acabamento desempenado, em concreto preparado no local.</t>
  </si>
  <si>
    <t>VIDROS</t>
  </si>
  <si>
    <t>Fornecimento, transporte e instalação de vidro, tipo:</t>
  </si>
  <si>
    <t>160104</t>
  </si>
  <si>
    <t>Espelho cristal para sanitário, e=4 mm (40 X 60cm)</t>
  </si>
  <si>
    <t>Será medido pela área de espelho instalado (un).
O item remunera o fornecimento de espelho constituído por: espelho em vidro cristal liso lapidado, com espessura de 4 mm; materiais acessórios e a mão-de-obra necessária para a instalação do espelho aparafusado sobre parede.</t>
  </si>
  <si>
    <t>PINTURA</t>
  </si>
  <si>
    <t>Pintura:</t>
  </si>
  <si>
    <r>
      <rPr>
        <b/>
        <sz val="12"/>
        <color theme="1"/>
        <rFont val="Calibri"/>
        <family val="2"/>
      </rPr>
      <t>Tinta acrílica em parede</t>
    </r>
    <r>
      <rPr>
        <b/>
        <sz val="12"/>
        <color theme="1"/>
        <rFont val="Calibri"/>
        <family val="2"/>
      </rPr>
      <t>, sem emassamento (duas demãos)</t>
    </r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</si>
  <si>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</si>
  <si>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t>Será medido pela área de superfície preparada e pintada, não se descontando vãos de até 2,00 m² e não se considerando espaletas, filetes ou molduras. Os vãos acima de 2,00 m² deverão ser deduzidos na totalidade e as espaletas, filetes ou molduras desenvolvidas (m²).
O item remunera o fornecimento de selador de tinta para pintura acrílica; tinta à base de emulsão 100% acrílica, solúvel em água, acabamento fosco acetinado, materiais acessórios e a mão-de-obra necessária para a execução dos serviços de: limpeza da superfície, lixamento, remoção do pó e aplicação do selador, conforme recomendações do fabricante; aplicação da tinta acrílica, em duas demãos conforme especificações do fabricante, sobre superfície revestida com massa ou não.</t>
  </si>
  <si>
    <t>Óleo ou esmalte em esquadrias de madeira com duas demãos, sem massa corrida, com fundo nivelador p/ madeira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</si>
  <si>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</si>
  <si>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t>Será medido por área de superfície preparada e pintada (m²):
A) Em portas, portões, guichês com batente, pela área da peça multiplicada por 3 ( três ). Não havendo batente, medição pela área da peça multiplicado por 2 ( dois );
B) Em janelas e portas com batentes de madeira, com venezianas ou persianas de enrolar, pela área da peça multiplicada por 5 ( cinco );
C) Em cercas e gradis, pela área de projeção do conjunto no plano vertical, considerada apenas uma vez.
O item remunera o fornecimento de fundo branco fosco, para superfície de madeira, o fornecimento de tinta esmalte à base de resinas alquídicas ou óleo, diluente aguarrás; materiais acessórios e a mão-de-obra necessária para a execução dos serviços de limpeza da superfície, conforme recomendações do fabricante; aplicação da tinta esmalte, em duas demãos , sendo a primeira demão aplicada como fundo selante, conforme especificações do fabricante.</t>
  </si>
  <si>
    <t>Emassamento de parede interna com massa corrida à base de PVA com duas demãos, para pintura látex</t>
  </si>
  <si>
    <r>
      <rPr>
        <sz val="14"/>
        <color theme="1"/>
        <rFont val="Calibri"/>
        <family val="2"/>
      </rPr>
      <t>M</t>
    </r>
    <r>
      <rPr>
        <vertAlign val="superscript"/>
        <sz val="14"/>
        <color theme="1"/>
        <rFont val="Calibri"/>
        <family val="2"/>
      </rPr>
      <t>2</t>
    </r>
  </si>
  <si>
    <t>Será medido pela área de superfície emassada, deduzindo-se toda e qualquer interferência (m²).
O item remunera o fornecimento de massa corrida à base de PVA, recomendada para a correção de pequenos defeitos, materiais acessórios e a mão-de-obra necessária para a execução dos serviços de: limpeza da superfície, remoção de partes soltas, irregularidades e poeira, conforme recomendações do fabricante; aplicação da massa, em duas demãos em camadas finas com lixamentos intermediários, conforme especificações do fabricante, lixamento final e remoção do pó da superfície emassada.</t>
  </si>
  <si>
    <t>BANCADAS, PRATELEIRAS E DIVISÓRIAS</t>
  </si>
  <si>
    <t>Execução  de:</t>
  </si>
  <si>
    <t>180110</t>
  </si>
  <si>
    <t>Soleira ou peitoril de granito cinza andorinha e=2cm</t>
  </si>
  <si>
    <t xml:space="preserve">Será medido pela área da peça em granito a ser instalada (m²).
O item remunera o fornecimento de granito cinza andorinha com acabamento polido ou jateado na espessura de 2,0 cm; areia, cimento, cimento branco ou rejunte, materiais acessórios e a mão-de-obra necessária para o assentamento e rejuntamento do granito em soleiras e / ou peitoris, com largura até 20 cm; não remunera o preparo prévio da superfície. </t>
  </si>
  <si>
    <t>180200</t>
  </si>
  <si>
    <t>Outros (fornecimento e execução):</t>
  </si>
  <si>
    <t>180202</t>
  </si>
  <si>
    <t>Bancada de granito para pia ou lavatório e=3cm, apoiada em console de metalon</t>
  </si>
  <si>
    <t xml:space="preserve">Será medido pela área de bancada instalada (m²).
O item remunera o fornecimento e a instalação da bancada em granito cinza andorinha, Mauá ou corumbá com espessura de 3 cm, inclusive testeira, frontão furos (se necessários) e demais elementos de arremate, bem como console de metalon (mínimo 20 x 30cm) e materiais acessórios necessários para a fixação, assentamento e rejuntamento. </t>
  </si>
  <si>
    <t>DIVERSOS</t>
  </si>
  <si>
    <t>190400</t>
  </si>
  <si>
    <t>Placas e sinalizadores</t>
  </si>
  <si>
    <t>190403</t>
  </si>
  <si>
    <t>Placa de alumínio fundido com denominação dos cômodos 20x5cm</t>
  </si>
  <si>
    <t>Será medido por unidade de placa instalada (un).
O item remunera o fornecimento e instalação de placa de identificação constituída por: chapa em alumínio fundido, com espessura mínima de 1,5 mm, parafusos e buchas adequados, para fixação.</t>
  </si>
  <si>
    <t>190406</t>
  </si>
  <si>
    <t>Placa em alumínio 15x15cm, com pictograma em película adesiva</t>
  </si>
  <si>
    <t>Será medido por unidade de placa instalada (un).
O item remunera o fornecimento e instalação de placa de identificação constituída por: chapa em alumínio, com espessura mínima de 1,0 mm, parafusos e buchas adequados, para fixação e pictograma internacional de pessoas com mobilidade reduzida.</t>
  </si>
  <si>
    <t>190500</t>
  </si>
  <si>
    <t>Casa de gás em alvenaria para:</t>
  </si>
  <si>
    <t>Será medido por unidade de abrigo executado (un).
Os itens abaixo remunera o fornecimento dos materiais e mão-de-obra necessários para a execução do abrigo de gás constituído por: alvenaria de bloco de concreto, revestida com chapisco, emboço, reboco e pintura com tinta a cal; base em concreto simples; laje de cobertura em concreto armado; portão proporcional ao tamanho do abrigo, em tela de arame fio nº 10, malha 2" e tubo galvanizado 2" com acabamento em pintura óleo sobre base antioxidante; remunera também o fornecimento e instalação de tubos e conexões em aço schedule de 3/4"e 1/2", registros, válvulas, acessórios até o local de localização do fogão, o número e tamanho dos cilindros cheios para o abrigo; os serviços de pintura com tinta a base de alumínio para a tubulação, limpeza e apiloamento do terreno. Remunera também o laudo de estanqueidade de acordo com as normas vigentes e com o devido registro no CREA-MG.</t>
  </si>
  <si>
    <t>190501</t>
  </si>
  <si>
    <t>2 botijões de gás 13 Kg (EXCLUSIVE CILINDRO)</t>
  </si>
  <si>
    <t>190505</t>
  </si>
  <si>
    <t>Laudo de Vistoria e ART com execução de teste de estanqueidade de gás com emissão de laudo técnico (PARA RENOVAÇÃO DE AVCB)</t>
  </si>
  <si>
    <t>230000</t>
  </si>
  <si>
    <t>LIMPEZA</t>
  </si>
  <si>
    <t>230100</t>
  </si>
  <si>
    <t>Limpeza:</t>
  </si>
  <si>
    <t>230101</t>
  </si>
  <si>
    <t>Limpeza Geral da edificação</t>
  </si>
  <si>
    <t>Será medido pela área, na projeção horizontal, de obra limpa (m²).
O item remunera o fornecimento do material e a mão-de-obra necessários para a limpeza geral de pisos, paredes, vidros, áreas externas, bancadas, louças, metais, etc., removendo-se  materiais  excedentes e resíduos de sujeiras, deixando a obra pronta para a utilização.</t>
  </si>
  <si>
    <t>240000</t>
  </si>
  <si>
    <t>LEVANTAMENTOS, E PROJETOS</t>
  </si>
  <si>
    <t>240200</t>
  </si>
  <si>
    <t>Projetos</t>
  </si>
  <si>
    <t>Será medido por unidade de desenho fornecido e aprovado pela fiscalização (un).
O item remunera o fornecimento de projeto, contendo todas as informações e detalhes construtivos, para a execução completa da obra de acordo com o padrão da Secretaria Estadual de Educação (SEE MG), inclusive a concessão dos direitos autorais referentes ao projeto para a Caixa Escolar. O projeto deverá ser constituído por: peças gráficas no formato A1; relatórios contendo as premissas de projeto; especificações técnicas; memoriais descritivos, listas de quantidade e memórias de cálculo pertinentes. Apresentados conforme relação abaixo:
A) Os produtos gráficos deverão ser desenvolvidos por meio do software "AUTOCAD" versão 2000 ou posterior e apresentados da seguinte forma:
- A entrega do projeto executivo de arquitetura, devidamente aprovado pela Diretoria de Rede Física das Regionais, deverá ser constituída por: duas cópias plotadas em papel sulfite; uma cópia do arquivo eletrônico com extensão "dwg" em "compact disc" (CD Rom).
B) Os relatórios, as especificações técnicas, os memoriais descritivos, lista de quantidades e as memórias de cálculo pertinentes contendo as premissas de projeto deverão ser desenvolvidas por meio dos softwares "WINWORD", ou "EXCEL" e apresentados da seguinte forma:
- Duas cópias completas no formato A4, em papel sulfite, encadernadas;
- Os arquivos eletrônicos com extensão "doc" ou "xls",em "compact disc" (CD Rom ).</t>
  </si>
  <si>
    <t>240202</t>
  </si>
  <si>
    <t>Projeto executivo de instalações hidrosanitárias em formato A1</t>
  </si>
  <si>
    <t>260000</t>
  </si>
  <si>
    <t>OUTROS</t>
  </si>
  <si>
    <t>260001</t>
  </si>
  <si>
    <t>260002</t>
  </si>
  <si>
    <t>260003</t>
  </si>
  <si>
    <t>TOTAL CUSTO =</t>
  </si>
  <si>
    <t>BDI PROJETO =</t>
  </si>
  <si>
    <t xml:space="preserve">BDI OBRA = </t>
  </si>
  <si>
    <t xml:space="preserve">TOTAL GERAL = </t>
  </si>
  <si>
    <t xml:space="preserve">QUANDO DA CELEBRAÇÃO DO CONTRATO ASSEGURAR QUE A EMPRESA TENHA EM SEU PODER CÓPIA DO CADERNO DE ESPECIFICAÇÕES                  </t>
  </si>
  <si>
    <t>BASE                                                                                           PINI, ORSE, SICOR, SINAPI, SUDECAP OUT/24</t>
  </si>
  <si>
    <t>REV00   MAR/25</t>
  </si>
  <si>
    <t>Data da elaboração:</t>
  </si>
  <si>
    <t>CRONOGRAMA FÍSICO-FINANCEIRO</t>
  </si>
  <si>
    <t>SERVIÇOS: CONSTRUÇÃO / AMPLIAÇÃO / REFORMA</t>
  </si>
  <si>
    <t>TOTAL GERAL (C/ BDI)</t>
  </si>
  <si>
    <t>% INC.</t>
  </si>
  <si>
    <t>1º MÊS</t>
  </si>
  <si>
    <t>2º MÊS</t>
  </si>
  <si>
    <t>3º MÊS</t>
  </si>
  <si>
    <t>4º MÊS</t>
  </si>
  <si>
    <t>5º MÊS</t>
  </si>
  <si>
    <t>6º MÊS</t>
  </si>
  <si>
    <t>TOTAL</t>
  </si>
  <si>
    <t>%</t>
  </si>
  <si>
    <t>VALOR</t>
  </si>
  <si>
    <t>TOTAL MENSAL</t>
  </si>
  <si>
    <t>TOTAL ACUMULADO</t>
  </si>
  <si>
    <t>1 unidade</t>
  </si>
  <si>
    <t>3 BANHEIROS</t>
  </si>
  <si>
    <t>BANHEIROS = 3
ESCOVÁRIO = 1</t>
  </si>
  <si>
    <t>1 UNIDADE</t>
  </si>
  <si>
    <t>Barrilete até reservatório</t>
  </si>
  <si>
    <t>PAPEL TOALHA:
BANHEIROS = 3
ESCOVÁRIO = 1
PAPEL HIGIÊNICO:
BANHEIROS = 3</t>
  </si>
  <si>
    <t>Fornecimento e colocação de:</t>
  </si>
  <si>
    <t>SALAS = 5 UNIDADES
BANHEIROS = 3 UNIDADES</t>
  </si>
  <si>
    <t>ÁREA TOTAL DA INTERVENÇÃO</t>
  </si>
  <si>
    <t>OBS: O transporte dos entulhos ficará a cargo da administração municipal</t>
  </si>
  <si>
    <t>1 PROJETO DAS INSTALAÇÕES EXECUTADAS NO LOCAL</t>
  </si>
  <si>
    <t>020010</t>
  </si>
  <si>
    <t xml:space="preserve">Demolição de cobertura de telha ondulada  de  fibrocimento, com reaproveitamento, transporte e empilhamento </t>
  </si>
  <si>
    <t>Será medido pela área de cobertura em projeção horizontal (m²):
O item remunera o fornecimento da mão-de-obra necessária para a retirada completa das telhas ondulada de fibrocimento, inclusive elementos de fixação, a seleção e a guarda das peças reaproveitáveis. Remunera também; a carga, o transporte o descarregamento; a seleção e acomodação manual do entulho das peças não reaproveitadas em lotes. A execução dos serviços deverá cumprir todas as exigências e determinações previstas na legislação: Resolução nº 307, de 5 de julho de 2002, pelo Conselho Nacional do Meio Ambiente ( CONAMA ), NBR 15112, NBR 15113, NBR 15114 e outras vigentes à época da execução dos serviços.</t>
  </si>
  <si>
    <t>Paredes do banheiro = 1,46 X 2,50 X 0,17
Aumento da porta do banheiro = 0,30 x 2,50 x 0,17
Abertura de Janela = 2,50 x 1,20 x 0,17</t>
  </si>
  <si>
    <t xml:space="preserve">
Barrado de Cerâmica (Salas)
 Perímetro do ambiente x 1,25 de altura) = (24,52+22,60+15,28+19,42) x 1,70
Circulação: (2,46+11,93+7,82+3,56+1,61+2,30+1,61+3,56+9,16+5,04+1,50+4,75) x 1,25
Cozinha = 15,70 x 2,80</t>
  </si>
  <si>
    <t>Edificação Principal = (18,60 x 11,62) x 1,08
Acesso ao lado da igreja = (5,29 x 2,00) x 1,05</t>
  </si>
  <si>
    <t>Refeitório (8,05 x 4,38)</t>
  </si>
  <si>
    <t>Piso (Área dos ambientes-Salas e Cozinha) = 35,67+31,55+13,10+23,54+14,21
Circulação: (2,46 x 4,75) + (0,96 x 5,04) + (7,82 x 1,84) + ((3,56+1,84) x 2,30)
Banheiros: 1,57+1,57
Acesso externo: 13,15
Refeitório: 18,83</t>
  </si>
  <si>
    <t>Janelas 2,50 x 1,20 = 6 unidades
Gradil Fundos = 2,15 x 1,80
Grades Janelas = 6 x 2,50 x 1,20
Portão Refeitório = 0,75 x 1,10
Portão Fundos = 1,55 x 2,65
Portão acesso = 1,00 x 2,15
Gradil Frontal = 0,90  x 1,65
Janela Guichê = 0,80 x 0,95</t>
  </si>
  <si>
    <t>Porta da cozinha = 1 x 0,80 x 2,10
Portas das salas = 4 x 0,80 x 2,10
Portas dos banheiros = 2 x 0,80 x 2,10</t>
  </si>
  <si>
    <t>Porta da cozinha = 1 unidade
Portas das salas = 4 unidade
Portas dos banheiros = 2 unidades</t>
  </si>
  <si>
    <t>Área dos ambientes = 35,67+31,55+11,69+13,10+19,52+12,42+14,21+23,54</t>
  </si>
  <si>
    <t>Igual área do telhado = 35,26+244,53</t>
  </si>
  <si>
    <t>PAREDE BANHEIRO = (3,56+1,25) X 2,80</t>
  </si>
  <si>
    <t>PAREDE SALA DE APOIO = 2,46 X 2,80</t>
  </si>
  <si>
    <t>Refeitório = 8,05 x 4,89 x 1,08
Edificação Principal = 11,62 x 18,60 x 1,08
Acesso = 11,62 x 3,00 x 1,05</t>
  </si>
  <si>
    <t>Telhado principal = (8,21 x 4) + 6,98
Refeitório = 8,05</t>
  </si>
  <si>
    <t>Área de telhado = 312,54</t>
  </si>
  <si>
    <t>1 TANQUE EXTERNO</t>
  </si>
  <si>
    <t>2 BANHEIRO COMUM</t>
  </si>
  <si>
    <t>1 BANHEIRO PCD</t>
  </si>
  <si>
    <t>BANHEIROS = 1 UNIDADE
REFEITÓRIO = 1 UNIDADE</t>
  </si>
  <si>
    <t>SOMENTE CUBA (BANCADA EM ITEM A PARTE)
ESCOVÁRIOS = 3</t>
  </si>
  <si>
    <t xml:space="preserve">ATÉ 2 M POR LAVATÓRIO ATÉ A CAIXA SIFONADA
= 6 X 2
3 M POR AMBIENTE (PARA VENTILAÇÃO ESCOVÁRIO) = 3 </t>
  </si>
  <si>
    <t>ATÉ 3 M POR CAIXA SIFONADA ATÉ A REDE = 4 X 3
ATÉ 2M POR TANQUE = 2
3M POR AMBIENTE (PARA VENTILAÇÃO DE BANHEIROS) = 3 X 3</t>
  </si>
  <si>
    <t>5M POR VASO ATÉ A CAIXA</t>
  </si>
  <si>
    <t>1 UNIDADE REFEITÓRIO</t>
  </si>
  <si>
    <t>BANHEIROS = 3
REFEITÓRIO= 1</t>
  </si>
  <si>
    <t>3 UNIDADES POR SALA DE AULA = 3 X 3
1 UNIDADE CANTINHO DE LEITURA = 1
1 UNIDADE POR BANHEIRO = 3 X 1
1 UNIDADE SALA DE APOIO = 1
2 UNIDADES COZINHA = 2
4 UNIDADES CIRCULAÇÃO = 4</t>
  </si>
  <si>
    <t>2 UNIDADES REFEITÓRIO
3 UNIDADES ACESSO
1 UNIDADE FUNDOS</t>
  </si>
  <si>
    <t>3 UNIDADES POR SALA DE AULA = 3 X 3
2 UNIDADES COZINHA = 2
1 UNIDADE SALA DE APOIO = 1
1 UNIDADE SALA DE LEITURA = 1</t>
  </si>
  <si>
    <t>1 UNIDADE POR BANHEIRO = 3 X 1
4 UNIDADES CIRCULAÇÃO</t>
  </si>
  <si>
    <t xml:space="preserve">SALAS = 3 UNIDADES
SALA DE APOIO = 1 UNIDADE
SALA DE LEITURA = 1 UNIDADE
</t>
  </si>
  <si>
    <t>BANHEIRO PCD = 1 UNIDADES</t>
  </si>
  <si>
    <t xml:space="preserve">BANHEIROS = 2 X 0,60 X 0,40 + 0,60 X 0,60
</t>
  </si>
  <si>
    <t>JANELAS 2,45 X 1,15 = 7 UNIDADES
GUICHE COZINHA = 0,75 X 0,90
(Janelas existentes tiveram redução de 5cm nas dimensões devido instalação de quadro de granito no vão)</t>
  </si>
  <si>
    <t xml:space="preserve">
COZINHA = 1 UNIDADE
</t>
  </si>
  <si>
    <t>120109</t>
  </si>
  <si>
    <t>Porta veneziana em alumínio completa, dimensão (70x210) cm, tipo de abrir, com uma (1) folha, linha 25/suprema, acabamento anodizado natural, inclusive perfis, ferragens e instalação</t>
  </si>
  <si>
    <t>BANHEIROS = 2 UNIDADES</t>
  </si>
  <si>
    <t>BANHEIRO PCD = 6 UNIDADES BANHEIRO</t>
  </si>
  <si>
    <t>120105</t>
  </si>
  <si>
    <t>Grade de proteção de ferro (colocação e acabamento)</t>
  </si>
  <si>
    <t>Será medido pela área da grade instalada (m²).
O item remunera o fornecimento de grade de proteção, para janelas e basculantes, constituída por: grade confeccionada com barras chatas de 1 1/4" x 1/4", dispostas horizontalmente, verticalmente e no requadro externo da peça, em aço SAE 1010 / 1020; grapas em chapa de aço de 1” x 1/8”, ou parafuso galvanizado e bucha de nylon nº 8, para a fixação do conjunto; materiais acessórios e a mão-de- obra necessária para a instalação e fixação da grade, por meio de grapas, ou chumbadores nas paredes de blocos estruturais, ou de concreto, ou vigas, ou pilares, etc.; remunera também o fornecimento de solda nas porcas com os parafusos, após a fixação. Remunera também materiais acessórios e mão de obra para a execução de duas demãos de zarcão e duas demãos de esmalte.</t>
  </si>
  <si>
    <t>JANELAS 2,45 X 1,15 = 7 UNIDADES
GRADIL FUNDOS = 2,15 X 1,80
GRADIL FRENTE = 0,90 X 1,65</t>
  </si>
  <si>
    <t>BANHEIRO PCD = 7,52 X 2,50
BANHEIROS = (5,64 + 5,52) X 2,50
REFEITÓRIO = 20,50 X 1,10
COZINHA = 15,70 X 2,80</t>
  </si>
  <si>
    <t>ÁREA DOS AMBIENTES = 35,67+31,55+13,10+8,44+22,47+23,54+14,21+3,66+1,91+1,84+3,36+18,83
EXTERNO = 45,30</t>
  </si>
  <si>
    <t>ÁREA DE BLOQUETES REMOVIDOS = 24M²</t>
  </si>
  <si>
    <t>ÁREA EXTERNA A EXECUTAR CERÂMICA = 45,30
BANHEIROS NOVOS = 1,91 + 1,84 + 3,36
ACESSO BANHEIROS = 3,66</t>
  </si>
  <si>
    <t>3 UNIDADES BANHEIRO</t>
  </si>
  <si>
    <t>120101</t>
  </si>
  <si>
    <t>Porta metálica, tipo de abrir, com uma (1) folha, em chapa galvanizada lambril, modelo quadrado, fornecimento e assentamento, EXCLUSIVE fechadura, targeta e dobradiça</t>
  </si>
  <si>
    <t>Será medido por área de porta / portão instalado (m²).
O item remunera o fornecimento da porta e / ou portão de abrir, sob medida, com uma folha, constituído por: folha da porta em chapa de ferro nº 18 ( MSG ), numa face, com ou sem abertura; requadro para a estrutura da folha da porta, em perfil de chapa de ferro nº 18 MSG, tipo tubular; batentes em perfil de chapa dobrada em chapa de ferro nº 14 ( MSG ); jogo completo de ferragens, inclusive cimento, areia, materiais acessórios e a mão-de-obra necessária para a instalação e fixação da porta e do batente. Remunera também materiais acessórios e mão de obra para a execução de duas demãos de zarcão e duas demãos de esmalte.</t>
  </si>
  <si>
    <t xml:space="preserve">ÁREA DAS PORTAS DE MADEIRA X 3
PORTAS 0,80 = 5 X 0,80 X 2,10 X 3
PORTAS 0,90 = 1 X 0,90 X 2,10 X 3 </t>
  </si>
  <si>
    <t>SOLEIRAS:
PORTAS 0,80 = 6 X 0,80 X 0,20
PORTAS 0,90 = 1 X 0,90 X 0,20
PORTAS 0,70 = 2 X 0,70 X 0,20
PORTÃO 1,00 = 1,00 X 0,20
PORTÃO 0,75 = 0,75 X 0,20
PEITORIS E QUADRO JANELAS:
JANELAS 2,50 X 1,20 = 7 X (2,50+1,20+2,50+1,20) X 0,20
JANELA 0,80 X 0,95 = (0,80+0,95+0,80+0,95) X 0,20
JANELAS 0,60 X 0,40 = 3 X (0,60+0,40+0,60+0,40) X 0,20
GRADIL FUNDOS = (2,15+1,80+2,15+1,80) X 0,20
GRADIL FRENTE = (0,90+1,65+0,90+1,65) X 0,20
PORTÃO FUNDOS = (2,65+1,55+2,65) X 0,20
PORTÃO FRENTE = (2,15+1,00+2,15) X 0,20
PORTÃO REFEITÓRIO = 2 X 1,10 X 0,20
PEITORIL REFEITÓRIO = (7,25+1,20+5,33+3,58) X 0,20</t>
  </si>
  <si>
    <t>BANCADAS LAVATÓRIO = 1,80 X 0,50</t>
  </si>
  <si>
    <t>BANHEIRO PCD</t>
  </si>
  <si>
    <t>PASSEIO EXTERNO = 15,75</t>
  </si>
  <si>
    <t>Acesso externo (bloquetes) = 24m²</t>
  </si>
  <si>
    <t>Tanques = 6 unidades
vasos = 2 unidades
Chuveiro = 1 unidade</t>
  </si>
  <si>
    <t>Banheiros = 1,91+1,84+3,36</t>
  </si>
  <si>
    <t>Lateral do Refeitório = 8,05
Telhado do acesso = 11,62</t>
  </si>
  <si>
    <t>Calha do telhado de acesso = 3m
Calha do telhado do refeitório = 6m</t>
  </si>
  <si>
    <t>2 PIAS COZINHA</t>
  </si>
  <si>
    <t>Média de 5M por ponto hidraulico
VASO = 3
LAVATORIO = 6
TANQUE = 1
CHUVEIRO = 1</t>
  </si>
  <si>
    <t>PORTÃO FRENTE = 1,00 X 2,15
PORTÃO FUNDOS = 1,55 X 2,65
PORTÃO REFEITÓRIO = 0,90 X 1,10</t>
  </si>
  <si>
    <t>ÁREA DE PINTURA DE PAREDE</t>
  </si>
  <si>
    <t>CREA/CAU/CFT: MG-214.589/D</t>
  </si>
  <si>
    <t xml:space="preserve">Nome do técnico responsável pela elaboração da planilha:  
NAYARA HELENA FIALHO OLIVEIRA                      </t>
  </si>
  <si>
    <t xml:space="preserve">Nome do responsável legal pelo município: 
ALAIR FIGUEIREDO DE ASSUNÇÃO JUNIOR                       </t>
  </si>
  <si>
    <t xml:space="preserve">MUNICÍPIO:  LUISBURGO-MG                                                                                                                              </t>
  </si>
  <si>
    <t xml:space="preserve">MUNICÍPIO / DISTRITO: LUISBURGO-MG                                                                                                                                        </t>
  </si>
  <si>
    <t>ENDEREÇO: CÓRREGO DA FORTALEZA</t>
  </si>
  <si>
    <t xml:space="preserve">ESCOLA ESTADUAL / MUNICIPAL: JOSÉ PETRONILHO                                                                                                                                 </t>
  </si>
  <si>
    <t>RESPONSÁVEL TÉCNICO: NAYARA HELENA FIALHO OLIVEIRA</t>
  </si>
  <si>
    <t>REPRESENTANTE LEGAL: ALAIR FIGUEIREDO DE ASSUNÇÃO JUNIOR</t>
  </si>
  <si>
    <t xml:space="preserve">ESCOLA ESTADUAL / MUNICIPAL:  JOSÉ PETRONILHO                                                                                              </t>
  </si>
  <si>
    <t>35,67+31,55+8,44+13,10+19,52+23,54+14,21+3,66+1,91+1,84+22,47+3,36</t>
  </si>
  <si>
    <t xml:space="preserve">PASTILHAS COLORIDAS (EXTERNAS)
FACHADA FRONTAL = (20,19+10,27+17,40+2,46) X 1,00)
REFEITÓRIO (EXTERNO) = 20,50 X 1,10
CIRCULAÇÃO = (2,46+8,38+7,82+1,25+3,56+3,56+9,16+5,34+1,50+1,20) X 1,25
PASTILHAS BRANCAS
(SALA DE AULA/SALA DE LEITURA) = (24,52+22,60+15,28+11,78+19,42) X 1,25
</t>
  </si>
  <si>
    <t xml:space="preserve">FACHADA= (20,19+10,27+17,40+2,46) X 1,90) + 7,51 X 3,00 
(SALA DE AULA/SALA DE LEITURA) = (24,52+22,60+15,28+11,78+19,42) X 1,25
CIRCULAÇÃO = (2,46+8,38+7,82+1,25+3,56+3,56+9,16+5,34+1,50+1,20) X 1,25
</t>
  </si>
  <si>
    <t>20ª SRE MANHUAÇU</t>
  </si>
  <si>
    <t>SRE: 20ª SER MANHUAÇU</t>
  </si>
  <si>
    <t>SICOR MG LESTE 01/2026 ED-48209 - PAREDE EM CHAPA DE GESSO ACARTONADO (DRYWALL), DIVISÃO ENTRE ÁREAS SECAS DE UMA MESMA UNIDADE (ST/ST), ESP. 115 MM, INCLUSIVE MONTANTES, GUIAS E ACESSÓRIOS, EXCLUSIVE ISOLANTE TÉRMICO/ACÚSTICO</t>
  </si>
  <si>
    <r>
      <rPr>
        <sz val="14"/>
        <color theme="1"/>
        <rFont val="Calibri"/>
        <family val="2"/>
        <scheme val="minor"/>
      </rPr>
      <t>PREFEITURA MUNICIPAL DE LUISBURGO</t>
    </r>
    <r>
      <rPr>
        <sz val="11"/>
        <color theme="1"/>
        <rFont val="Calibri"/>
        <scheme val="minor"/>
      </rPr>
      <t xml:space="preserve">
Rua Orlando Muniz de Carvalho, n.º 59, Centro - CEP:36923-000
LUISBURGO – MINAS GERAIS
Tel: 33 33787000 - CNPJ 01615423/0001-89</t>
    </r>
  </si>
  <si>
    <t>PLACA FRONTAL = 3,00 X 1,20 INCLUINDO LETREIRO COM NOME DA ESCOLA</t>
  </si>
  <si>
    <t>SICOR MG LESTE 10/2024 - ED-48211 - PAREDE EM CHAPA DE GESSO ACARTONADO (DRYWALL), DIVISÃO ENTRE ÁREAS UMIDAS DE UMA MESMA UNIDADE (RU/RU), ESP. 115 MM, INCLUSIVE MONTANTES, GUIAS E ACESSÓRIOS, EXCLUSIVE ISOLANTE TÉRMICO/ACÚSTICO</t>
  </si>
  <si>
    <r>
      <t xml:space="preserve">ORSE 5057 10/2024 - Revestimento metálico em alumínio composto (Alucobond), e=0,3mm, pintura Kaynar 500 composta por seis camadas,  inclusive estrutura metálica auxiliar em perfil de viga "U" de 2" - fornecimento e montagem
</t>
    </r>
    <r>
      <rPr>
        <sz val="12"/>
        <color theme="1"/>
        <rFont val="Calibri"/>
        <family val="2"/>
      </rPr>
      <t>Fornecimento e execução completa conforme projeto incluindo letreiro do nome da escola em ACM</t>
    </r>
  </si>
  <si>
    <t>LOCAL / DATA: LUISBURGO, 13 DE MAIO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</si>
</sst>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;&quot; (&quot;#,##0.00\);&quot; -&quot;#\ ;@\ "/>
    <numFmt numFmtId="165" formatCode="_(* #,##0.00_);_(* \(#,##0.00\);_(* &quot;-&quot;??_);_(@_)"/>
    <numFmt numFmtId="166" formatCode="dd/mm/yy"/>
    <numFmt numFmtId="167" formatCode="_(* #,##0.000_);_(* \(#,##0.000\);_(* &quot;-&quot;??_);_(@_)"/>
  </numFmts>
  <fonts count="3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</font>
    <font>
      <sz val="10"/>
      <color theme="1"/>
      <name val="Arial"/>
      <family val="2"/>
    </font>
    <font>
      <b/>
      <u/>
      <sz val="12"/>
      <color theme="1"/>
      <name val="Calibri"/>
      <family val="2"/>
    </font>
    <font>
      <b/>
      <sz val="10"/>
      <color theme="1"/>
      <name val="Calibri"/>
      <family val="2"/>
    </font>
    <font>
      <b/>
      <u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sz val="14"/>
      <color theme="1"/>
      <name val="Arial"/>
      <family val="2"/>
    </font>
    <font>
      <b/>
      <sz val="12"/>
      <color rgb="FFFF0000"/>
      <name val="Calibri"/>
      <family val="2"/>
    </font>
    <font>
      <b/>
      <sz val="16"/>
      <color theme="1"/>
      <name val="Arial"/>
      <family val="2"/>
    </font>
    <font>
      <sz val="10"/>
      <color theme="1"/>
      <name val="Calibri"/>
      <family val="2"/>
    </font>
    <font>
      <b/>
      <sz val="14"/>
      <color rgb="FFFF0000"/>
      <name val="Calibri"/>
      <family val="2"/>
    </font>
    <font>
      <b/>
      <sz val="6"/>
      <color theme="1"/>
      <name val="Comic Sans MS"/>
      <family val="4"/>
    </font>
    <font>
      <sz val="11"/>
      <color theme="1"/>
      <name val="Comic Sans MS"/>
      <family val="4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Calibri"/>
      <family val="2"/>
    </font>
    <font>
      <vertAlign val="superscript"/>
      <sz val="14"/>
      <color theme="1"/>
      <name val="Calibri"/>
      <family val="2"/>
    </font>
    <font>
      <b/>
      <sz val="12"/>
      <color theme="1"/>
      <name val="Calibri"/>
      <family val="2"/>
    </font>
    <font>
      <sz val="14"/>
      <color theme="1"/>
      <name val="Calibri"/>
      <family val="2"/>
    </font>
    <font>
      <b/>
      <u/>
      <sz val="16"/>
      <color theme="1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5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22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5" fillId="2" borderId="5" xfId="0" applyFont="1" applyFill="1" applyBorder="1"/>
    <xf numFmtId="49" fontId="3" fillId="2" borderId="8" xfId="0" applyNumberFormat="1" applyFont="1" applyFill="1" applyBorder="1" applyAlignment="1">
      <alignment horizontal="center" vertical="center"/>
    </xf>
    <xf numFmtId="0" fontId="6" fillId="2" borderId="5" xfId="0" applyFont="1" applyFill="1" applyBorder="1"/>
    <xf numFmtId="49" fontId="3" fillId="2" borderId="12" xfId="0" applyNumberFormat="1" applyFont="1" applyFill="1" applyBorder="1" applyAlignment="1">
      <alignment horizontal="center" vertical="center"/>
    </xf>
    <xf numFmtId="9" fontId="3" fillId="2" borderId="8" xfId="0" applyNumberFormat="1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vertical="center"/>
    </xf>
    <xf numFmtId="4" fontId="3" fillId="2" borderId="15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4" fontId="3" fillId="2" borderId="8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/>
    <xf numFmtId="49" fontId="2" fillId="2" borderId="19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center" vertical="center" wrapText="1"/>
    </xf>
    <xf numFmtId="4" fontId="6" fillId="2" borderId="20" xfId="0" applyNumberFormat="1" applyFont="1" applyFill="1" applyBorder="1" applyAlignment="1">
      <alignment horizontal="center" vertical="center" wrapText="1"/>
    </xf>
    <xf numFmtId="164" fontId="6" fillId="2" borderId="20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49" fontId="2" fillId="2" borderId="21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4" fontId="6" fillId="2" borderId="22" xfId="0" applyNumberFormat="1" applyFont="1" applyFill="1" applyBorder="1" applyAlignment="1">
      <alignment horizontal="center" vertical="center" wrapText="1"/>
    </xf>
    <xf numFmtId="164" fontId="6" fillId="2" borderId="22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0" fontId="2" fillId="2" borderId="5" xfId="0" applyNumberFormat="1" applyFont="1" applyFill="1" applyBorder="1" applyAlignment="1">
      <alignment vertical="center" wrapText="1"/>
    </xf>
    <xf numFmtId="49" fontId="2" fillId="2" borderId="23" xfId="0" applyNumberFormat="1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left" vertical="center" wrapText="1"/>
    </xf>
    <xf numFmtId="2" fontId="6" fillId="2" borderId="22" xfId="0" applyNumberFormat="1" applyFont="1" applyFill="1" applyBorder="1" applyAlignment="1">
      <alignment horizontal="center" vertical="center" wrapText="1"/>
    </xf>
    <xf numFmtId="2" fontId="6" fillId="2" borderId="24" xfId="0" applyNumberFormat="1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2" fontId="6" fillId="2" borderId="20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left" vertical="center" wrapText="1"/>
    </xf>
    <xf numFmtId="2" fontId="8" fillId="2" borderId="22" xfId="0" applyNumberFormat="1" applyFont="1" applyFill="1" applyBorder="1" applyAlignment="1">
      <alignment horizontal="left" vertical="center" wrapText="1"/>
    </xf>
    <xf numFmtId="0" fontId="6" fillId="2" borderId="36" xfId="0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2" fontId="2" fillId="2" borderId="22" xfId="0" applyNumberFormat="1" applyFont="1" applyFill="1" applyBorder="1" applyAlignment="1">
      <alignment horizontal="left" vertical="center" wrapText="1"/>
    </xf>
    <xf numFmtId="2" fontId="8" fillId="2" borderId="5" xfId="0" applyNumberFormat="1" applyFont="1" applyFill="1" applyBorder="1" applyAlignment="1">
      <alignment horizontal="left" vertical="center" wrapText="1"/>
    </xf>
    <xf numFmtId="4" fontId="8" fillId="2" borderId="22" xfId="0" applyNumberFormat="1" applyFont="1" applyFill="1" applyBorder="1" applyAlignment="1">
      <alignment horizontal="center" vertical="center" wrapText="1"/>
    </xf>
    <xf numFmtId="49" fontId="2" fillId="2" borderId="37" xfId="0" applyNumberFormat="1" applyFont="1" applyFill="1" applyBorder="1" applyAlignment="1">
      <alignment horizontal="center" vertical="center" wrapText="1"/>
    </xf>
    <xf numFmtId="4" fontId="6" fillId="2" borderId="36" xfId="0" applyNumberFormat="1" applyFont="1" applyFill="1" applyBorder="1" applyAlignment="1">
      <alignment horizontal="center" vertical="center" wrapText="1"/>
    </xf>
    <xf numFmtId="164" fontId="6" fillId="2" borderId="36" xfId="0" applyNumberFormat="1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left" vertical="center" wrapText="1"/>
    </xf>
    <xf numFmtId="0" fontId="11" fillId="2" borderId="31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vertical="center" wrapText="1"/>
    </xf>
    <xf numFmtId="165" fontId="2" fillId="2" borderId="5" xfId="0" applyNumberFormat="1" applyFont="1" applyFill="1" applyBorder="1" applyAlignment="1">
      <alignment horizontal="center" vertical="center" wrapText="1"/>
    </xf>
    <xf numFmtId="49" fontId="2" fillId="2" borderId="39" xfId="0" applyNumberFormat="1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left" vertical="center" wrapText="1"/>
    </xf>
    <xf numFmtId="0" fontId="2" fillId="2" borderId="31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left" vertical="center" wrapText="1"/>
    </xf>
    <xf numFmtId="49" fontId="13" fillId="2" borderId="22" xfId="0" applyNumberFormat="1" applyFont="1" applyFill="1" applyBorder="1" applyAlignment="1">
      <alignment horizontal="left" vertical="center" wrapText="1"/>
    </xf>
    <xf numFmtId="49" fontId="2" fillId="2" borderId="22" xfId="0" applyNumberFormat="1" applyFont="1" applyFill="1" applyBorder="1" applyAlignment="1">
      <alignment horizontal="center" vertical="center" wrapText="1"/>
    </xf>
    <xf numFmtId="4" fontId="2" fillId="2" borderId="22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vertical="center" wrapText="1"/>
    </xf>
    <xf numFmtId="49" fontId="2" fillId="2" borderId="22" xfId="0" applyNumberFormat="1" applyFont="1" applyFill="1" applyBorder="1" applyAlignment="1">
      <alignment horizontal="left" vertical="center" wrapText="1"/>
    </xf>
    <xf numFmtId="49" fontId="8" fillId="2" borderId="22" xfId="0" applyNumberFormat="1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1" fontId="2" fillId="2" borderId="19" xfId="0" applyNumberFormat="1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" fontId="2" fillId="2" borderId="21" xfId="0" applyNumberFormat="1" applyFont="1" applyFill="1" applyBorder="1" applyAlignment="1">
      <alignment horizontal="center" vertical="center" wrapText="1"/>
    </xf>
    <xf numFmtId="1" fontId="2" fillId="2" borderId="23" xfId="0" applyNumberFormat="1" applyFont="1" applyFill="1" applyBorder="1" applyAlignment="1">
      <alignment horizontal="center" vertical="center" wrapText="1"/>
    </xf>
    <xf numFmtId="1" fontId="2" fillId="2" borderId="39" xfId="0" applyNumberFormat="1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left" vertical="center" shrinkToFit="1"/>
    </xf>
    <xf numFmtId="0" fontId="2" fillId="2" borderId="5" xfId="0" applyFont="1" applyFill="1" applyBorder="1"/>
    <xf numFmtId="49" fontId="8" fillId="2" borderId="39" xfId="0" applyNumberFormat="1" applyFont="1" applyFill="1" applyBorder="1" applyAlignment="1">
      <alignment vertical="center" wrapText="1"/>
    </xf>
    <xf numFmtId="0" fontId="17" fillId="2" borderId="31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49" fontId="8" fillId="2" borderId="31" xfId="0" applyNumberFormat="1" applyFont="1" applyFill="1" applyBorder="1" applyAlignment="1">
      <alignment vertical="center" wrapText="1"/>
    </xf>
    <xf numFmtId="0" fontId="3" fillId="2" borderId="32" xfId="0" applyFont="1" applyFill="1" applyBorder="1" applyAlignment="1">
      <alignment horizontal="right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/>
    </xf>
    <xf numFmtId="164" fontId="2" fillId="2" borderId="5" xfId="0" applyNumberFormat="1" applyFont="1" applyFill="1" applyBorder="1"/>
    <xf numFmtId="0" fontId="3" fillId="2" borderId="5" xfId="0" applyFont="1" applyFill="1" applyBorder="1" applyAlignment="1">
      <alignment horizontal="left" vertical="center" wrapText="1"/>
    </xf>
    <xf numFmtId="10" fontId="3" fillId="2" borderId="8" xfId="0" applyNumberFormat="1" applyFont="1" applyFill="1" applyBorder="1" applyAlignment="1">
      <alignment horizontal="right" vertical="center" wrapText="1"/>
    </xf>
    <xf numFmtId="164" fontId="3" fillId="2" borderId="44" xfId="0" applyNumberFormat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164" fontId="3" fillId="2" borderId="32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19" fillId="2" borderId="49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vertical="center" wrapText="1"/>
    </xf>
    <xf numFmtId="0" fontId="3" fillId="2" borderId="49" xfId="0" applyFont="1" applyFill="1" applyBorder="1" applyAlignment="1">
      <alignment horizontal="right" vertical="center" wrapText="1"/>
    </xf>
    <xf numFmtId="166" fontId="3" fillId="2" borderId="52" xfId="0" applyNumberFormat="1" applyFont="1" applyFill="1" applyBorder="1" applyAlignment="1">
      <alignment vertical="center" wrapText="1"/>
    </xf>
    <xf numFmtId="166" fontId="3" fillId="2" borderId="5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vertical="center" wrapText="1"/>
    </xf>
    <xf numFmtId="0" fontId="3" fillId="2" borderId="53" xfId="0" applyFont="1" applyFill="1" applyBorder="1" applyAlignment="1">
      <alignment horizontal="right" vertical="center" wrapText="1"/>
    </xf>
    <xf numFmtId="166" fontId="3" fillId="2" borderId="53" xfId="0" applyNumberFormat="1" applyFont="1" applyFill="1" applyBorder="1" applyAlignment="1">
      <alignment vertical="center" wrapText="1"/>
    </xf>
    <xf numFmtId="49" fontId="8" fillId="2" borderId="5" xfId="0" applyNumberFormat="1" applyFont="1" applyFill="1" applyBorder="1"/>
    <xf numFmtId="0" fontId="21" fillId="2" borderId="5" xfId="0" applyFont="1" applyFill="1" applyBorder="1" applyAlignment="1">
      <alignment horizontal="left" vertical="top" wrapText="1"/>
    </xf>
    <xf numFmtId="0" fontId="22" fillId="2" borderId="5" xfId="0" applyFont="1" applyFill="1" applyBorder="1" applyAlignment="1">
      <alignment vertical="center"/>
    </xf>
    <xf numFmtId="0" fontId="22" fillId="2" borderId="5" xfId="0" applyFont="1" applyFill="1" applyBorder="1" applyAlignment="1">
      <alignment horizontal="center" vertical="center"/>
    </xf>
    <xf numFmtId="4" fontId="22" fillId="2" borderId="5" xfId="0" applyNumberFormat="1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/>
    </xf>
    <xf numFmtId="0" fontId="24" fillId="2" borderId="5" xfId="0" applyFont="1" applyFill="1" applyBorder="1" applyAlignment="1">
      <alignment horizontal="center"/>
    </xf>
    <xf numFmtId="0" fontId="21" fillId="2" borderId="5" xfId="0" applyFont="1" applyFill="1" applyBorder="1"/>
    <xf numFmtId="0" fontId="25" fillId="2" borderId="5" xfId="0" applyFont="1" applyFill="1" applyBorder="1"/>
    <xf numFmtId="0" fontId="5" fillId="2" borderId="5" xfId="0" applyFont="1" applyFill="1" applyBorder="1" applyAlignment="1">
      <alignment horizontal="left" wrapText="1"/>
    </xf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/>
    <xf numFmtId="0" fontId="5" fillId="2" borderId="5" xfId="0" applyFont="1" applyFill="1" applyBorder="1" applyAlignment="1">
      <alignment vertical="center"/>
    </xf>
    <xf numFmtId="4" fontId="5" fillId="2" borderId="5" xfId="0" applyNumberFormat="1" applyFont="1" applyFill="1" applyBorder="1" applyAlignment="1">
      <alignment vertical="center"/>
    </xf>
    <xf numFmtId="0" fontId="15" fillId="2" borderId="5" xfId="0" applyFont="1" applyFill="1" applyBorder="1" applyAlignment="1">
      <alignment horizontal="center"/>
    </xf>
    <xf numFmtId="167" fontId="22" fillId="2" borderId="5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left" vertical="center"/>
    </xf>
    <xf numFmtId="10" fontId="7" fillId="0" borderId="8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4" fontId="5" fillId="0" borderId="18" xfId="0" applyNumberFormat="1" applyFont="1" applyBorder="1" applyAlignment="1">
      <alignment horizontal="center" vertical="center"/>
    </xf>
    <xf numFmtId="10" fontId="5" fillId="0" borderId="18" xfId="0" applyNumberFormat="1" applyFont="1" applyBorder="1" applyAlignment="1">
      <alignment horizontal="center" vertical="center"/>
    </xf>
    <xf numFmtId="10" fontId="5" fillId="0" borderId="18" xfId="0" applyNumberFormat="1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10" fontId="5" fillId="0" borderId="8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4" fontId="5" fillId="0" borderId="8" xfId="0" applyNumberFormat="1" applyFont="1" applyBorder="1" applyAlignment="1">
      <alignment horizontal="center" vertical="center"/>
    </xf>
    <xf numFmtId="10" fontId="5" fillId="0" borderId="8" xfId="0" applyNumberFormat="1" applyFont="1" applyBorder="1" applyAlignment="1">
      <alignment horizontal="center" vertical="center"/>
    </xf>
    <xf numFmtId="4" fontId="27" fillId="0" borderId="8" xfId="0" applyNumberFormat="1" applyFont="1" applyBorder="1" applyAlignment="1">
      <alignment horizontal="center" vertical="center"/>
    </xf>
    <xf numFmtId="10" fontId="27" fillId="0" borderId="8" xfId="0" applyNumberFormat="1" applyFont="1" applyBorder="1" applyAlignment="1">
      <alignment horizontal="center" vertical="center"/>
    </xf>
    <xf numFmtId="0" fontId="2" fillId="2" borderId="50" xfId="0" applyFont="1" applyFill="1" applyBorder="1" applyAlignment="1">
      <alignment horizontal="center" vertical="center" wrapText="1"/>
    </xf>
    <xf numFmtId="164" fontId="2" fillId="2" borderId="50" xfId="0" applyNumberFormat="1" applyFont="1" applyFill="1" applyBorder="1" applyAlignment="1">
      <alignment horizontal="center" vertical="center" wrapText="1"/>
    </xf>
    <xf numFmtId="2" fontId="30" fillId="2" borderId="22" xfId="0" applyNumberFormat="1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left" vertical="center" wrapText="1"/>
    </xf>
    <xf numFmtId="0" fontId="8" fillId="2" borderId="42" xfId="0" applyFont="1" applyFill="1" applyBorder="1" applyAlignment="1">
      <alignment horizontal="left" vertical="center" wrapText="1"/>
    </xf>
    <xf numFmtId="4" fontId="6" fillId="2" borderId="42" xfId="0" applyNumberFormat="1" applyFont="1" applyFill="1" applyBorder="1" applyAlignment="1">
      <alignment horizontal="center" vertical="center" wrapText="1"/>
    </xf>
    <xf numFmtId="164" fontId="6" fillId="2" borderId="42" xfId="0" applyNumberFormat="1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vertical="center" wrapText="1"/>
    </xf>
    <xf numFmtId="0" fontId="7" fillId="2" borderId="50" xfId="0" applyFont="1" applyFill="1" applyBorder="1" applyAlignment="1">
      <alignment vertical="center" wrapText="1"/>
    </xf>
    <xf numFmtId="0" fontId="6" fillId="2" borderId="42" xfId="0" applyFont="1" applyFill="1" applyBorder="1" applyAlignment="1">
      <alignment horizontal="center" vertical="center" wrapText="1"/>
    </xf>
    <xf numFmtId="2" fontId="6" fillId="2" borderId="42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31" fillId="2" borderId="22" xfId="0" applyFont="1" applyFill="1" applyBorder="1" applyAlignment="1">
      <alignment horizontal="left" vertical="center" wrapText="1"/>
    </xf>
    <xf numFmtId="0" fontId="30" fillId="2" borderId="22" xfId="0" applyFont="1" applyFill="1" applyBorder="1" applyAlignment="1">
      <alignment horizontal="center" vertical="center" wrapText="1"/>
    </xf>
    <xf numFmtId="2" fontId="8" fillId="2" borderId="42" xfId="0" applyNumberFormat="1" applyFont="1" applyFill="1" applyBorder="1" applyAlignment="1">
      <alignment horizontal="left" vertical="center" wrapText="1"/>
    </xf>
    <xf numFmtId="2" fontId="2" fillId="2" borderId="42" xfId="0" applyNumberFormat="1" applyFont="1" applyFill="1" applyBorder="1" applyAlignment="1">
      <alignment horizontal="left" vertical="center" wrapText="1"/>
    </xf>
    <xf numFmtId="10" fontId="2" fillId="2" borderId="50" xfId="0" applyNumberFormat="1" applyFont="1" applyFill="1" applyBorder="1" applyAlignment="1">
      <alignment vertical="center" wrapText="1"/>
    </xf>
    <xf numFmtId="0" fontId="11" fillId="2" borderId="50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7" fillId="0" borderId="6" xfId="0" applyFont="1" applyBorder="1" applyAlignment="1">
      <alignment horizontal="left" vertical="center"/>
    </xf>
    <xf numFmtId="0" fontId="4" fillId="0" borderId="9" xfId="0" applyFont="1" applyBorder="1"/>
    <xf numFmtId="0" fontId="4" fillId="0" borderId="7" xfId="0" applyFont="1" applyBorder="1"/>
    <xf numFmtId="10" fontId="7" fillId="0" borderId="14" xfId="0" applyNumberFormat="1" applyFont="1" applyBorder="1" applyAlignment="1">
      <alignment horizontal="center" vertical="center"/>
    </xf>
    <xf numFmtId="0" fontId="4" fillId="0" borderId="18" xfId="0" applyFont="1" applyBorder="1"/>
    <xf numFmtId="0" fontId="7" fillId="0" borderId="6" xfId="0" applyFont="1" applyBorder="1" applyAlignment="1">
      <alignment horizontal="center" vertical="center"/>
    </xf>
    <xf numFmtId="4" fontId="21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" fontId="7" fillId="3" borderId="14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left" vertical="center"/>
    </xf>
    <xf numFmtId="0" fontId="26" fillId="0" borderId="14" xfId="0" applyFont="1" applyBorder="1" applyAlignment="1">
      <alignment horizontal="center" vertical="center"/>
    </xf>
    <xf numFmtId="10" fontId="14" fillId="0" borderId="6" xfId="0" applyNumberFormat="1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2" fontId="2" fillId="2" borderId="24" xfId="0" applyNumberFormat="1" applyFont="1" applyFill="1" applyBorder="1" applyAlignment="1">
      <alignment horizontal="center" vertical="center" wrapText="1"/>
    </xf>
    <xf numFmtId="2" fontId="2" fillId="2" borderId="50" xfId="0" applyNumberFormat="1" applyFont="1" applyFill="1" applyBorder="1" applyAlignment="1">
      <alignment horizontal="center" vertical="center" wrapText="1"/>
    </xf>
    <xf numFmtId="0" fontId="29" fillId="2" borderId="2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49" fontId="32" fillId="2" borderId="6" xfId="0" applyNumberFormat="1" applyFont="1" applyFill="1" applyBorder="1" applyAlignment="1">
      <alignment horizontal="left" vertical="center" wrapText="1"/>
    </xf>
    <xf numFmtId="0" fontId="4" fillId="0" borderId="7" xfId="0" applyFont="1" applyBorder="1" applyAlignment="1">
      <alignment wrapText="1"/>
    </xf>
    <xf numFmtId="0" fontId="3" fillId="2" borderId="6" xfId="0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left" vertical="center"/>
    </xf>
    <xf numFmtId="0" fontId="4" fillId="0" borderId="11" xfId="0" applyFont="1" applyBorder="1"/>
    <xf numFmtId="49" fontId="3" fillId="2" borderId="6" xfId="0" applyNumberFormat="1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 wrapText="1"/>
    </xf>
    <xf numFmtId="0" fontId="29" fillId="2" borderId="50" xfId="0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29" fillId="2" borderId="24" xfId="0" applyNumberFormat="1" applyFont="1" applyFill="1" applyBorder="1" applyAlignment="1">
      <alignment horizontal="center" vertical="center" wrapText="1"/>
    </xf>
    <xf numFmtId="164" fontId="2" fillId="2" borderId="50" xfId="0" applyNumberFormat="1" applyFont="1" applyFill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/>
    </xf>
    <xf numFmtId="0" fontId="4" fillId="0" borderId="25" xfId="0" applyFont="1" applyBorder="1"/>
    <xf numFmtId="0" fontId="4" fillId="0" borderId="26" xfId="0" applyFont="1" applyBorder="1"/>
    <xf numFmtId="49" fontId="3" fillId="2" borderId="13" xfId="0" applyNumberFormat="1" applyFont="1" applyFill="1" applyBorder="1" applyAlignment="1">
      <alignment horizontal="center" vertical="center"/>
    </xf>
    <xf numFmtId="0" fontId="4" fillId="0" borderId="17" xfId="0" applyFont="1" applyBorder="1"/>
    <xf numFmtId="0" fontId="3" fillId="2" borderId="14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4" fillId="0" borderId="27" xfId="0" applyFont="1" applyBorder="1"/>
    <xf numFmtId="0" fontId="4" fillId="0" borderId="28" xfId="0" applyFont="1" applyBorder="1"/>
    <xf numFmtId="0" fontId="4" fillId="0" borderId="41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29" xfId="0" applyFont="1" applyBorder="1"/>
    <xf numFmtId="0" fontId="0" fillId="0" borderId="0" xfId="0"/>
    <xf numFmtId="0" fontId="4" fillId="0" borderId="30" xfId="0" applyFont="1" applyBorder="1"/>
    <xf numFmtId="0" fontId="4" fillId="0" borderId="33" xfId="0" applyFont="1" applyBorder="1"/>
    <xf numFmtId="0" fontId="16" fillId="2" borderId="40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left" vertical="center" wrapText="1"/>
    </xf>
    <xf numFmtId="0" fontId="4" fillId="0" borderId="47" xfId="0" applyFont="1" applyBorder="1"/>
    <xf numFmtId="0" fontId="4" fillId="0" borderId="48" xfId="0" applyFont="1" applyBorder="1"/>
    <xf numFmtId="0" fontId="3" fillId="2" borderId="5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16" xfId="0" applyFont="1" applyFill="1" applyBorder="1" applyAlignment="1">
      <alignment horizontal="right" vertical="center" wrapText="1"/>
    </xf>
    <xf numFmtId="0" fontId="18" fillId="2" borderId="46" xfId="0" applyFont="1" applyFill="1" applyBorder="1" applyAlignment="1">
      <alignment horizontal="center" vertical="center" wrapText="1"/>
    </xf>
    <xf numFmtId="164" fontId="2" fillId="2" borderId="24" xfId="0" applyNumberFormat="1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 wrapText="1"/>
    </xf>
    <xf numFmtId="0" fontId="4" fillId="0" borderId="5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71525" cy="62865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771525" cy="628650"/>
          <a:chOff x="4960238" y="3465675"/>
          <a:chExt cx="771525" cy="6286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4960238" y="3465675"/>
            <a:ext cx="771525" cy="628650"/>
            <a:chOff x="0" y="0"/>
            <a:chExt cx="879" cy="701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0"/>
              <a:ext cx="875" cy="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6" name="Shape 6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879" cy="701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7" name="Shape 7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</xdr:grpSp>
    </xdr:grpSp>
    <xdr:clientData fLocksWithSheet="0"/>
  </xdr:oneCellAnchor>
  <xdr:oneCellAnchor>
    <xdr:from>
      <xdr:col>0</xdr:col>
      <xdr:colOff>0</xdr:colOff>
      <xdr:row>0</xdr:row>
      <xdr:rowOff>0</xdr:rowOff>
    </xdr:from>
    <xdr:ext cx="771525" cy="628650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0" y="0"/>
          <a:ext cx="771525" cy="628650"/>
          <a:chOff x="4960238" y="3465675"/>
          <a:chExt cx="771525" cy="628650"/>
        </a:xfrm>
      </xdr:grpSpPr>
      <xdr:grpSp>
        <xdr:nvGrpSpPr>
          <xdr:cNvPr id="9" name="Shap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pSpPr/>
        </xdr:nvGrpSpPr>
        <xdr:grpSpPr>
          <a:xfrm>
            <a:off x="4960238" y="3465675"/>
            <a:ext cx="771525" cy="628650"/>
            <a:chOff x="0" y="0"/>
            <a:chExt cx="879" cy="701"/>
          </a:xfrm>
        </xdr:grpSpPr>
        <xdr:sp macro="" textlink="">
          <xdr:nvSpPr>
            <xdr:cNvPr id="10" name="Shape 4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/>
          </xdr:nvSpPr>
          <xdr:spPr>
            <a:xfrm>
              <a:off x="0" y="0"/>
              <a:ext cx="875" cy="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sp macro="" textlink="">
          <xdr:nvSpPr>
            <xdr:cNvPr id="11" name="Shape 9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12" name="Shape 10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0" y="0"/>
              <a:ext cx="879" cy="701"/>
            </a:xfrm>
            <a:prstGeom prst="rect">
              <a:avLst/>
            </a:prstGeom>
            <a:noFill/>
            <a:ln>
              <a:noFill/>
            </a:ln>
          </xdr:spPr>
        </xdr:pic>
        <xdr:sp macro="" textlink="">
          <xdr:nvSpPr>
            <xdr:cNvPr id="13" name="Shape 11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/>
          </xdr:nvSpPr>
          <xdr:spPr>
            <a:xfrm>
              <a:off x="0" y="0"/>
              <a:ext cx="879" cy="701"/>
            </a:xfrm>
            <a:prstGeom prst="rect">
              <a:avLst/>
            </a:prstGeom>
            <a:noFill/>
            <a:ln w="9525" cap="flat" cmpd="sng">
              <a:solidFill>
                <a:srgbClr val="000000"/>
              </a:solidFill>
              <a:prstDash val="solid"/>
              <a:miter lim="800000"/>
              <a:headEnd type="none" w="sm" len="sm"/>
              <a:tailEnd type="none" w="sm" len="sm"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</xdr:grp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609600</xdr:colOff>
      <xdr:row>0</xdr:row>
      <xdr:rowOff>845484</xdr:rowOff>
    </xdr:to>
    <xdr:pic>
      <xdr:nvPicPr>
        <xdr:cNvPr id="2" name="Imagem 1" descr="brasao">
          <a:extLst>
            <a:ext uri="{FF2B5EF4-FFF2-40B4-BE49-F238E27FC236}">
              <a16:creationId xmlns:a16="http://schemas.microsoft.com/office/drawing/2014/main" id="{5F559137-7CB7-4CF4-BF1A-8E4EDCB6B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0"/>
          <a:ext cx="609600" cy="847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63"/>
  <sheetViews>
    <sheetView topLeftCell="A281" zoomScale="85" zoomScaleNormal="85" zoomScaleSheetLayoutView="85" workbookViewId="0">
      <selection activeCell="J293" sqref="J293"/>
    </sheetView>
  </sheetViews>
  <sheetFormatPr defaultColWidth="14.44140625" defaultRowHeight="14.4" x14ac:dyDescent="0.3"/>
  <cols>
    <col min="1" max="1" width="11.5546875" customWidth="1"/>
    <col min="2" max="2" width="61.5546875" customWidth="1"/>
    <col min="3" max="3" width="10.5546875" customWidth="1"/>
    <col min="4" max="4" width="11.33203125" customWidth="1"/>
    <col min="5" max="5" width="17.5546875" customWidth="1"/>
    <col min="6" max="6" width="17.109375" customWidth="1"/>
    <col min="7" max="7" width="16" customWidth="1"/>
    <col min="8" max="8" width="20.5546875" customWidth="1"/>
    <col min="9" max="9" width="17.44140625" customWidth="1"/>
    <col min="10" max="11" width="15.21875" customWidth="1"/>
    <col min="12" max="21" width="8.44140625" customWidth="1"/>
  </cols>
  <sheetData>
    <row r="1" spans="1:21" ht="58.2" customHeight="1" x14ac:dyDescent="0.3">
      <c r="A1" s="1"/>
      <c r="B1" s="176" t="s">
        <v>0</v>
      </c>
      <c r="C1" s="177"/>
      <c r="D1" s="177"/>
      <c r="E1" s="177"/>
      <c r="F1" s="177"/>
      <c r="G1" s="177"/>
      <c r="H1" s="177"/>
      <c r="I1" s="177"/>
      <c r="J1" s="178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37.799999999999997" customHeight="1" x14ac:dyDescent="0.35">
      <c r="A2" s="179" t="s">
        <v>419</v>
      </c>
      <c r="B2" s="180"/>
      <c r="C2" s="181" t="s">
        <v>1</v>
      </c>
      <c r="D2" s="160"/>
      <c r="E2" s="155">
        <v>31076911</v>
      </c>
      <c r="F2" s="3" t="s">
        <v>2</v>
      </c>
      <c r="G2" s="182" t="s">
        <v>423</v>
      </c>
      <c r="H2" s="159"/>
      <c r="I2" s="159"/>
      <c r="J2" s="160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18" x14ac:dyDescent="0.35">
      <c r="A3" s="183" t="s">
        <v>413</v>
      </c>
      <c r="B3" s="184"/>
      <c r="C3" s="5" t="s">
        <v>3</v>
      </c>
      <c r="D3" s="6">
        <v>0.05</v>
      </c>
      <c r="E3" s="7" t="s">
        <v>4</v>
      </c>
      <c r="F3" s="185" t="s">
        <v>5</v>
      </c>
      <c r="G3" s="159"/>
      <c r="H3" s="159"/>
      <c r="I3" s="159"/>
      <c r="J3" s="160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18" x14ac:dyDescent="0.3">
      <c r="A4" s="199" t="s">
        <v>6</v>
      </c>
      <c r="B4" s="201" t="s">
        <v>7</v>
      </c>
      <c r="C4" s="201" t="s">
        <v>8</v>
      </c>
      <c r="D4" s="189" t="s">
        <v>9</v>
      </c>
      <c r="E4" s="159"/>
      <c r="F4" s="160"/>
      <c r="G4" s="8">
        <f>G290</f>
        <v>441218.22696049488</v>
      </c>
      <c r="H4" s="190" t="s">
        <v>10</v>
      </c>
      <c r="I4" s="159"/>
      <c r="J4" s="184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36" x14ac:dyDescent="0.3">
      <c r="A5" s="200"/>
      <c r="B5" s="162"/>
      <c r="C5" s="162"/>
      <c r="D5" s="9" t="s">
        <v>11</v>
      </c>
      <c r="E5" s="10" t="s">
        <v>12</v>
      </c>
      <c r="F5" s="10" t="s">
        <v>13</v>
      </c>
      <c r="G5" s="9" t="s">
        <v>14</v>
      </c>
      <c r="H5" s="186" t="s">
        <v>15</v>
      </c>
      <c r="I5" s="159"/>
      <c r="J5" s="184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1" ht="18" x14ac:dyDescent="0.3">
      <c r="A6" s="12" t="s">
        <v>16</v>
      </c>
      <c r="B6" s="13" t="s">
        <v>17</v>
      </c>
      <c r="C6" s="14"/>
      <c r="D6" s="15"/>
      <c r="E6" s="15"/>
      <c r="F6" s="15"/>
      <c r="G6" s="16"/>
      <c r="H6" s="17"/>
      <c r="I6" s="17"/>
      <c r="J6" s="18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ht="46.8" x14ac:dyDescent="0.3">
      <c r="A7" s="26" t="s">
        <v>19</v>
      </c>
      <c r="B7" s="29" t="s">
        <v>20</v>
      </c>
      <c r="C7" s="21" t="s">
        <v>8</v>
      </c>
      <c r="D7" s="22">
        <v>1</v>
      </c>
      <c r="E7" s="22">
        <v>1230.21</v>
      </c>
      <c r="F7" s="22">
        <f>E7*(1+C$289)</f>
        <v>1530.750303</v>
      </c>
      <c r="G7" s="23">
        <f>D7*F7</f>
        <v>1530.750303</v>
      </c>
      <c r="H7" s="17"/>
      <c r="I7" s="24"/>
      <c r="J7" s="25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 spans="1:21" ht="187.2" x14ac:dyDescent="0.3">
      <c r="A8" s="26"/>
      <c r="B8" s="30" t="s">
        <v>21</v>
      </c>
      <c r="C8" s="21"/>
      <c r="D8" s="22"/>
      <c r="E8" s="22"/>
      <c r="F8" s="22"/>
      <c r="G8" s="23"/>
      <c r="H8" s="173" t="s">
        <v>332</v>
      </c>
      <c r="I8" s="174"/>
      <c r="J8" s="174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1" ht="18" x14ac:dyDescent="0.3">
      <c r="A9" s="26"/>
      <c r="B9" s="29"/>
      <c r="C9" s="186" t="s">
        <v>23</v>
      </c>
      <c r="D9" s="159"/>
      <c r="E9" s="160"/>
      <c r="F9" s="34"/>
      <c r="G9" s="35">
        <f>SUM(G7:G8)</f>
        <v>1530.750303</v>
      </c>
      <c r="H9" s="17"/>
      <c r="I9" s="24"/>
      <c r="J9" s="18"/>
      <c r="K9" s="208"/>
      <c r="L9" s="209"/>
      <c r="M9" s="209"/>
      <c r="N9" s="210"/>
      <c r="O9" s="19"/>
      <c r="P9" s="19"/>
      <c r="Q9" s="19"/>
      <c r="R9" s="19"/>
      <c r="S9" s="19"/>
      <c r="T9" s="19"/>
      <c r="U9" s="19"/>
    </row>
    <row r="10" spans="1:21" ht="18" x14ac:dyDescent="0.3">
      <c r="A10" s="12" t="s">
        <v>24</v>
      </c>
      <c r="B10" s="13" t="s">
        <v>25</v>
      </c>
      <c r="C10" s="14"/>
      <c r="D10" s="36"/>
      <c r="E10" s="15"/>
      <c r="F10" s="15"/>
      <c r="G10" s="23"/>
      <c r="H10" s="17"/>
      <c r="I10" s="24"/>
      <c r="J10" s="18"/>
      <c r="K10" s="211"/>
      <c r="L10" s="206"/>
      <c r="M10" s="206"/>
      <c r="N10" s="207"/>
      <c r="O10" s="19"/>
      <c r="P10" s="19"/>
      <c r="Q10" s="19"/>
      <c r="R10" s="19"/>
      <c r="S10" s="19"/>
      <c r="T10" s="19"/>
      <c r="U10" s="19"/>
    </row>
    <row r="11" spans="1:21" ht="31.2" x14ac:dyDescent="0.3">
      <c r="A11" s="26" t="s">
        <v>26</v>
      </c>
      <c r="B11" s="41" t="s">
        <v>27</v>
      </c>
      <c r="C11" s="21" t="s">
        <v>28</v>
      </c>
      <c r="D11" s="32">
        <f>1.46*2.5*0.17+0.3*2.5*0.17+2.5*1.2*0.17</f>
        <v>1.258</v>
      </c>
      <c r="E11" s="22">
        <v>106.5</v>
      </c>
      <c r="F11" s="22">
        <f>E11*(1+C$289)</f>
        <v>132.51794999999998</v>
      </c>
      <c r="G11" s="23">
        <f>D11*F11</f>
        <v>166.70758109999997</v>
      </c>
      <c r="H11" s="17"/>
      <c r="I11" s="24"/>
      <c r="J11" s="25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 spans="1:21" ht="187.2" x14ac:dyDescent="0.3">
      <c r="A12" s="26"/>
      <c r="B12" s="38" t="s">
        <v>29</v>
      </c>
      <c r="C12" s="21"/>
      <c r="D12" s="32"/>
      <c r="E12" s="22"/>
      <c r="F12" s="22"/>
      <c r="G12" s="23"/>
      <c r="H12" s="171" t="s">
        <v>346</v>
      </c>
      <c r="I12" s="172"/>
      <c r="J12" s="172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1" ht="18" x14ac:dyDescent="0.3">
      <c r="A13" s="26"/>
      <c r="B13" s="38"/>
      <c r="C13" s="21"/>
      <c r="D13" s="32"/>
      <c r="E13" s="22"/>
      <c r="F13" s="22"/>
      <c r="G13" s="23"/>
      <c r="H13" s="17"/>
      <c r="I13" s="24"/>
      <c r="J13" s="18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 spans="1:21" ht="18" x14ac:dyDescent="0.3">
      <c r="A14" s="26" t="s">
        <v>30</v>
      </c>
      <c r="B14" s="41" t="s">
        <v>31</v>
      </c>
      <c r="C14" s="21" t="s">
        <v>22</v>
      </c>
      <c r="D14" s="32">
        <f>(24.52+22.6+15.28+19.42)*1.7+(2.46+11.93+7.82+3.56+1.61+2.3+1.61+3.56+9.16+5.04+1.5+4.75)*1.25+15.7*2.8</f>
        <v>252.17900000000003</v>
      </c>
      <c r="E14" s="22">
        <v>21.08</v>
      </c>
      <c r="F14" s="22">
        <f>E14*(1+C$289)</f>
        <v>26.229843999999996</v>
      </c>
      <c r="G14" s="23">
        <f>D14*F14</f>
        <v>6614.6158300759998</v>
      </c>
      <c r="H14" s="17"/>
      <c r="I14" s="24"/>
      <c r="J14" s="25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ht="182.4" customHeight="1" x14ac:dyDescent="0.3">
      <c r="A15" s="26"/>
      <c r="B15" s="38" t="s">
        <v>32</v>
      </c>
      <c r="C15" s="21"/>
      <c r="D15" s="32"/>
      <c r="E15" s="22"/>
      <c r="F15" s="22"/>
      <c r="G15" s="23"/>
      <c r="H15" s="171" t="s">
        <v>347</v>
      </c>
      <c r="I15" s="172"/>
      <c r="J15" s="172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 spans="1:21" ht="18" x14ac:dyDescent="0.3">
      <c r="A16" s="26"/>
      <c r="B16" s="41"/>
      <c r="C16" s="21"/>
      <c r="D16" s="32"/>
      <c r="E16" s="22"/>
      <c r="F16" s="22"/>
      <c r="G16" s="23"/>
      <c r="H16" s="17"/>
      <c r="I16" s="24"/>
      <c r="J16" s="18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 spans="1:21" ht="31.2" x14ac:dyDescent="0.3">
      <c r="A17" s="26" t="s">
        <v>34</v>
      </c>
      <c r="B17" s="41" t="s">
        <v>35</v>
      </c>
      <c r="C17" s="21" t="s">
        <v>22</v>
      </c>
      <c r="D17" s="32">
        <f>(18.6*11.62)*1.08+(5.29*2)*1.05</f>
        <v>244.53156000000004</v>
      </c>
      <c r="E17" s="22">
        <v>24.68</v>
      </c>
      <c r="F17" s="22">
        <f>E17*(1+C$289)</f>
        <v>30.709323999999999</v>
      </c>
      <c r="G17" s="23">
        <f>D17*F17</f>
        <v>7509.3989042654412</v>
      </c>
      <c r="H17" s="17"/>
      <c r="I17" s="24"/>
      <c r="J17" s="25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</row>
    <row r="18" spans="1:21" ht="246.6" customHeight="1" x14ac:dyDescent="0.3">
      <c r="A18" s="26"/>
      <c r="B18" s="38" t="s">
        <v>33</v>
      </c>
      <c r="C18" s="21"/>
      <c r="D18" s="32"/>
      <c r="E18" s="22"/>
      <c r="F18" s="22"/>
      <c r="G18" s="23"/>
      <c r="H18" s="194" t="s">
        <v>348</v>
      </c>
      <c r="I18" s="195"/>
      <c r="J18" s="195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</row>
    <row r="19" spans="1:21" ht="18" x14ac:dyDescent="0.3">
      <c r="A19" s="26"/>
      <c r="B19" s="38"/>
      <c r="C19" s="21"/>
      <c r="D19" s="32"/>
      <c r="E19" s="22"/>
      <c r="F19" s="22"/>
      <c r="G19" s="23"/>
      <c r="H19" s="17"/>
      <c r="I19" s="24"/>
      <c r="J19" s="18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</row>
    <row r="20" spans="1:21" ht="31.2" customHeight="1" x14ac:dyDescent="0.3">
      <c r="A20" s="26" t="s">
        <v>343</v>
      </c>
      <c r="B20" s="152" t="s">
        <v>344</v>
      </c>
      <c r="C20" s="146" t="s">
        <v>22</v>
      </c>
      <c r="D20" s="147">
        <f>8.05*4.38</f>
        <v>35.259</v>
      </c>
      <c r="E20" s="142">
        <v>13.09</v>
      </c>
      <c r="F20" s="22">
        <f>E20*(1+C$289)</f>
        <v>16.287886999999998</v>
      </c>
      <c r="G20" s="143">
        <f>D20*F20</f>
        <v>574.29460773299991</v>
      </c>
      <c r="H20" s="137"/>
      <c r="I20" s="138"/>
      <c r="J20" s="153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</row>
    <row r="21" spans="1:21" ht="190.8" customHeight="1" x14ac:dyDescent="0.3">
      <c r="A21" s="26"/>
      <c r="B21" s="151" t="s">
        <v>345</v>
      </c>
      <c r="C21" s="146"/>
      <c r="D21" s="147"/>
      <c r="E21" s="142"/>
      <c r="F21" s="142"/>
      <c r="G21" s="143"/>
      <c r="H21" s="171" t="s">
        <v>349</v>
      </c>
      <c r="I21" s="172"/>
      <c r="J21" s="172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</row>
    <row r="22" spans="1:21" ht="18.75" customHeight="1" x14ac:dyDescent="0.3">
      <c r="A22" s="26"/>
      <c r="B22" s="152"/>
      <c r="C22" s="146"/>
      <c r="D22" s="147"/>
      <c r="E22" s="142"/>
      <c r="F22" s="142"/>
      <c r="G22" s="143"/>
      <c r="H22" s="137"/>
      <c r="I22" s="138"/>
      <c r="J22" s="144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</row>
    <row r="23" spans="1:21" ht="46.8" x14ac:dyDescent="0.3">
      <c r="A23" s="26" t="s">
        <v>36</v>
      </c>
      <c r="B23" s="41" t="s">
        <v>37</v>
      </c>
      <c r="C23" s="21" t="s">
        <v>22</v>
      </c>
      <c r="D23" s="32">
        <f>35.26+244.53</f>
        <v>279.79000000000002</v>
      </c>
      <c r="E23" s="22">
        <v>10.31</v>
      </c>
      <c r="F23" s="22">
        <f>E23*(1+C$289)</f>
        <v>12.828733</v>
      </c>
      <c r="G23" s="23">
        <f>D23*F23</f>
        <v>3589.35120607</v>
      </c>
      <c r="H23" s="17"/>
      <c r="I23" s="24"/>
      <c r="J23" s="25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</row>
    <row r="24" spans="1:21" ht="202.8" x14ac:dyDescent="0.3">
      <c r="A24" s="26"/>
      <c r="B24" s="38" t="s">
        <v>38</v>
      </c>
      <c r="C24" s="21"/>
      <c r="D24" s="32"/>
      <c r="E24" s="22"/>
      <c r="F24" s="22"/>
      <c r="G24" s="23"/>
      <c r="H24" s="171" t="s">
        <v>355</v>
      </c>
      <c r="I24" s="172"/>
      <c r="J24" s="172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</row>
    <row r="25" spans="1:21" ht="18" x14ac:dyDescent="0.3">
      <c r="A25" s="26"/>
      <c r="B25" s="41"/>
      <c r="C25" s="21"/>
      <c r="D25" s="32"/>
      <c r="E25" s="22"/>
      <c r="F25" s="22"/>
      <c r="G25" s="23"/>
      <c r="H25" s="17"/>
      <c r="I25" s="24"/>
      <c r="J25" s="18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</row>
    <row r="26" spans="1:21" ht="31.2" x14ac:dyDescent="0.3">
      <c r="A26" s="26" t="s">
        <v>39</v>
      </c>
      <c r="B26" s="41" t="s">
        <v>40</v>
      </c>
      <c r="C26" s="21" t="s">
        <v>22</v>
      </c>
      <c r="D26" s="32">
        <v>24</v>
      </c>
      <c r="E26" s="22">
        <v>18.07</v>
      </c>
      <c r="F26" s="22">
        <f>E26*(1+C$289)</f>
        <v>22.484500999999998</v>
      </c>
      <c r="G26" s="23">
        <f>D26*F26</f>
        <v>539.62802399999998</v>
      </c>
      <c r="H26" s="17"/>
      <c r="I26" s="24"/>
      <c r="J26" s="25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</row>
    <row r="27" spans="1:21" ht="202.8" x14ac:dyDescent="0.3">
      <c r="A27" s="26"/>
      <c r="B27" s="38" t="s">
        <v>41</v>
      </c>
      <c r="C27" s="21"/>
      <c r="D27" s="32"/>
      <c r="E27" s="22"/>
      <c r="F27" s="22"/>
      <c r="G27" s="23"/>
      <c r="H27" s="171" t="s">
        <v>401</v>
      </c>
      <c r="I27" s="172"/>
      <c r="J27" s="172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</row>
    <row r="28" spans="1:21" ht="18" x14ac:dyDescent="0.3">
      <c r="A28" s="26"/>
      <c r="B28" s="41"/>
      <c r="C28" s="21"/>
      <c r="D28" s="32"/>
      <c r="E28" s="22"/>
      <c r="F28" s="22"/>
      <c r="G28" s="23"/>
      <c r="H28" s="17"/>
      <c r="I28" s="24"/>
      <c r="J28" s="18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</row>
    <row r="29" spans="1:21" ht="31.2" x14ac:dyDescent="0.3">
      <c r="A29" s="26" t="s">
        <v>42</v>
      </c>
      <c r="B29" s="41" t="s">
        <v>43</v>
      </c>
      <c r="C29" s="21" t="s">
        <v>22</v>
      </c>
      <c r="D29" s="32">
        <f>35.67+31.55+13.1+23.54+14.21+(2.46*4.75)+(0.96*5.04)+(7.82*1.84)+((3.56+1.84)*2.3)+1.57*2+13.15+18.83</f>
        <v>196.5222</v>
      </c>
      <c r="E29" s="22">
        <v>16.87</v>
      </c>
      <c r="F29" s="22">
        <f>E29*(1+C$289)</f>
        <v>20.991341000000002</v>
      </c>
      <c r="G29" s="23">
        <f>D29*F29</f>
        <v>4125.2645142702004</v>
      </c>
      <c r="H29" s="17"/>
      <c r="I29" s="24"/>
      <c r="J29" s="25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</row>
    <row r="30" spans="1:21" ht="202.8" x14ac:dyDescent="0.3">
      <c r="A30" s="26"/>
      <c r="B30" s="38" t="s">
        <v>44</v>
      </c>
      <c r="C30" s="21"/>
      <c r="D30" s="32"/>
      <c r="E30" s="22"/>
      <c r="F30" s="22"/>
      <c r="G30" s="23"/>
      <c r="H30" s="171" t="s">
        <v>350</v>
      </c>
      <c r="I30" s="172"/>
      <c r="J30" s="172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</row>
    <row r="31" spans="1:21" ht="18" x14ac:dyDescent="0.3">
      <c r="A31" s="26"/>
      <c r="B31" s="41"/>
      <c r="C31" s="21"/>
      <c r="D31" s="32"/>
      <c r="E31" s="22"/>
      <c r="F31" s="22"/>
      <c r="G31" s="23"/>
      <c r="H31" s="17"/>
      <c r="I31" s="24"/>
      <c r="J31" s="18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</row>
    <row r="32" spans="1:21" ht="31.2" x14ac:dyDescent="0.3">
      <c r="A32" s="26" t="s">
        <v>45</v>
      </c>
      <c r="B32" s="41" t="s">
        <v>46</v>
      </c>
      <c r="C32" s="21" t="s">
        <v>22</v>
      </c>
      <c r="D32" s="32">
        <f>6*2.5*1.2+2.15*1.8+6*2.5*1.2+0.75*1.1+1.55*2.65+1*2.15+0.9*1.65+0.8*0.95</f>
        <v>49.197500000000005</v>
      </c>
      <c r="E32" s="22">
        <v>18.93</v>
      </c>
      <c r="F32" s="22">
        <f>E32*(1+C$289)</f>
        <v>23.554599</v>
      </c>
      <c r="G32" s="23">
        <f>D32*F32</f>
        <v>1158.8273843025001</v>
      </c>
      <c r="H32" s="17"/>
      <c r="I32" s="24"/>
      <c r="J32" s="25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</row>
    <row r="33" spans="1:21" ht="187.2" x14ac:dyDescent="0.3">
      <c r="A33" s="26"/>
      <c r="B33" s="42" t="s">
        <v>47</v>
      </c>
      <c r="C33" s="21"/>
      <c r="D33" s="32"/>
      <c r="E33" s="22"/>
      <c r="F33" s="22"/>
      <c r="G33" s="23"/>
      <c r="H33" s="171" t="s">
        <v>351</v>
      </c>
      <c r="I33" s="172"/>
      <c r="J33" s="172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</row>
    <row r="34" spans="1:21" ht="18" x14ac:dyDescent="0.3">
      <c r="A34" s="26"/>
      <c r="B34" s="37"/>
      <c r="C34" s="21"/>
      <c r="D34" s="32"/>
      <c r="E34" s="22"/>
      <c r="F34" s="22"/>
      <c r="G34" s="23"/>
      <c r="H34" s="17"/>
      <c r="I34" s="24"/>
      <c r="J34" s="18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</row>
    <row r="35" spans="1:21" ht="18" x14ac:dyDescent="0.3">
      <c r="A35" s="26" t="s">
        <v>48</v>
      </c>
      <c r="B35" s="29" t="s">
        <v>49</v>
      </c>
      <c r="C35" s="21" t="s">
        <v>22</v>
      </c>
      <c r="D35" s="32">
        <f>7*0.8*2.1</f>
        <v>11.760000000000002</v>
      </c>
      <c r="E35" s="22">
        <v>9.2100000000000009</v>
      </c>
      <c r="F35" s="22">
        <f>E35*(1+C$289)</f>
        <v>11.460003</v>
      </c>
      <c r="G35" s="23">
        <f>D35*F35</f>
        <v>134.76963528000002</v>
      </c>
      <c r="H35" s="17"/>
      <c r="I35" s="24"/>
      <c r="J35" s="25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</row>
    <row r="36" spans="1:21" ht="171.6" x14ac:dyDescent="0.3">
      <c r="A36" s="26"/>
      <c r="B36" s="27" t="s">
        <v>50</v>
      </c>
      <c r="C36" s="21"/>
      <c r="D36" s="32"/>
      <c r="E36" s="43"/>
      <c r="F36" s="43"/>
      <c r="G36" s="23"/>
      <c r="H36" s="171" t="s">
        <v>352</v>
      </c>
      <c r="I36" s="172"/>
      <c r="J36" s="172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</row>
    <row r="37" spans="1:21" ht="18" x14ac:dyDescent="0.3">
      <c r="A37" s="26"/>
      <c r="B37" s="27"/>
      <c r="C37" s="21"/>
      <c r="D37" s="32"/>
      <c r="E37" s="43"/>
      <c r="F37" s="43"/>
      <c r="G37" s="23"/>
      <c r="H37" s="17"/>
      <c r="I37" s="24"/>
      <c r="J37" s="18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</row>
    <row r="38" spans="1:21" ht="31.2" x14ac:dyDescent="0.3">
      <c r="A38" s="26" t="s">
        <v>51</v>
      </c>
      <c r="B38" s="29" t="s">
        <v>52</v>
      </c>
      <c r="C38" s="21" t="s">
        <v>8</v>
      </c>
      <c r="D38" s="32">
        <v>7</v>
      </c>
      <c r="E38" s="43">
        <v>18.46</v>
      </c>
      <c r="F38" s="22">
        <f>E38*(1+C$289)</f>
        <v>22.969778000000002</v>
      </c>
      <c r="G38" s="23">
        <f>D38*F38</f>
        <v>160.78844600000002</v>
      </c>
      <c r="H38" s="17"/>
      <c r="I38" s="24"/>
      <c r="J38" s="25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</row>
    <row r="39" spans="1:21" ht="187.2" x14ac:dyDescent="0.3">
      <c r="A39" s="26"/>
      <c r="B39" s="27" t="s">
        <v>53</v>
      </c>
      <c r="C39" s="21"/>
      <c r="D39" s="32"/>
      <c r="E39" s="43"/>
      <c r="F39" s="43"/>
      <c r="G39" s="23"/>
      <c r="H39" s="171" t="s">
        <v>353</v>
      </c>
      <c r="I39" s="172"/>
      <c r="J39" s="172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</row>
    <row r="40" spans="1:21" ht="18" x14ac:dyDescent="0.3">
      <c r="A40" s="26"/>
      <c r="B40" s="27"/>
      <c r="C40" s="21"/>
      <c r="D40" s="32"/>
      <c r="E40" s="43"/>
      <c r="F40" s="43"/>
      <c r="G40" s="23"/>
      <c r="H40" s="17"/>
      <c r="I40" s="24"/>
      <c r="J40" s="18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</row>
    <row r="41" spans="1:21" ht="18" x14ac:dyDescent="0.3">
      <c r="A41" s="26" t="s">
        <v>54</v>
      </c>
      <c r="B41" s="29" t="s">
        <v>55</v>
      </c>
      <c r="C41" s="21" t="s">
        <v>8</v>
      </c>
      <c r="D41" s="32">
        <v>9</v>
      </c>
      <c r="E41" s="43">
        <v>43.83</v>
      </c>
      <c r="F41" s="22">
        <f>E41*(1+C$289)</f>
        <v>54.537668999999994</v>
      </c>
      <c r="G41" s="23">
        <f>D41*F41</f>
        <v>490.83902099999995</v>
      </c>
      <c r="H41" s="17"/>
      <c r="I41" s="24"/>
      <c r="J41" s="25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</row>
    <row r="42" spans="1:21" ht="202.8" x14ac:dyDescent="0.3">
      <c r="A42" s="26"/>
      <c r="B42" s="42" t="s">
        <v>56</v>
      </c>
      <c r="C42" s="21"/>
      <c r="D42" s="32"/>
      <c r="E42" s="43"/>
      <c r="F42" s="43"/>
      <c r="G42" s="23"/>
      <c r="H42" s="171" t="s">
        <v>402</v>
      </c>
      <c r="I42" s="172"/>
      <c r="J42" s="172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</row>
    <row r="43" spans="1:21" ht="18" x14ac:dyDescent="0.3">
      <c r="A43" s="44"/>
      <c r="B43" s="38"/>
      <c r="C43" s="39"/>
      <c r="D43" s="32"/>
      <c r="E43" s="22"/>
      <c r="F43" s="45"/>
      <c r="G43" s="46"/>
      <c r="H43" s="17"/>
      <c r="I43" s="24"/>
      <c r="J43" s="18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</row>
    <row r="44" spans="1:21" ht="18" x14ac:dyDescent="0.3">
      <c r="A44" s="26" t="s">
        <v>57</v>
      </c>
      <c r="B44" s="31" t="s">
        <v>58</v>
      </c>
      <c r="C44" s="21"/>
      <c r="D44" s="32"/>
      <c r="E44" s="22"/>
      <c r="F44" s="22"/>
      <c r="G44" s="23"/>
      <c r="H44" s="17"/>
      <c r="I44" s="24"/>
      <c r="J44" s="18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 ht="187.2" x14ac:dyDescent="0.3">
      <c r="A45" s="44"/>
      <c r="B45" s="38" t="s">
        <v>59</v>
      </c>
      <c r="C45" s="39"/>
      <c r="D45" s="32"/>
      <c r="E45" s="22"/>
      <c r="F45" s="22"/>
      <c r="G45" s="23"/>
      <c r="H45" s="171" t="s">
        <v>354</v>
      </c>
      <c r="I45" s="172"/>
      <c r="J45" s="172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</row>
    <row r="46" spans="1:21" ht="18" x14ac:dyDescent="0.3">
      <c r="A46" s="26"/>
      <c r="B46" s="38"/>
      <c r="C46" s="21"/>
      <c r="D46" s="32"/>
      <c r="E46" s="22"/>
      <c r="F46" s="22"/>
      <c r="G46" s="23"/>
      <c r="H46" s="17"/>
      <c r="I46" s="24"/>
      <c r="J46" s="18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</row>
    <row r="47" spans="1:21" ht="18" x14ac:dyDescent="0.3">
      <c r="A47" s="26" t="s">
        <v>60</v>
      </c>
      <c r="B47" s="41" t="s">
        <v>61</v>
      </c>
      <c r="C47" s="21" t="s">
        <v>22</v>
      </c>
      <c r="D47" s="32">
        <f>35.67+31.55+11.69+13.1+19.52+12.42+14.21+23.54</f>
        <v>161.69999999999999</v>
      </c>
      <c r="E47" s="22">
        <v>6.39</v>
      </c>
      <c r="F47" s="22">
        <f>E47*(1+C$289)</f>
        <v>7.9510769999999997</v>
      </c>
      <c r="G47" s="23">
        <f>D47*F47</f>
        <v>1285.6891509</v>
      </c>
      <c r="H47" s="17"/>
      <c r="I47" s="24"/>
      <c r="J47" s="25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</row>
    <row r="48" spans="1:21" ht="18" x14ac:dyDescent="0.3">
      <c r="A48" s="26"/>
      <c r="B48" s="47"/>
      <c r="C48" s="186" t="s">
        <v>23</v>
      </c>
      <c r="D48" s="159"/>
      <c r="E48" s="160"/>
      <c r="F48" s="34"/>
      <c r="G48" s="35">
        <f>SUM(G10:G47)</f>
        <v>26350.174304997148</v>
      </c>
      <c r="H48" s="17"/>
      <c r="I48" s="24"/>
      <c r="J48" s="18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</row>
    <row r="49" spans="1:21" ht="18" x14ac:dyDescent="0.3">
      <c r="A49" s="12" t="s">
        <v>63</v>
      </c>
      <c r="B49" s="13" t="s">
        <v>64</v>
      </c>
      <c r="C49" s="14"/>
      <c r="D49" s="15"/>
      <c r="E49" s="15"/>
      <c r="F49" s="22"/>
      <c r="G49" s="23"/>
      <c r="H49" s="17"/>
      <c r="I49" s="24"/>
      <c r="J49" s="18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</row>
    <row r="50" spans="1:21" ht="19.8" x14ac:dyDescent="0.3">
      <c r="A50" s="26" t="s">
        <v>65</v>
      </c>
      <c r="B50" s="29" t="s">
        <v>66</v>
      </c>
      <c r="C50" s="21" t="s">
        <v>67</v>
      </c>
      <c r="D50" s="22">
        <f>1.91+1.84+3.36</f>
        <v>7.1099999999999994</v>
      </c>
      <c r="E50" s="22">
        <v>61.51</v>
      </c>
      <c r="F50" s="22">
        <f>E50*(1+C$289)</f>
        <v>76.536892999999992</v>
      </c>
      <c r="G50" s="23">
        <f>D50*F50</f>
        <v>544.17730922999988</v>
      </c>
      <c r="H50" s="17"/>
      <c r="I50" s="24"/>
      <c r="J50" s="25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</row>
    <row r="51" spans="1:21" ht="78" x14ac:dyDescent="0.3">
      <c r="A51" s="26"/>
      <c r="B51" s="27" t="s">
        <v>68</v>
      </c>
      <c r="C51" s="21"/>
      <c r="D51" s="22"/>
      <c r="E51" s="22"/>
      <c r="F51" s="22"/>
      <c r="G51" s="23"/>
      <c r="H51" s="175" t="s">
        <v>403</v>
      </c>
      <c r="I51" s="172"/>
      <c r="J51" s="172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</row>
    <row r="52" spans="1:21" ht="18" x14ac:dyDescent="0.3">
      <c r="A52" s="52"/>
      <c r="B52" s="53"/>
      <c r="C52" s="186" t="s">
        <v>23</v>
      </c>
      <c r="D52" s="159"/>
      <c r="E52" s="160"/>
      <c r="F52" s="34"/>
      <c r="G52" s="35">
        <f>SUM(G50:G51)</f>
        <v>544.17730922999988</v>
      </c>
      <c r="H52" s="17"/>
      <c r="I52" s="24"/>
      <c r="J52" s="18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</row>
    <row r="53" spans="1:21" ht="18" x14ac:dyDescent="0.3">
      <c r="A53" s="12" t="s">
        <v>70</v>
      </c>
      <c r="B53" s="13" t="s">
        <v>71</v>
      </c>
      <c r="C53" s="14"/>
      <c r="D53" s="36"/>
      <c r="E53" s="22"/>
      <c r="F53" s="22"/>
      <c r="G53" s="23"/>
      <c r="H53" s="17"/>
      <c r="I53" s="24"/>
      <c r="J53" s="18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</row>
    <row r="54" spans="1:21" ht="18" x14ac:dyDescent="0.3">
      <c r="A54" s="20" t="s">
        <v>72</v>
      </c>
      <c r="B54" s="56" t="s">
        <v>73</v>
      </c>
      <c r="C54" s="21"/>
      <c r="D54" s="32"/>
      <c r="E54" s="22"/>
      <c r="F54" s="22"/>
      <c r="G54" s="23"/>
      <c r="H54" s="17"/>
      <c r="I54" s="24"/>
      <c r="J54" s="18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</row>
    <row r="55" spans="1:21" ht="18" x14ac:dyDescent="0.3">
      <c r="A55" s="26"/>
      <c r="B55" s="27"/>
      <c r="C55" s="21"/>
      <c r="D55" s="32"/>
      <c r="E55" s="22"/>
      <c r="F55" s="22"/>
      <c r="G55" s="23"/>
      <c r="H55" s="17"/>
      <c r="I55" s="24"/>
      <c r="J55" s="18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</row>
    <row r="56" spans="1:21" ht="31.2" x14ac:dyDescent="0.3">
      <c r="A56" s="26" t="s">
        <v>74</v>
      </c>
      <c r="B56" s="29" t="s">
        <v>75</v>
      </c>
      <c r="C56" s="21" t="s">
        <v>76</v>
      </c>
      <c r="D56" s="32">
        <f>8.05*4.89*1.08+11.62*18.6*1.08+11.62*3*1.05</f>
        <v>312.53922000000006</v>
      </c>
      <c r="E56" s="22">
        <v>134.96</v>
      </c>
      <c r="F56" s="22">
        <f>E56*(1+C$289)</f>
        <v>167.93072800000002</v>
      </c>
      <c r="G56" s="23">
        <f>D56*F56</f>
        <v>52484.938743152175</v>
      </c>
      <c r="H56" s="17"/>
      <c r="I56" s="24"/>
      <c r="J56" s="25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</row>
    <row r="57" spans="1:21" ht="124.8" x14ac:dyDescent="0.3">
      <c r="A57" s="26"/>
      <c r="B57" s="27" t="s">
        <v>77</v>
      </c>
      <c r="C57" s="21"/>
      <c r="D57" s="32"/>
      <c r="E57" s="22"/>
      <c r="F57" s="22"/>
      <c r="G57" s="23"/>
      <c r="H57" s="175" t="s">
        <v>358</v>
      </c>
      <c r="I57" s="172"/>
      <c r="J57" s="172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</row>
    <row r="58" spans="1:21" ht="18" x14ac:dyDescent="0.3">
      <c r="A58" s="26"/>
      <c r="B58" s="27"/>
      <c r="C58" s="21"/>
      <c r="D58" s="32"/>
      <c r="E58" s="22"/>
      <c r="F58" s="22"/>
      <c r="G58" s="23"/>
      <c r="H58" s="17"/>
      <c r="I58" s="24"/>
      <c r="J58" s="18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</row>
    <row r="59" spans="1:21" ht="18" x14ac:dyDescent="0.3">
      <c r="A59" s="26" t="s">
        <v>78</v>
      </c>
      <c r="B59" s="57" t="s">
        <v>79</v>
      </c>
      <c r="C59" s="21"/>
      <c r="D59" s="32"/>
      <c r="E59" s="22"/>
      <c r="F59" s="22"/>
      <c r="G59" s="23"/>
      <c r="H59" s="17"/>
      <c r="I59" s="24"/>
      <c r="J59" s="18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</row>
    <row r="60" spans="1:21" ht="18" x14ac:dyDescent="0.3">
      <c r="A60" s="26" t="s">
        <v>80</v>
      </c>
      <c r="B60" s="29" t="s">
        <v>81</v>
      </c>
      <c r="C60" s="21" t="s">
        <v>18</v>
      </c>
      <c r="D60" s="32">
        <f>8.21*4+6.98+8.05</f>
        <v>47.870000000000005</v>
      </c>
      <c r="E60" s="22">
        <v>35.47</v>
      </c>
      <c r="F60" s="22">
        <f>E60*(1+C$289)</f>
        <v>44.135320999999998</v>
      </c>
      <c r="G60" s="23">
        <f>D60*F60</f>
        <v>2112.7578162700001</v>
      </c>
      <c r="H60" s="17"/>
      <c r="I60" s="24"/>
      <c r="J60" s="25"/>
      <c r="K60" s="202"/>
      <c r="L60" s="203"/>
      <c r="M60" s="203"/>
      <c r="N60" s="203"/>
      <c r="O60" s="203"/>
      <c r="P60" s="203"/>
      <c r="Q60" s="203"/>
      <c r="R60" s="204"/>
      <c r="S60" s="19"/>
      <c r="T60" s="19"/>
      <c r="U60" s="19"/>
    </row>
    <row r="61" spans="1:21" ht="62.4" x14ac:dyDescent="0.3">
      <c r="A61" s="26"/>
      <c r="B61" s="27" t="s">
        <v>82</v>
      </c>
      <c r="C61" s="21"/>
      <c r="D61" s="32"/>
      <c r="E61" s="22"/>
      <c r="F61" s="22"/>
      <c r="G61" s="23"/>
      <c r="H61" s="175" t="s">
        <v>359</v>
      </c>
      <c r="I61" s="172"/>
      <c r="J61" s="188"/>
      <c r="K61" s="205"/>
      <c r="L61" s="206"/>
      <c r="M61" s="206"/>
      <c r="N61" s="206"/>
      <c r="O61" s="206"/>
      <c r="P61" s="206"/>
      <c r="Q61" s="206"/>
      <c r="R61" s="207"/>
      <c r="S61" s="19"/>
      <c r="T61" s="19"/>
      <c r="U61" s="19"/>
    </row>
    <row r="62" spans="1:21" ht="18" x14ac:dyDescent="0.3">
      <c r="A62" s="26"/>
      <c r="B62" s="27"/>
      <c r="C62" s="21"/>
      <c r="D62" s="32"/>
      <c r="E62" s="22"/>
      <c r="F62" s="22"/>
      <c r="G62" s="23"/>
      <c r="H62" s="17"/>
      <c r="I62" s="24"/>
      <c r="J62" s="18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</row>
    <row r="63" spans="1:21" ht="18" x14ac:dyDescent="0.3">
      <c r="A63" s="26" t="s">
        <v>83</v>
      </c>
      <c r="B63" s="31" t="s">
        <v>84</v>
      </c>
      <c r="C63" s="21"/>
      <c r="D63" s="32"/>
      <c r="E63" s="22"/>
      <c r="F63" s="22"/>
      <c r="G63" s="23"/>
      <c r="H63" s="17"/>
      <c r="I63" s="24"/>
      <c r="J63" s="18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</row>
    <row r="64" spans="1:21" ht="78" x14ac:dyDescent="0.3">
      <c r="A64" s="26"/>
      <c r="B64" s="27" t="s">
        <v>85</v>
      </c>
      <c r="C64" s="21"/>
      <c r="D64" s="32"/>
      <c r="E64" s="22"/>
      <c r="F64" s="22"/>
      <c r="G64" s="23"/>
      <c r="H64" s="17"/>
      <c r="I64" s="24"/>
      <c r="J64" s="18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</row>
    <row r="65" spans="1:21" ht="18" x14ac:dyDescent="0.3">
      <c r="A65" s="26"/>
      <c r="B65" s="29"/>
      <c r="C65" s="21"/>
      <c r="D65" s="32"/>
      <c r="E65" s="22"/>
      <c r="F65" s="22"/>
      <c r="G65" s="23"/>
      <c r="H65" s="17"/>
      <c r="I65" s="24"/>
      <c r="J65" s="18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</row>
    <row r="66" spans="1:21" ht="41.4" customHeight="1" x14ac:dyDescent="0.3">
      <c r="A66" s="26" t="s">
        <v>86</v>
      </c>
      <c r="B66" s="29" t="s">
        <v>87</v>
      </c>
      <c r="C66" s="21" t="s">
        <v>18</v>
      </c>
      <c r="D66" s="32">
        <f>8.05+11.62</f>
        <v>19.670000000000002</v>
      </c>
      <c r="E66" s="22">
        <v>81.239999999999995</v>
      </c>
      <c r="F66" s="22">
        <f>E66*(1+C$289)</f>
        <v>101.08693199999999</v>
      </c>
      <c r="G66" s="23">
        <f>D66*F66</f>
        <v>1988.3799524399999</v>
      </c>
      <c r="H66" s="171" t="s">
        <v>404</v>
      </c>
      <c r="I66" s="172"/>
      <c r="J66" s="172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</row>
    <row r="67" spans="1:21" ht="18" x14ac:dyDescent="0.3">
      <c r="A67" s="26" t="s">
        <v>88</v>
      </c>
      <c r="B67" s="31" t="s">
        <v>89</v>
      </c>
      <c r="C67" s="21"/>
      <c r="D67" s="32"/>
      <c r="E67" s="22"/>
      <c r="F67" s="22"/>
      <c r="G67" s="23"/>
      <c r="H67" s="17"/>
      <c r="I67" s="24"/>
      <c r="J67" s="18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</row>
    <row r="68" spans="1:21" ht="109.2" x14ac:dyDescent="0.3">
      <c r="A68" s="26"/>
      <c r="B68" s="27" t="s">
        <v>90</v>
      </c>
      <c r="C68" s="21"/>
      <c r="D68" s="32"/>
      <c r="E68" s="22"/>
      <c r="F68" s="22"/>
      <c r="G68" s="23"/>
      <c r="H68" s="17"/>
      <c r="I68" s="24"/>
      <c r="J68" s="18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</row>
    <row r="69" spans="1:21" ht="18" x14ac:dyDescent="0.3">
      <c r="A69" s="26"/>
      <c r="B69" s="27"/>
      <c r="C69" s="21"/>
      <c r="D69" s="32"/>
      <c r="E69" s="22"/>
      <c r="F69" s="22"/>
      <c r="G69" s="23"/>
      <c r="H69" s="17"/>
      <c r="I69" s="24"/>
      <c r="J69" s="18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</row>
    <row r="70" spans="1:21" ht="31.2" x14ac:dyDescent="0.3">
      <c r="A70" s="26" t="s">
        <v>91</v>
      </c>
      <c r="B70" s="29" t="s">
        <v>92</v>
      </c>
      <c r="C70" s="21" t="s">
        <v>18</v>
      </c>
      <c r="D70" s="32">
        <v>9</v>
      </c>
      <c r="E70" s="22">
        <v>84.45</v>
      </c>
      <c r="F70" s="22">
        <f>E70*(1+C$289)</f>
        <v>105.081135</v>
      </c>
      <c r="G70" s="23">
        <f>D70*F70</f>
        <v>945.73021500000004</v>
      </c>
      <c r="H70" s="171" t="s">
        <v>405</v>
      </c>
      <c r="I70" s="172"/>
      <c r="J70" s="172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</row>
    <row r="71" spans="1:21" ht="18" x14ac:dyDescent="0.3">
      <c r="A71" s="26"/>
      <c r="B71" s="27"/>
      <c r="C71" s="21"/>
      <c r="D71" s="32"/>
      <c r="E71" s="22"/>
      <c r="F71" s="22"/>
      <c r="G71" s="23"/>
      <c r="H71" s="17"/>
      <c r="I71" s="24"/>
      <c r="J71" s="28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</row>
    <row r="72" spans="1:21" ht="18" x14ac:dyDescent="0.3">
      <c r="A72" s="26" t="s">
        <v>93</v>
      </c>
      <c r="B72" s="29" t="s">
        <v>94</v>
      </c>
      <c r="C72" s="21"/>
      <c r="D72" s="32"/>
      <c r="E72" s="22"/>
      <c r="F72" s="22"/>
      <c r="G72" s="23"/>
      <c r="H72" s="17"/>
      <c r="I72" s="24"/>
      <c r="J72" s="18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</row>
    <row r="73" spans="1:21" ht="312" x14ac:dyDescent="0.3">
      <c r="A73" s="26"/>
      <c r="B73" s="27" t="s">
        <v>95</v>
      </c>
      <c r="C73" s="21"/>
      <c r="D73" s="32"/>
      <c r="E73" s="22"/>
      <c r="F73" s="22"/>
      <c r="G73" s="23"/>
      <c r="H73" s="17"/>
      <c r="I73" s="24"/>
      <c r="J73" s="18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</row>
    <row r="74" spans="1:21" ht="18" x14ac:dyDescent="0.3">
      <c r="A74" s="26"/>
      <c r="B74" s="29"/>
      <c r="C74" s="21"/>
      <c r="D74" s="32"/>
      <c r="E74" s="22"/>
      <c r="F74" s="22"/>
      <c r="G74" s="23"/>
      <c r="H74" s="17"/>
      <c r="I74" s="24"/>
      <c r="J74" s="18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</row>
    <row r="75" spans="1:21" ht="31.2" x14ac:dyDescent="0.3">
      <c r="A75" s="26" t="s">
        <v>96</v>
      </c>
      <c r="B75" s="29" t="s">
        <v>97</v>
      </c>
      <c r="C75" s="21" t="s">
        <v>98</v>
      </c>
      <c r="D75" s="32">
        <v>312.54000000000002</v>
      </c>
      <c r="E75" s="22">
        <v>367.72</v>
      </c>
      <c r="F75" s="22">
        <f>E75*(1+C$289)</f>
        <v>457.55399600000004</v>
      </c>
      <c r="G75" s="23">
        <f>D75*F75</f>
        <v>143003.92590984004</v>
      </c>
      <c r="H75" s="175" t="s">
        <v>360</v>
      </c>
      <c r="I75" s="187"/>
      <c r="J75" s="187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</row>
    <row r="76" spans="1:21" ht="15.6" x14ac:dyDescent="0.3">
      <c r="A76" s="26"/>
      <c r="B76" s="27"/>
      <c r="C76" s="58"/>
      <c r="D76" s="58"/>
      <c r="E76" s="59"/>
      <c r="F76" s="59"/>
      <c r="G76" s="58"/>
      <c r="H76" s="60"/>
      <c r="I76" s="24"/>
      <c r="J76" s="18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</row>
    <row r="77" spans="1:21" ht="18" x14ac:dyDescent="0.3">
      <c r="A77" s="26" t="s">
        <v>99</v>
      </c>
      <c r="B77" s="31" t="s">
        <v>100</v>
      </c>
      <c r="C77" s="21"/>
      <c r="D77" s="32"/>
      <c r="E77" s="22"/>
      <c r="F77" s="22"/>
      <c r="G77" s="23"/>
      <c r="H77" s="17"/>
      <c r="I77" s="24"/>
      <c r="J77" s="18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</row>
    <row r="78" spans="1:21" ht="31.2" x14ac:dyDescent="0.3">
      <c r="A78" s="26" t="s">
        <v>101</v>
      </c>
      <c r="B78" s="29" t="s">
        <v>102</v>
      </c>
      <c r="C78" s="21" t="s">
        <v>103</v>
      </c>
      <c r="D78" s="32">
        <f>35.67+31.55+8.44+13.1+19.52+23.54+14.21+3.66+1.91+1.84+22.47+3.36</f>
        <v>179.27</v>
      </c>
      <c r="E78" s="22">
        <v>73.61</v>
      </c>
      <c r="F78" s="22">
        <f>E78*(1+C$289)</f>
        <v>91.592922999999999</v>
      </c>
      <c r="G78" s="23">
        <f>D78*F78</f>
        <v>16419.863306210002</v>
      </c>
      <c r="H78" s="17"/>
      <c r="I78" s="24"/>
      <c r="J78" s="25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</row>
    <row r="79" spans="1:21" ht="171.6" x14ac:dyDescent="0.3">
      <c r="A79" s="26"/>
      <c r="B79" s="27" t="s">
        <v>104</v>
      </c>
      <c r="C79" s="21"/>
      <c r="D79" s="32"/>
      <c r="E79" s="22"/>
      <c r="F79" s="22"/>
      <c r="G79" s="23"/>
      <c r="H79" s="175" t="s">
        <v>420</v>
      </c>
      <c r="I79" s="187"/>
      <c r="J79" s="187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</row>
    <row r="80" spans="1:21" ht="18" x14ac:dyDescent="0.3">
      <c r="A80" s="52"/>
      <c r="B80" s="54"/>
      <c r="C80" s="186" t="s">
        <v>23</v>
      </c>
      <c r="D80" s="159"/>
      <c r="E80" s="160"/>
      <c r="F80" s="34"/>
      <c r="G80" s="35">
        <f>SUM(G55:G79)</f>
        <v>216955.59594291222</v>
      </c>
      <c r="H80" s="17"/>
      <c r="I80" s="24"/>
      <c r="J80" s="18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</row>
    <row r="81" spans="1:21" ht="18" x14ac:dyDescent="0.3">
      <c r="A81" s="12" t="s">
        <v>106</v>
      </c>
      <c r="B81" s="13" t="s">
        <v>107</v>
      </c>
      <c r="C81" s="14"/>
      <c r="D81" s="32"/>
      <c r="E81" s="22"/>
      <c r="F81" s="22"/>
      <c r="G81" s="23"/>
      <c r="H81" s="17"/>
      <c r="I81" s="24"/>
      <c r="J81" s="18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</row>
    <row r="82" spans="1:21" ht="18" x14ac:dyDescent="0.3">
      <c r="A82" s="20" t="s">
        <v>108</v>
      </c>
      <c r="B82" s="56" t="s">
        <v>109</v>
      </c>
      <c r="C82" s="21"/>
      <c r="D82" s="32"/>
      <c r="E82" s="22"/>
      <c r="F82" s="22"/>
      <c r="G82" s="23"/>
      <c r="H82" s="17"/>
      <c r="I82" s="24"/>
      <c r="J82" s="18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</row>
    <row r="83" spans="1:21" ht="31.2" x14ac:dyDescent="0.3">
      <c r="A83" s="26" t="s">
        <v>110</v>
      </c>
      <c r="B83" s="29" t="s">
        <v>111</v>
      </c>
      <c r="C83" s="21" t="s">
        <v>8</v>
      </c>
      <c r="D83" s="32">
        <v>1</v>
      </c>
      <c r="E83" s="22">
        <v>66.209999999999994</v>
      </c>
      <c r="F83" s="22">
        <f>E83*(1+C$289)</f>
        <v>82.385102999999987</v>
      </c>
      <c r="G83" s="23">
        <f>D83*F83</f>
        <v>82.385102999999987</v>
      </c>
      <c r="I83" s="24"/>
      <c r="J83" s="25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</row>
    <row r="84" spans="1:21" ht="78" x14ac:dyDescent="0.3">
      <c r="A84" s="26"/>
      <c r="B84" s="27" t="s">
        <v>112</v>
      </c>
      <c r="C84" s="21"/>
      <c r="D84" s="32"/>
      <c r="E84" s="22"/>
      <c r="F84" s="22"/>
      <c r="G84" s="23"/>
      <c r="H84" s="175" t="s">
        <v>361</v>
      </c>
      <c r="I84" s="187"/>
      <c r="J84" s="187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</row>
    <row r="85" spans="1:21" ht="18" x14ac:dyDescent="0.3">
      <c r="A85" s="26"/>
      <c r="B85" s="27"/>
      <c r="C85" s="21"/>
      <c r="D85" s="32"/>
      <c r="E85" s="22"/>
      <c r="F85" s="22"/>
      <c r="G85" s="23"/>
      <c r="H85" s="17"/>
      <c r="I85" s="24"/>
      <c r="J85" s="18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</row>
    <row r="86" spans="1:21" ht="31.2" x14ac:dyDescent="0.3">
      <c r="A86" s="26" t="s">
        <v>113</v>
      </c>
      <c r="B86" s="29" t="s">
        <v>114</v>
      </c>
      <c r="C86" s="21" t="s">
        <v>8</v>
      </c>
      <c r="D86" s="32">
        <v>2</v>
      </c>
      <c r="E86" s="22">
        <v>162.36000000000001</v>
      </c>
      <c r="F86" s="22">
        <f>E86*(1+C$289)</f>
        <v>202.02454800000001</v>
      </c>
      <c r="G86" s="23">
        <f>D86*F86</f>
        <v>404.04909600000002</v>
      </c>
      <c r="H86" s="17"/>
      <c r="I86" s="24"/>
      <c r="J86" s="25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</row>
    <row r="87" spans="1:21" ht="93.6" x14ac:dyDescent="0.3">
      <c r="A87" s="26"/>
      <c r="B87" s="27" t="s">
        <v>115</v>
      </c>
      <c r="C87" s="21"/>
      <c r="D87" s="32"/>
      <c r="E87" s="22"/>
      <c r="F87" s="22"/>
      <c r="G87" s="23"/>
      <c r="H87" s="175" t="s">
        <v>406</v>
      </c>
      <c r="I87" s="187"/>
      <c r="J87" s="187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</row>
    <row r="88" spans="1:21" ht="18" x14ac:dyDescent="0.3">
      <c r="A88" s="26"/>
      <c r="B88" s="27"/>
      <c r="C88" s="21"/>
      <c r="D88" s="32"/>
      <c r="E88" s="22"/>
      <c r="F88" s="22"/>
      <c r="G88" s="23"/>
      <c r="H88" s="17"/>
      <c r="I88" s="24"/>
      <c r="J88" s="18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</row>
    <row r="89" spans="1:21" ht="18" x14ac:dyDescent="0.3">
      <c r="A89" s="26" t="s">
        <v>116</v>
      </c>
      <c r="B89" s="31" t="s">
        <v>109</v>
      </c>
      <c r="C89" s="21"/>
      <c r="D89" s="32"/>
      <c r="E89" s="22"/>
      <c r="F89" s="22"/>
      <c r="G89" s="23"/>
      <c r="H89" s="17"/>
      <c r="I89" s="24"/>
      <c r="J89" s="18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</row>
    <row r="90" spans="1:21" ht="31.2" x14ac:dyDescent="0.3">
      <c r="A90" s="26" t="s">
        <v>118</v>
      </c>
      <c r="B90" s="29" t="s">
        <v>119</v>
      </c>
      <c r="C90" s="21" t="s">
        <v>8</v>
      </c>
      <c r="D90" s="32">
        <v>3</v>
      </c>
      <c r="E90" s="22">
        <v>36.82</v>
      </c>
      <c r="F90" s="22">
        <f>E90*(1+C$289)</f>
        <v>45.815125999999999</v>
      </c>
      <c r="G90" s="23">
        <f>D90*F90</f>
        <v>137.44537800000001</v>
      </c>
      <c r="H90" s="17"/>
      <c r="I90" s="24"/>
      <c r="J90" s="25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</row>
    <row r="91" spans="1:21" ht="62.4" x14ac:dyDescent="0.3">
      <c r="A91" s="26"/>
      <c r="B91" s="27" t="s">
        <v>117</v>
      </c>
      <c r="C91" s="21"/>
      <c r="D91" s="32"/>
      <c r="E91" s="22"/>
      <c r="F91" s="22"/>
      <c r="G91" s="23"/>
      <c r="H91" s="175" t="s">
        <v>333</v>
      </c>
      <c r="I91" s="187"/>
      <c r="J91" s="187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</row>
    <row r="92" spans="1:21" ht="18" x14ac:dyDescent="0.3">
      <c r="A92" s="26"/>
      <c r="B92" s="29"/>
      <c r="C92" s="21"/>
      <c r="D92" s="32"/>
      <c r="E92" s="22"/>
      <c r="F92" s="22"/>
      <c r="G92" s="23"/>
      <c r="H92" s="17"/>
      <c r="I92" s="24"/>
      <c r="J92" s="18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</row>
    <row r="93" spans="1:21" ht="18" x14ac:dyDescent="0.3">
      <c r="A93" s="26" t="s">
        <v>120</v>
      </c>
      <c r="B93" s="29" t="s">
        <v>121</v>
      </c>
      <c r="C93" s="21" t="s">
        <v>8</v>
      </c>
      <c r="D93" s="32">
        <v>3</v>
      </c>
      <c r="E93" s="22">
        <v>582.79999999999995</v>
      </c>
      <c r="F93" s="22">
        <f>E93*(1+C$289)</f>
        <v>725.1780399999999</v>
      </c>
      <c r="G93" s="23">
        <f>D93*F93</f>
        <v>2175.5341199999998</v>
      </c>
      <c r="H93" s="17"/>
      <c r="I93" s="24"/>
      <c r="J93" s="25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</row>
    <row r="94" spans="1:21" ht="140.4" x14ac:dyDescent="0.3">
      <c r="A94" s="26"/>
      <c r="B94" s="27" t="s">
        <v>122</v>
      </c>
      <c r="C94" s="21"/>
      <c r="D94" s="32"/>
      <c r="E94" s="22"/>
      <c r="F94" s="22"/>
      <c r="G94" s="23"/>
      <c r="H94" s="175" t="s">
        <v>333</v>
      </c>
      <c r="I94" s="187"/>
      <c r="J94" s="187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</row>
    <row r="95" spans="1:21" ht="18" x14ac:dyDescent="0.3">
      <c r="A95" s="26"/>
      <c r="B95" s="27"/>
      <c r="C95" s="21"/>
      <c r="D95" s="32"/>
      <c r="E95" s="22"/>
      <c r="F95" s="22"/>
      <c r="G95" s="23"/>
      <c r="H95" s="17"/>
      <c r="I95" s="24"/>
      <c r="J95" s="18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</row>
    <row r="96" spans="1:21" ht="18" x14ac:dyDescent="0.3">
      <c r="A96" s="26" t="s">
        <v>123</v>
      </c>
      <c r="B96" s="29" t="s">
        <v>124</v>
      </c>
      <c r="C96" s="21" t="s">
        <v>8</v>
      </c>
      <c r="D96" s="32">
        <v>2</v>
      </c>
      <c r="E96" s="22">
        <v>546.19000000000005</v>
      </c>
      <c r="F96" s="22">
        <f>E96*(1+C$289)</f>
        <v>679.62421700000004</v>
      </c>
      <c r="G96" s="23">
        <f>D96*F96</f>
        <v>1359.2484340000001</v>
      </c>
      <c r="H96" s="17"/>
      <c r="I96" s="24"/>
      <c r="J96" s="25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</row>
    <row r="97" spans="1:21" ht="140.4" x14ac:dyDescent="0.3">
      <c r="A97" s="26"/>
      <c r="B97" s="27" t="s">
        <v>125</v>
      </c>
      <c r="C97" s="21"/>
      <c r="D97" s="32"/>
      <c r="E97" s="22"/>
      <c r="F97" s="22"/>
      <c r="G97" s="23"/>
      <c r="H97" s="175" t="s">
        <v>362</v>
      </c>
      <c r="I97" s="187"/>
      <c r="J97" s="187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</row>
    <row r="98" spans="1:21" ht="18" x14ac:dyDescent="0.3">
      <c r="A98" s="26"/>
      <c r="B98" s="27"/>
      <c r="C98" s="21"/>
      <c r="D98" s="32"/>
      <c r="E98" s="22"/>
      <c r="F98" s="22"/>
      <c r="G98" s="23"/>
      <c r="H98" s="17"/>
      <c r="I98" s="24"/>
      <c r="J98" s="18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</row>
    <row r="99" spans="1:21" ht="62.4" x14ac:dyDescent="0.3">
      <c r="A99" s="26" t="s">
        <v>126</v>
      </c>
      <c r="B99" s="29" t="s">
        <v>127</v>
      </c>
      <c r="C99" s="21" t="s">
        <v>8</v>
      </c>
      <c r="D99" s="32">
        <v>1</v>
      </c>
      <c r="E99" s="22">
        <v>785.98</v>
      </c>
      <c r="F99" s="22">
        <f>E99*(1+C$289)</f>
        <v>977.99491399999999</v>
      </c>
      <c r="G99" s="23">
        <f>D99*F99</f>
        <v>977.99491399999999</v>
      </c>
      <c r="H99" s="17"/>
      <c r="I99" s="24"/>
      <c r="J99" s="18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</row>
    <row r="100" spans="1:21" ht="140.4" x14ac:dyDescent="0.3">
      <c r="A100" s="26"/>
      <c r="B100" s="27" t="s">
        <v>128</v>
      </c>
      <c r="C100" s="21"/>
      <c r="D100" s="32"/>
      <c r="E100" s="22"/>
      <c r="F100" s="22"/>
      <c r="G100" s="23"/>
      <c r="H100" s="175" t="s">
        <v>363</v>
      </c>
      <c r="I100" s="187"/>
      <c r="J100" s="187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</row>
    <row r="101" spans="1:21" ht="18" x14ac:dyDescent="0.3">
      <c r="A101" s="26"/>
      <c r="B101" s="27"/>
      <c r="C101" s="21"/>
      <c r="D101" s="32"/>
      <c r="E101" s="22"/>
      <c r="F101" s="22"/>
      <c r="G101" s="23"/>
      <c r="H101" s="17"/>
      <c r="I101" s="24"/>
      <c r="J101" s="18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</row>
    <row r="102" spans="1:21" ht="31.2" x14ac:dyDescent="0.3">
      <c r="A102" s="26" t="s">
        <v>129</v>
      </c>
      <c r="B102" s="31" t="s">
        <v>130</v>
      </c>
      <c r="C102" s="21"/>
      <c r="D102" s="32"/>
      <c r="E102" s="22"/>
      <c r="F102" s="22"/>
      <c r="G102" s="23"/>
      <c r="H102" s="17"/>
      <c r="I102" s="24"/>
      <c r="J102" s="18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spans="1:21" ht="62.4" x14ac:dyDescent="0.3">
      <c r="A103" s="26"/>
      <c r="B103" s="27" t="s">
        <v>131</v>
      </c>
      <c r="C103" s="21"/>
      <c r="D103" s="32"/>
      <c r="E103" s="22"/>
      <c r="F103" s="22"/>
      <c r="G103" s="23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</row>
    <row r="104" spans="1:21" ht="18" x14ac:dyDescent="0.3">
      <c r="A104" s="26"/>
      <c r="B104" s="27"/>
      <c r="C104" s="21"/>
      <c r="D104" s="32"/>
      <c r="E104" s="22"/>
      <c r="F104" s="22"/>
      <c r="G104" s="23"/>
      <c r="H104" s="17"/>
      <c r="I104" s="24"/>
      <c r="J104" s="18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</row>
    <row r="105" spans="1:21" ht="31.2" customHeight="1" x14ac:dyDescent="0.3">
      <c r="A105" s="26" t="s">
        <v>132</v>
      </c>
      <c r="B105" s="29" t="s">
        <v>133</v>
      </c>
      <c r="C105" s="21" t="s">
        <v>8</v>
      </c>
      <c r="D105" s="32">
        <v>2</v>
      </c>
      <c r="E105" s="22">
        <v>89.57</v>
      </c>
      <c r="F105" s="22">
        <f>E105*(1+C$289)</f>
        <v>111.45195099999999</v>
      </c>
      <c r="G105" s="23">
        <f>D105*F105</f>
        <v>222.90390199999999</v>
      </c>
      <c r="H105" s="175" t="s">
        <v>364</v>
      </c>
      <c r="I105" s="187"/>
      <c r="J105" s="187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</row>
    <row r="106" spans="1:21" ht="18" x14ac:dyDescent="0.3">
      <c r="A106" s="26"/>
      <c r="B106" s="27"/>
      <c r="C106" s="21"/>
      <c r="D106" s="32"/>
      <c r="E106" s="22"/>
      <c r="F106" s="22"/>
      <c r="G106" s="23"/>
      <c r="H106" s="17"/>
      <c r="I106" s="24"/>
      <c r="J106" s="18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</row>
    <row r="107" spans="1:21" ht="18" x14ac:dyDescent="0.3">
      <c r="A107" s="26" t="s">
        <v>134</v>
      </c>
      <c r="B107" s="31" t="s">
        <v>135</v>
      </c>
      <c r="C107" s="21"/>
      <c r="D107" s="32"/>
      <c r="E107" s="22"/>
      <c r="F107" s="22"/>
      <c r="G107" s="23"/>
      <c r="H107" s="17"/>
      <c r="I107" s="24"/>
      <c r="J107" s="18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</row>
    <row r="108" spans="1:21" ht="18" x14ac:dyDescent="0.3">
      <c r="A108" s="26"/>
      <c r="B108" s="27"/>
      <c r="C108" s="21"/>
      <c r="D108" s="32"/>
      <c r="E108" s="22"/>
      <c r="F108" s="22"/>
      <c r="G108" s="23"/>
      <c r="H108" s="17"/>
      <c r="I108" s="24"/>
      <c r="J108" s="18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</row>
    <row r="109" spans="1:21" ht="31.2" x14ac:dyDescent="0.3">
      <c r="A109" s="26" t="s">
        <v>136</v>
      </c>
      <c r="B109" s="31" t="s">
        <v>137</v>
      </c>
      <c r="C109" s="21"/>
      <c r="D109" s="32"/>
      <c r="E109" s="22"/>
      <c r="F109" s="22"/>
      <c r="G109" s="23"/>
      <c r="H109" s="17"/>
      <c r="I109" s="24"/>
      <c r="J109" s="18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</row>
    <row r="110" spans="1:21" ht="124.8" x14ac:dyDescent="0.3">
      <c r="A110" s="26"/>
      <c r="B110" s="27" t="s">
        <v>138</v>
      </c>
      <c r="C110" s="21"/>
      <c r="D110" s="32"/>
      <c r="E110" s="22"/>
      <c r="F110" s="22"/>
      <c r="G110" s="23"/>
      <c r="H110" s="17"/>
      <c r="I110" s="24"/>
      <c r="J110" s="18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</row>
    <row r="111" spans="1:21" ht="18" x14ac:dyDescent="0.3">
      <c r="A111" s="26"/>
      <c r="B111" s="31"/>
      <c r="C111" s="21"/>
      <c r="D111" s="32"/>
      <c r="E111" s="22"/>
      <c r="F111" s="22"/>
      <c r="G111" s="23"/>
      <c r="H111" s="17"/>
      <c r="I111" s="24"/>
      <c r="J111" s="18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</row>
    <row r="112" spans="1:21" ht="76.8" customHeight="1" x14ac:dyDescent="0.3">
      <c r="A112" s="26" t="s">
        <v>139</v>
      </c>
      <c r="B112" s="29" t="s">
        <v>140</v>
      </c>
      <c r="C112" s="21" t="s">
        <v>18</v>
      </c>
      <c r="D112" s="32">
        <v>55</v>
      </c>
      <c r="E112" s="22">
        <v>29.21</v>
      </c>
      <c r="F112" s="22">
        <f>E112*(1+C$289)</f>
        <v>36.346003000000003</v>
      </c>
      <c r="G112" s="23">
        <f>D112*F112</f>
        <v>1999.0301650000001</v>
      </c>
      <c r="H112" s="175" t="s">
        <v>407</v>
      </c>
      <c r="I112" s="172"/>
      <c r="J112" s="172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</row>
    <row r="113" spans="1:21" ht="18" x14ac:dyDescent="0.3">
      <c r="A113" s="26"/>
      <c r="B113" s="27"/>
      <c r="C113" s="21"/>
      <c r="D113" s="32"/>
      <c r="E113" s="22"/>
      <c r="F113" s="22"/>
      <c r="G113" s="23"/>
      <c r="H113" s="24"/>
      <c r="I113" s="24"/>
      <c r="J113" s="18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</row>
    <row r="114" spans="1:21" ht="46.8" x14ac:dyDescent="0.3">
      <c r="A114" s="26" t="s">
        <v>141</v>
      </c>
      <c r="B114" s="29" t="s">
        <v>142</v>
      </c>
      <c r="C114" s="21" t="s">
        <v>18</v>
      </c>
      <c r="D114" s="32">
        <v>5</v>
      </c>
      <c r="E114" s="22">
        <v>38.75</v>
      </c>
      <c r="F114" s="22">
        <f>E114*(1+C$289)</f>
        <v>48.216625000000001</v>
      </c>
      <c r="G114" s="23">
        <f>D114*F114</f>
        <v>241.083125</v>
      </c>
      <c r="H114" s="221" t="s">
        <v>336</v>
      </c>
      <c r="I114" s="195"/>
      <c r="J114" s="195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</row>
    <row r="115" spans="1:21" ht="18" x14ac:dyDescent="0.3">
      <c r="A115" s="26"/>
      <c r="B115" s="29"/>
      <c r="C115" s="21"/>
      <c r="D115" s="32"/>
      <c r="E115" s="22"/>
      <c r="F115" s="22"/>
      <c r="G115" s="23"/>
      <c r="H115" s="17"/>
      <c r="I115" s="24"/>
      <c r="J115" s="25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</row>
    <row r="116" spans="1:21" ht="18" x14ac:dyDescent="0.3">
      <c r="A116" s="26" t="s">
        <v>143</v>
      </c>
      <c r="B116" s="31" t="s">
        <v>144</v>
      </c>
      <c r="C116" s="21"/>
      <c r="D116" s="32"/>
      <c r="E116" s="22"/>
      <c r="F116" s="22"/>
      <c r="G116" s="23"/>
      <c r="H116" s="17"/>
      <c r="I116" s="24"/>
      <c r="J116" s="25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</row>
    <row r="117" spans="1:21" ht="18" x14ac:dyDescent="0.3">
      <c r="A117" s="26" t="s">
        <v>145</v>
      </c>
      <c r="B117" s="29" t="s">
        <v>146</v>
      </c>
      <c r="C117" s="21" t="s">
        <v>8</v>
      </c>
      <c r="D117" s="32">
        <v>4</v>
      </c>
      <c r="E117" s="22">
        <v>65.19</v>
      </c>
      <c r="F117" s="22">
        <f>E117*(1+C$289)</f>
        <v>81.115916999999996</v>
      </c>
      <c r="G117" s="23">
        <f>D117*F117</f>
        <v>324.46366799999998</v>
      </c>
      <c r="H117" s="17"/>
      <c r="I117" s="24"/>
      <c r="J117" s="25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</row>
    <row r="118" spans="1:21" ht="93.6" x14ac:dyDescent="0.3">
      <c r="A118" s="26"/>
      <c r="B118" s="27" t="s">
        <v>147</v>
      </c>
      <c r="C118" s="21"/>
      <c r="D118" s="32"/>
      <c r="E118" s="22"/>
      <c r="F118" s="22"/>
      <c r="G118" s="23"/>
      <c r="H118" s="175" t="s">
        <v>334</v>
      </c>
      <c r="I118" s="172"/>
      <c r="J118" s="172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</row>
    <row r="119" spans="1:21" ht="18" x14ac:dyDescent="0.3">
      <c r="A119" s="26"/>
      <c r="B119" s="27"/>
      <c r="C119" s="21"/>
      <c r="D119" s="32"/>
      <c r="E119" s="22"/>
      <c r="F119" s="22"/>
      <c r="G119" s="23"/>
      <c r="H119" s="17"/>
      <c r="I119" s="24"/>
      <c r="J119" s="18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</row>
    <row r="120" spans="1:21" ht="18" x14ac:dyDescent="0.3">
      <c r="A120" s="26" t="s">
        <v>148</v>
      </c>
      <c r="B120" s="29" t="s">
        <v>149</v>
      </c>
      <c r="C120" s="21" t="s">
        <v>8</v>
      </c>
      <c r="D120" s="32">
        <v>7</v>
      </c>
      <c r="E120" s="22">
        <v>73.61</v>
      </c>
      <c r="F120" s="22">
        <f>E120*(1+C$289)</f>
        <v>91.592922999999999</v>
      </c>
      <c r="G120" s="23">
        <f>D120*F120</f>
        <v>641.15046099999995</v>
      </c>
      <c r="H120" s="17"/>
      <c r="I120" s="24"/>
      <c r="J120" s="25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</row>
    <row r="121" spans="1:21" ht="93.6" x14ac:dyDescent="0.3">
      <c r="A121" s="26"/>
      <c r="B121" s="27" t="s">
        <v>150</v>
      </c>
      <c r="C121" s="21"/>
      <c r="D121" s="32"/>
      <c r="E121" s="22"/>
      <c r="F121" s="22"/>
      <c r="G121" s="23"/>
      <c r="H121" s="175" t="s">
        <v>337</v>
      </c>
      <c r="I121" s="172"/>
      <c r="J121" s="172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</row>
    <row r="122" spans="1:21" ht="18" x14ac:dyDescent="0.3">
      <c r="A122" s="26"/>
      <c r="B122" s="27"/>
      <c r="C122" s="21"/>
      <c r="D122" s="32"/>
      <c r="E122" s="22"/>
      <c r="F122" s="22"/>
      <c r="G122" s="23"/>
      <c r="H122" s="17"/>
      <c r="I122" s="24"/>
      <c r="J122" s="18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</row>
    <row r="123" spans="1:21" ht="18" x14ac:dyDescent="0.3">
      <c r="A123" s="26" t="s">
        <v>151</v>
      </c>
      <c r="B123" s="31" t="s">
        <v>152</v>
      </c>
      <c r="C123" s="21"/>
      <c r="D123" s="32"/>
      <c r="E123" s="22"/>
      <c r="F123" s="22"/>
      <c r="G123" s="23"/>
      <c r="H123" s="17"/>
      <c r="I123" s="24"/>
      <c r="J123" s="18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</row>
    <row r="124" spans="1:21" ht="31.2" x14ac:dyDescent="0.3">
      <c r="A124" s="26" t="s">
        <v>153</v>
      </c>
      <c r="B124" s="29" t="s">
        <v>154</v>
      </c>
      <c r="C124" s="21" t="s">
        <v>8</v>
      </c>
      <c r="D124" s="32">
        <v>3</v>
      </c>
      <c r="E124" s="22">
        <v>496.38</v>
      </c>
      <c r="F124" s="22">
        <f>E124*(1+C$289)</f>
        <v>617.64563399999997</v>
      </c>
      <c r="G124" s="23">
        <f>D124*F124</f>
        <v>1852.9369019999999</v>
      </c>
      <c r="H124" s="17"/>
      <c r="I124" s="24"/>
      <c r="J124" s="25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</row>
    <row r="125" spans="1:21" ht="124.8" x14ac:dyDescent="0.3">
      <c r="A125" s="26"/>
      <c r="B125" s="27" t="s">
        <v>155</v>
      </c>
      <c r="C125" s="21"/>
      <c r="D125" s="32"/>
      <c r="E125" s="22"/>
      <c r="F125" s="22"/>
      <c r="G125" s="23"/>
      <c r="H125" s="175" t="s">
        <v>365</v>
      </c>
      <c r="I125" s="172"/>
      <c r="J125" s="172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</row>
    <row r="126" spans="1:21" ht="18" x14ac:dyDescent="0.3">
      <c r="A126" s="52"/>
      <c r="B126" s="48"/>
      <c r="C126" s="186" t="s">
        <v>23</v>
      </c>
      <c r="D126" s="159"/>
      <c r="E126" s="160"/>
      <c r="F126" s="34"/>
      <c r="G126" s="35">
        <f>SUM(G83:G125)</f>
        <v>10418.225268</v>
      </c>
      <c r="H126" s="17"/>
      <c r="I126" s="24"/>
      <c r="J126" s="18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</row>
    <row r="127" spans="1:21" ht="18" x14ac:dyDescent="0.3">
      <c r="A127" s="12" t="s">
        <v>156</v>
      </c>
      <c r="B127" s="13" t="s">
        <v>157</v>
      </c>
      <c r="C127" s="14"/>
      <c r="D127" s="36"/>
      <c r="E127" s="22"/>
      <c r="F127" s="22"/>
      <c r="G127" s="23"/>
      <c r="H127" s="17"/>
      <c r="I127" s="24"/>
      <c r="J127" s="18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</row>
    <row r="128" spans="1:21" ht="31.2" x14ac:dyDescent="0.3">
      <c r="A128" s="26" t="s">
        <v>158</v>
      </c>
      <c r="B128" s="31" t="s">
        <v>159</v>
      </c>
      <c r="C128" s="21"/>
      <c r="D128" s="32"/>
      <c r="E128" s="22"/>
      <c r="F128" s="22"/>
      <c r="G128" s="23"/>
      <c r="H128" s="17"/>
      <c r="I128" s="24"/>
      <c r="J128" s="18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</row>
    <row r="129" spans="1:21" ht="140.4" x14ac:dyDescent="0.3">
      <c r="A129" s="26"/>
      <c r="B129" s="27" t="s">
        <v>160</v>
      </c>
      <c r="C129" s="21"/>
      <c r="D129" s="32"/>
      <c r="E129" s="22"/>
      <c r="F129" s="22"/>
      <c r="G129" s="23"/>
      <c r="H129" s="17"/>
      <c r="I129" s="24"/>
      <c r="J129" s="18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</row>
    <row r="130" spans="1:21" ht="18" x14ac:dyDescent="0.3">
      <c r="A130" s="26"/>
      <c r="B130" s="31"/>
      <c r="C130" s="21"/>
      <c r="D130" s="32"/>
      <c r="E130" s="22"/>
      <c r="F130" s="22"/>
      <c r="G130" s="23"/>
      <c r="H130" s="17"/>
      <c r="I130" s="24"/>
      <c r="J130" s="18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</row>
    <row r="131" spans="1:21" ht="73.8" customHeight="1" x14ac:dyDescent="0.3">
      <c r="A131" s="26" t="s">
        <v>161</v>
      </c>
      <c r="B131" s="29" t="s">
        <v>162</v>
      </c>
      <c r="C131" s="21" t="s">
        <v>18</v>
      </c>
      <c r="D131" s="32">
        <f>6*2+3</f>
        <v>15</v>
      </c>
      <c r="E131" s="22">
        <v>23.04</v>
      </c>
      <c r="F131" s="22">
        <f>E131*(1+C$289)</f>
        <v>28.668671999999997</v>
      </c>
      <c r="G131" s="23">
        <f>D131*F131</f>
        <v>430.03007999999994</v>
      </c>
      <c r="H131" s="171" t="s">
        <v>366</v>
      </c>
      <c r="I131" s="172"/>
      <c r="J131" s="172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</row>
    <row r="132" spans="1:21" ht="18" x14ac:dyDescent="0.3">
      <c r="A132" s="26"/>
      <c r="B132" s="27"/>
      <c r="C132" s="21"/>
      <c r="D132" s="32"/>
      <c r="E132" s="22"/>
      <c r="F132" s="22"/>
      <c r="G132" s="23"/>
      <c r="H132" s="51"/>
      <c r="I132" s="24"/>
      <c r="J132" s="18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</row>
    <row r="133" spans="1:21" ht="69" customHeight="1" x14ac:dyDescent="0.3">
      <c r="A133" s="26" t="s">
        <v>163</v>
      </c>
      <c r="B133" s="29" t="s">
        <v>164</v>
      </c>
      <c r="C133" s="21" t="s">
        <v>18</v>
      </c>
      <c r="D133" s="32">
        <f>4*3+2+3*3</f>
        <v>23</v>
      </c>
      <c r="E133" s="22">
        <v>28.63</v>
      </c>
      <c r="F133" s="22">
        <f>E133*(1+C$289)</f>
        <v>35.624308999999997</v>
      </c>
      <c r="G133" s="23">
        <f>D133*F133</f>
        <v>819.35910699999988</v>
      </c>
      <c r="H133" s="171" t="s">
        <v>367</v>
      </c>
      <c r="I133" s="172"/>
      <c r="J133" s="172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</row>
    <row r="134" spans="1:21" ht="18" x14ac:dyDescent="0.3">
      <c r="A134" s="26"/>
      <c r="B134" s="27"/>
      <c r="C134" s="21"/>
      <c r="D134" s="32"/>
      <c r="E134" s="22"/>
      <c r="F134" s="22"/>
      <c r="G134" s="23"/>
      <c r="H134" s="17"/>
      <c r="I134" s="24"/>
      <c r="J134" s="18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</row>
    <row r="135" spans="1:21" ht="18" x14ac:dyDescent="0.3">
      <c r="A135" s="26" t="s">
        <v>165</v>
      </c>
      <c r="B135" s="29" t="s">
        <v>166</v>
      </c>
      <c r="C135" s="21" t="s">
        <v>18</v>
      </c>
      <c r="D135" s="32">
        <v>15</v>
      </c>
      <c r="E135" s="22">
        <v>40.229999999999997</v>
      </c>
      <c r="F135" s="22">
        <f>E135*(1+C$289)</f>
        <v>50.058188999999992</v>
      </c>
      <c r="G135" s="23">
        <f>D135*F135</f>
        <v>750.8728349999999</v>
      </c>
      <c r="H135" s="175" t="s">
        <v>368</v>
      </c>
      <c r="I135" s="172"/>
      <c r="J135" s="172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</row>
    <row r="136" spans="1:21" ht="18" x14ac:dyDescent="0.3">
      <c r="A136" s="26"/>
      <c r="B136" s="29"/>
      <c r="C136" s="21"/>
      <c r="D136" s="32"/>
      <c r="E136" s="22"/>
      <c r="F136" s="22"/>
      <c r="G136" s="23"/>
      <c r="H136" s="17"/>
      <c r="I136" s="24"/>
      <c r="J136" s="18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</row>
    <row r="137" spans="1:21" ht="18" x14ac:dyDescent="0.3">
      <c r="A137" s="26" t="s">
        <v>167</v>
      </c>
      <c r="B137" s="31" t="s">
        <v>168</v>
      </c>
      <c r="C137" s="21"/>
      <c r="D137" s="32"/>
      <c r="E137" s="22"/>
      <c r="F137" s="22"/>
      <c r="G137" s="23"/>
      <c r="H137" s="17"/>
      <c r="I137" s="24"/>
      <c r="J137" s="18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</row>
    <row r="138" spans="1:21" ht="18" x14ac:dyDescent="0.3">
      <c r="A138" s="26" t="s">
        <v>169</v>
      </c>
      <c r="B138" s="29" t="s">
        <v>170</v>
      </c>
      <c r="C138" s="21" t="s">
        <v>8</v>
      </c>
      <c r="D138" s="32">
        <v>1</v>
      </c>
      <c r="E138" s="22">
        <v>516.91999999999996</v>
      </c>
      <c r="F138" s="22">
        <f>E138*(1+C$289)</f>
        <v>643.20355599999994</v>
      </c>
      <c r="G138" s="23">
        <f>D138*F138</f>
        <v>643.20355599999994</v>
      </c>
      <c r="H138" s="17"/>
      <c r="I138" s="24"/>
      <c r="J138" s="25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</row>
    <row r="139" spans="1:21" ht="109.2" x14ac:dyDescent="0.3">
      <c r="A139" s="26"/>
      <c r="B139" s="27" t="s">
        <v>171</v>
      </c>
      <c r="C139" s="21"/>
      <c r="D139" s="32"/>
      <c r="E139" s="22"/>
      <c r="F139" s="22"/>
      <c r="G139" s="23"/>
      <c r="H139" s="175" t="s">
        <v>369</v>
      </c>
      <c r="I139" s="172"/>
      <c r="J139" s="172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</row>
    <row r="140" spans="1:21" ht="18" x14ac:dyDescent="0.3">
      <c r="A140" s="26"/>
      <c r="B140" s="27"/>
      <c r="C140" s="21"/>
      <c r="D140" s="32"/>
      <c r="E140" s="22"/>
      <c r="F140" s="45"/>
      <c r="G140" s="46"/>
      <c r="H140" s="17"/>
      <c r="I140" s="24"/>
      <c r="J140" s="18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</row>
    <row r="141" spans="1:21" ht="18" x14ac:dyDescent="0.3">
      <c r="A141" s="26" t="s">
        <v>172</v>
      </c>
      <c r="B141" s="31" t="s">
        <v>173</v>
      </c>
      <c r="C141" s="21"/>
      <c r="D141" s="32"/>
      <c r="E141" s="22"/>
      <c r="F141" s="22"/>
      <c r="G141" s="23"/>
      <c r="H141" s="17"/>
      <c r="I141" s="24"/>
      <c r="J141" s="18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</row>
    <row r="142" spans="1:21" ht="18" x14ac:dyDescent="0.3">
      <c r="A142" s="26" t="s">
        <v>174</v>
      </c>
      <c r="B142" s="29" t="s">
        <v>175</v>
      </c>
      <c r="C142" s="21" t="s">
        <v>8</v>
      </c>
      <c r="D142" s="32">
        <v>4</v>
      </c>
      <c r="E142" s="22">
        <v>84.2</v>
      </c>
      <c r="F142" s="22">
        <f>E142*(1+C$289)</f>
        <v>104.77006</v>
      </c>
      <c r="G142" s="23">
        <f>D142*F142</f>
        <v>419.08024</v>
      </c>
      <c r="H142" s="17"/>
      <c r="I142" s="24"/>
      <c r="J142" s="25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</row>
    <row r="143" spans="1:21" ht="78" x14ac:dyDescent="0.3">
      <c r="A143" s="26"/>
      <c r="B143" s="27" t="s">
        <v>176</v>
      </c>
      <c r="C143" s="21"/>
      <c r="D143" s="32"/>
      <c r="E143" s="22"/>
      <c r="F143" s="22"/>
      <c r="G143" s="23"/>
      <c r="H143" s="175" t="s">
        <v>370</v>
      </c>
      <c r="I143" s="172"/>
      <c r="J143" s="172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</row>
    <row r="144" spans="1:21" ht="18" x14ac:dyDescent="0.3">
      <c r="A144" s="52"/>
      <c r="B144" s="54"/>
      <c r="C144" s="191" t="s">
        <v>23</v>
      </c>
      <c r="D144" s="192"/>
      <c r="E144" s="193"/>
      <c r="F144" s="34"/>
      <c r="G144" s="35">
        <f>SUM(G128:G143)</f>
        <v>3062.5458179999996</v>
      </c>
      <c r="H144" s="17"/>
      <c r="I144" s="24"/>
      <c r="J144" s="18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</row>
    <row r="145" spans="1:21" ht="18" x14ac:dyDescent="0.3">
      <c r="A145" s="12">
        <v>100000</v>
      </c>
      <c r="B145" s="13" t="s">
        <v>177</v>
      </c>
      <c r="C145" s="14"/>
      <c r="D145" s="36"/>
      <c r="E145" s="22"/>
      <c r="F145" s="22"/>
      <c r="G145" s="23"/>
      <c r="H145" s="17"/>
      <c r="I145" s="24"/>
      <c r="J145" s="18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</row>
    <row r="146" spans="1:21" ht="18" x14ac:dyDescent="0.3">
      <c r="A146" s="26" t="s">
        <v>178</v>
      </c>
      <c r="B146" s="31" t="s">
        <v>168</v>
      </c>
      <c r="C146" s="21"/>
      <c r="D146" s="32"/>
      <c r="E146" s="22"/>
      <c r="F146" s="22"/>
      <c r="G146" s="23"/>
      <c r="H146" s="17"/>
      <c r="I146" s="24"/>
      <c r="J146" s="18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</row>
    <row r="147" spans="1:21" ht="18" x14ac:dyDescent="0.3">
      <c r="A147" s="26" t="s">
        <v>179</v>
      </c>
      <c r="B147" s="29" t="s">
        <v>180</v>
      </c>
      <c r="C147" s="21" t="s">
        <v>8</v>
      </c>
      <c r="D147" s="32">
        <f>3*3+1+3+1+2+4</f>
        <v>20</v>
      </c>
      <c r="E147" s="22">
        <v>9.57</v>
      </c>
      <c r="F147" s="22">
        <f>E147*(1+C$289)</f>
        <v>11.907951000000001</v>
      </c>
      <c r="G147" s="23">
        <f>D147*F147</f>
        <v>238.15902</v>
      </c>
      <c r="H147" s="17"/>
      <c r="I147" s="24"/>
      <c r="J147" s="25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</row>
    <row r="148" spans="1:21" ht="138" customHeight="1" x14ac:dyDescent="0.3">
      <c r="A148" s="26"/>
      <c r="B148" s="27" t="s">
        <v>181</v>
      </c>
      <c r="C148" s="21"/>
      <c r="D148" s="32"/>
      <c r="E148" s="22"/>
      <c r="F148" s="22"/>
      <c r="G148" s="23"/>
      <c r="H148" s="175" t="s">
        <v>371</v>
      </c>
      <c r="I148" s="172"/>
      <c r="J148" s="172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</row>
    <row r="149" spans="1:21" ht="18" x14ac:dyDescent="0.3">
      <c r="A149" s="26"/>
      <c r="B149" s="27"/>
      <c r="C149" s="21"/>
      <c r="D149" s="32"/>
      <c r="E149" s="22"/>
      <c r="F149" s="22"/>
      <c r="G149" s="23"/>
      <c r="H149" s="17"/>
      <c r="I149" s="24"/>
      <c r="J149" s="18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</row>
    <row r="150" spans="1:21" ht="31.2" x14ac:dyDescent="0.3">
      <c r="A150" s="26" t="s">
        <v>183</v>
      </c>
      <c r="B150" s="29" t="s">
        <v>184</v>
      </c>
      <c r="C150" s="21" t="s">
        <v>8</v>
      </c>
      <c r="D150" s="32">
        <v>6</v>
      </c>
      <c r="E150" s="22">
        <v>129.69</v>
      </c>
      <c r="F150" s="22">
        <f>E150*(1+C$289)</f>
        <v>161.373267</v>
      </c>
      <c r="G150" s="23">
        <f>D150*F150</f>
        <v>968.23960199999999</v>
      </c>
      <c r="H150" s="17"/>
      <c r="I150" s="24"/>
      <c r="J150" s="18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</row>
    <row r="151" spans="1:21" ht="109.2" x14ac:dyDescent="0.3">
      <c r="A151" s="26"/>
      <c r="B151" s="27" t="s">
        <v>182</v>
      </c>
      <c r="C151" s="21"/>
      <c r="D151" s="32"/>
      <c r="E151" s="22"/>
      <c r="F151" s="22"/>
      <c r="G151" s="23"/>
      <c r="H151" s="171" t="s">
        <v>372</v>
      </c>
      <c r="I151" s="172"/>
      <c r="J151" s="172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</row>
    <row r="152" spans="1:21" ht="18" x14ac:dyDescent="0.3">
      <c r="A152" s="26"/>
      <c r="B152" s="141"/>
      <c r="C152" s="146"/>
      <c r="D152" s="147"/>
      <c r="E152" s="142"/>
      <c r="F152" s="142"/>
      <c r="G152" s="143"/>
      <c r="H152" s="137"/>
      <c r="I152" s="137"/>
      <c r="J152" s="137"/>
      <c r="K152" s="154"/>
      <c r="L152" s="154"/>
      <c r="M152" s="154"/>
      <c r="N152" s="154"/>
      <c r="O152" s="154"/>
      <c r="P152" s="154"/>
      <c r="Q152" s="154"/>
      <c r="R152" s="154"/>
      <c r="S152" s="154"/>
      <c r="T152" s="154"/>
      <c r="U152" s="154"/>
    </row>
    <row r="153" spans="1:21" ht="18" x14ac:dyDescent="0.3">
      <c r="A153" s="26" t="s">
        <v>185</v>
      </c>
      <c r="B153" s="31" t="s">
        <v>186</v>
      </c>
      <c r="C153" s="21"/>
      <c r="D153" s="32"/>
      <c r="E153" s="22"/>
      <c r="F153" s="22"/>
      <c r="G153" s="23"/>
      <c r="H153" s="17"/>
      <c r="I153" s="24"/>
      <c r="J153" s="25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</row>
    <row r="154" spans="1:21" ht="78" x14ac:dyDescent="0.3">
      <c r="A154" s="26"/>
      <c r="B154" s="27" t="s">
        <v>187</v>
      </c>
      <c r="C154" s="21"/>
      <c r="D154" s="32"/>
      <c r="E154" s="22"/>
      <c r="F154" s="22"/>
      <c r="G154" s="23"/>
      <c r="H154" s="17"/>
      <c r="I154" s="24"/>
      <c r="J154" s="18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</row>
    <row r="155" spans="1:21" ht="55.2" customHeight="1" x14ac:dyDescent="0.3">
      <c r="A155" s="26" t="s">
        <v>188</v>
      </c>
      <c r="B155" s="29" t="s">
        <v>189</v>
      </c>
      <c r="C155" s="21" t="s">
        <v>8</v>
      </c>
      <c r="D155" s="32">
        <v>7</v>
      </c>
      <c r="E155" s="22">
        <v>11.06</v>
      </c>
      <c r="F155" s="22">
        <f>E155*(1+C$289)</f>
        <v>13.761958</v>
      </c>
      <c r="G155" s="23">
        <f>D155*F155</f>
        <v>96.333706000000006</v>
      </c>
      <c r="H155" s="171" t="s">
        <v>374</v>
      </c>
      <c r="I155" s="172"/>
      <c r="J155" s="172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</row>
    <row r="156" spans="1:21" ht="18" x14ac:dyDescent="0.3">
      <c r="A156" s="26"/>
      <c r="B156" s="29"/>
      <c r="C156" s="21"/>
      <c r="D156" s="32"/>
      <c r="E156" s="22"/>
      <c r="F156" s="22"/>
      <c r="G156" s="23"/>
      <c r="H156" s="17"/>
      <c r="I156" s="24"/>
      <c r="J156" s="25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</row>
    <row r="157" spans="1:21" ht="78" customHeight="1" x14ac:dyDescent="0.3">
      <c r="A157" s="26" t="s">
        <v>190</v>
      </c>
      <c r="B157" s="29" t="s">
        <v>191</v>
      </c>
      <c r="C157" s="21" t="s">
        <v>8</v>
      </c>
      <c r="D157" s="32">
        <v>13</v>
      </c>
      <c r="E157" s="22">
        <v>18.28</v>
      </c>
      <c r="F157" s="22">
        <f>E157*(1+C$289)</f>
        <v>22.745804</v>
      </c>
      <c r="G157" s="23">
        <f>D157*F157</f>
        <v>295.69545199999999</v>
      </c>
      <c r="H157" s="171" t="s">
        <v>373</v>
      </c>
      <c r="I157" s="172"/>
      <c r="J157" s="172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</row>
    <row r="158" spans="1:21" ht="18" x14ac:dyDescent="0.3">
      <c r="A158" s="52"/>
      <c r="B158" s="54"/>
      <c r="C158" s="186" t="s">
        <v>23</v>
      </c>
      <c r="D158" s="159"/>
      <c r="E158" s="160"/>
      <c r="F158" s="34"/>
      <c r="G158" s="35">
        <f>SUM(G146:G157)</f>
        <v>1598.42778</v>
      </c>
      <c r="H158" s="17"/>
      <c r="I158" s="24"/>
      <c r="J158" s="18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</row>
    <row r="159" spans="1:21" ht="18" x14ac:dyDescent="0.3">
      <c r="A159" s="12">
        <v>110000</v>
      </c>
      <c r="B159" s="13" t="s">
        <v>192</v>
      </c>
      <c r="C159" s="14"/>
      <c r="D159" s="36"/>
      <c r="E159" s="22"/>
      <c r="F159" s="22"/>
      <c r="G159" s="23"/>
      <c r="H159" s="17"/>
      <c r="I159" s="24"/>
      <c r="J159" s="18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</row>
    <row r="160" spans="1:21" ht="18" x14ac:dyDescent="0.3">
      <c r="A160" s="26"/>
      <c r="B160" s="29"/>
      <c r="C160" s="21"/>
      <c r="D160" s="32"/>
      <c r="E160" s="22"/>
      <c r="F160" s="22"/>
      <c r="G160" s="23"/>
      <c r="H160" s="17"/>
      <c r="I160" s="24"/>
      <c r="J160" s="18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</row>
    <row r="161" spans="1:21" ht="31.2" x14ac:dyDescent="0.3">
      <c r="A161" s="26" t="s">
        <v>193</v>
      </c>
      <c r="B161" s="31" t="s">
        <v>194</v>
      </c>
      <c r="C161" s="21"/>
      <c r="D161" s="32"/>
      <c r="E161" s="22"/>
      <c r="F161" s="22"/>
      <c r="G161" s="23"/>
      <c r="H161" s="17"/>
      <c r="I161" s="24"/>
      <c r="J161" s="18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</row>
    <row r="162" spans="1:21" ht="343.2" x14ac:dyDescent="0.3">
      <c r="A162" s="26"/>
      <c r="B162" s="27" t="s">
        <v>195</v>
      </c>
      <c r="C162" s="21"/>
      <c r="D162" s="32"/>
      <c r="E162" s="22"/>
      <c r="F162" s="22"/>
      <c r="G162" s="23"/>
      <c r="H162" s="17"/>
      <c r="I162" s="24"/>
      <c r="J162" s="18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</row>
    <row r="163" spans="1:21" ht="18" x14ac:dyDescent="0.3">
      <c r="A163" s="26"/>
      <c r="B163" s="27"/>
      <c r="C163" s="21"/>
      <c r="D163" s="32"/>
      <c r="E163" s="22"/>
      <c r="F163" s="22"/>
      <c r="G163" s="23"/>
      <c r="H163" s="17"/>
      <c r="I163" s="24"/>
      <c r="J163" s="18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</row>
    <row r="164" spans="1:21" ht="61.2" customHeight="1" x14ac:dyDescent="0.3">
      <c r="A164" s="26" t="s">
        <v>196</v>
      </c>
      <c r="B164" s="29" t="s">
        <v>197</v>
      </c>
      <c r="C164" s="21" t="s">
        <v>8</v>
      </c>
      <c r="D164" s="32">
        <v>5</v>
      </c>
      <c r="E164" s="22">
        <v>2538.63</v>
      </c>
      <c r="F164" s="22">
        <f>E164*(1+C$289)</f>
        <v>3158.817309</v>
      </c>
      <c r="G164" s="23">
        <f>D164*F164</f>
        <v>15794.086545</v>
      </c>
      <c r="H164" s="175" t="s">
        <v>375</v>
      </c>
      <c r="I164" s="172"/>
      <c r="J164" s="172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</row>
    <row r="165" spans="1:21" ht="18" x14ac:dyDescent="0.3">
      <c r="A165" s="26"/>
      <c r="B165" s="27"/>
      <c r="C165" s="21"/>
      <c r="D165" s="32"/>
      <c r="E165" s="22"/>
      <c r="F165" s="22"/>
      <c r="G165" s="23"/>
      <c r="H165" s="17"/>
      <c r="I165" s="24"/>
      <c r="J165" s="18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</row>
    <row r="166" spans="1:21" ht="18" x14ac:dyDescent="0.3">
      <c r="A166" s="26" t="s">
        <v>198</v>
      </c>
      <c r="B166" s="29" t="s">
        <v>199</v>
      </c>
      <c r="C166" s="21"/>
      <c r="D166" s="23"/>
      <c r="E166" s="22"/>
      <c r="F166" s="22"/>
      <c r="G166" s="23"/>
      <c r="H166" s="17"/>
      <c r="I166" s="24"/>
      <c r="J166" s="18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</row>
    <row r="167" spans="1:21" ht="78" x14ac:dyDescent="0.3">
      <c r="A167" s="26" t="s">
        <v>200</v>
      </c>
      <c r="B167" s="29" t="s">
        <v>201</v>
      </c>
      <c r="C167" s="21" t="s">
        <v>8</v>
      </c>
      <c r="D167" s="32">
        <v>1</v>
      </c>
      <c r="E167" s="22">
        <v>1378.58</v>
      </c>
      <c r="F167" s="22">
        <f>E167*(1+C$289)</f>
        <v>1715.367094</v>
      </c>
      <c r="G167" s="23">
        <f>D167*F167</f>
        <v>1715.367094</v>
      </c>
      <c r="H167" s="17"/>
      <c r="I167" s="24"/>
      <c r="J167" s="25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</row>
    <row r="168" spans="1:21" ht="409.6" x14ac:dyDescent="0.3">
      <c r="A168" s="26"/>
      <c r="B168" s="27" t="s">
        <v>202</v>
      </c>
      <c r="C168" s="21"/>
      <c r="D168" s="32"/>
      <c r="E168" s="22"/>
      <c r="F168" s="22"/>
      <c r="G168" s="23"/>
      <c r="H168" s="175" t="s">
        <v>376</v>
      </c>
      <c r="I168" s="172"/>
      <c r="J168" s="172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</row>
    <row r="169" spans="1:21" ht="18" x14ac:dyDescent="0.3">
      <c r="A169" s="52"/>
      <c r="B169" s="48"/>
      <c r="C169" s="186" t="s">
        <v>23</v>
      </c>
      <c r="D169" s="159"/>
      <c r="E169" s="160"/>
      <c r="F169" s="34"/>
      <c r="G169" s="35">
        <f>SUM(G160:G168)</f>
        <v>17509.453638999999</v>
      </c>
      <c r="H169" s="17"/>
      <c r="I169" s="24"/>
      <c r="J169" s="18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</row>
    <row r="170" spans="1:21" ht="18" x14ac:dyDescent="0.3">
      <c r="A170" s="12" t="s">
        <v>203</v>
      </c>
      <c r="B170" s="13" t="s">
        <v>204</v>
      </c>
      <c r="C170" s="55"/>
      <c r="D170" s="36"/>
      <c r="E170" s="15"/>
      <c r="F170" s="22"/>
      <c r="G170" s="23"/>
      <c r="H170" s="17"/>
      <c r="I170" s="24"/>
      <c r="J170" s="18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</row>
    <row r="171" spans="1:21" ht="18" x14ac:dyDescent="0.3">
      <c r="A171" s="20" t="s">
        <v>205</v>
      </c>
      <c r="B171" s="56" t="s">
        <v>109</v>
      </c>
      <c r="C171" s="21"/>
      <c r="D171" s="32"/>
      <c r="E171" s="22"/>
      <c r="F171" s="22"/>
      <c r="G171" s="23"/>
      <c r="H171" s="17"/>
      <c r="I171" s="24"/>
      <c r="J171" s="18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</row>
    <row r="172" spans="1:21" ht="64.8" customHeight="1" x14ac:dyDescent="0.3">
      <c r="A172" s="26" t="s">
        <v>393</v>
      </c>
      <c r="B172" s="140" t="s">
        <v>394</v>
      </c>
      <c r="C172" s="146" t="s">
        <v>62</v>
      </c>
      <c r="D172" s="147">
        <f>1*2.15+1.55*2.65+0.9*1.1</f>
        <v>7.2475000000000005</v>
      </c>
      <c r="E172" s="142">
        <v>488.14</v>
      </c>
      <c r="F172" s="22">
        <f>E172*(1+C$289)</f>
        <v>607.39260200000001</v>
      </c>
      <c r="G172" s="143">
        <f>D172*F172</f>
        <v>4402.0778829950004</v>
      </c>
      <c r="H172" s="137"/>
      <c r="I172" s="138"/>
      <c r="J172" s="153"/>
      <c r="K172" s="222"/>
      <c r="L172" s="223"/>
      <c r="M172" s="223"/>
      <c r="N172" s="223"/>
      <c r="O172" s="145"/>
      <c r="P172" s="145"/>
      <c r="Q172" s="145"/>
      <c r="R172" s="145"/>
      <c r="S172" s="145"/>
      <c r="T172" s="145"/>
      <c r="U172" s="145"/>
    </row>
    <row r="173" spans="1:21" ht="187.2" x14ac:dyDescent="0.3">
      <c r="A173" s="26"/>
      <c r="B173" s="141" t="s">
        <v>395</v>
      </c>
      <c r="C173" s="146"/>
      <c r="D173" s="147"/>
      <c r="E173" s="142"/>
      <c r="F173" s="142"/>
      <c r="G173" s="143"/>
      <c r="H173" s="171" t="s">
        <v>408</v>
      </c>
      <c r="I173" s="172"/>
      <c r="J173" s="172"/>
      <c r="K173" s="145"/>
      <c r="L173" s="145"/>
      <c r="M173" s="145"/>
      <c r="N173" s="145"/>
      <c r="O173" s="145"/>
      <c r="P173" s="145"/>
      <c r="Q173" s="145"/>
      <c r="R173" s="145"/>
      <c r="S173" s="145"/>
      <c r="T173" s="145"/>
      <c r="U173" s="145"/>
    </row>
    <row r="174" spans="1:21" ht="18.75" customHeight="1" x14ac:dyDescent="0.3">
      <c r="A174" s="26"/>
      <c r="B174" s="141"/>
      <c r="C174" s="146"/>
      <c r="D174" s="147"/>
      <c r="E174" s="142"/>
      <c r="F174" s="142"/>
      <c r="G174" s="143"/>
      <c r="H174" s="137"/>
      <c r="I174" s="138"/>
      <c r="J174" s="144"/>
      <c r="K174" s="145"/>
      <c r="L174" s="145"/>
      <c r="M174" s="145"/>
      <c r="N174" s="145"/>
      <c r="O174" s="145"/>
      <c r="P174" s="145"/>
      <c r="Q174" s="145"/>
      <c r="R174" s="145"/>
      <c r="S174" s="145"/>
      <c r="T174" s="145"/>
      <c r="U174" s="145"/>
    </row>
    <row r="175" spans="1:21" ht="21" customHeight="1" x14ac:dyDescent="0.3">
      <c r="A175" s="26" t="s">
        <v>384</v>
      </c>
      <c r="B175" s="140" t="s">
        <v>385</v>
      </c>
      <c r="C175" s="146" t="s">
        <v>62</v>
      </c>
      <c r="D175" s="147">
        <f>7*2.45*1.15+2.15*1.8+0.9*1.65</f>
        <v>25.077500000000001</v>
      </c>
      <c r="E175" s="142">
        <v>418.18</v>
      </c>
      <c r="F175" s="22">
        <f>E175*(1+C$289)</f>
        <v>520.34137399999997</v>
      </c>
      <c r="G175" s="143">
        <f>D175*F175</f>
        <v>13048.860806485</v>
      </c>
      <c r="H175" s="137"/>
      <c r="I175" s="138"/>
      <c r="J175" s="153"/>
      <c r="K175" s="145"/>
      <c r="L175" s="145"/>
      <c r="M175" s="145"/>
      <c r="N175" s="145"/>
      <c r="O175" s="145"/>
      <c r="P175" s="145"/>
      <c r="Q175" s="145"/>
      <c r="R175" s="145"/>
      <c r="S175" s="145"/>
      <c r="T175" s="145"/>
      <c r="U175" s="145"/>
    </row>
    <row r="176" spans="1:21" ht="234" x14ac:dyDescent="0.3">
      <c r="A176" s="26"/>
      <c r="B176" s="141" t="s">
        <v>386</v>
      </c>
      <c r="C176" s="146"/>
      <c r="D176" s="147"/>
      <c r="E176" s="142"/>
      <c r="F176" s="142"/>
      <c r="G176" s="143"/>
      <c r="H176" s="171" t="s">
        <v>387</v>
      </c>
      <c r="I176" s="172"/>
      <c r="J176" s="172"/>
      <c r="K176" s="145"/>
      <c r="L176" s="145"/>
      <c r="M176" s="145"/>
      <c r="N176" s="145"/>
      <c r="O176" s="145"/>
      <c r="P176" s="145"/>
      <c r="Q176" s="145"/>
      <c r="R176" s="145"/>
      <c r="S176" s="145"/>
      <c r="T176" s="145"/>
      <c r="U176" s="145"/>
    </row>
    <row r="177" spans="1:21" ht="18.75" customHeight="1" x14ac:dyDescent="0.3">
      <c r="A177" s="26"/>
      <c r="B177" s="141"/>
      <c r="C177" s="146"/>
      <c r="D177" s="147"/>
      <c r="E177" s="142"/>
      <c r="F177" s="142"/>
      <c r="G177" s="143"/>
      <c r="H177" s="137"/>
      <c r="I177" s="138"/>
      <c r="J177" s="144"/>
      <c r="K177" s="145"/>
      <c r="L177" s="145"/>
      <c r="M177" s="145"/>
      <c r="N177" s="145"/>
      <c r="O177" s="145"/>
      <c r="P177" s="145"/>
      <c r="Q177" s="145"/>
      <c r="R177" s="145"/>
      <c r="S177" s="145"/>
      <c r="T177" s="145"/>
      <c r="U177" s="145"/>
    </row>
    <row r="178" spans="1:21" ht="31.2" x14ac:dyDescent="0.3">
      <c r="A178" s="26" t="s">
        <v>206</v>
      </c>
      <c r="B178" s="29" t="s">
        <v>207</v>
      </c>
      <c r="C178" s="21" t="s">
        <v>22</v>
      </c>
      <c r="D178" s="32">
        <f>2*0.6*0.4+0.6*0.6</f>
        <v>0.84</v>
      </c>
      <c r="E178" s="22">
        <v>760.47</v>
      </c>
      <c r="F178" s="22">
        <f>E178*(1+C$289)</f>
        <v>946.25282100000004</v>
      </c>
      <c r="G178" s="23">
        <f>D178*F178</f>
        <v>794.85236964000001</v>
      </c>
      <c r="H178" s="17"/>
      <c r="I178" s="24"/>
      <c r="J178" s="25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</row>
    <row r="179" spans="1:21" ht="121.8" customHeight="1" x14ac:dyDescent="0.3">
      <c r="A179" s="26"/>
      <c r="B179" s="27" t="s">
        <v>208</v>
      </c>
      <c r="C179" s="21"/>
      <c r="D179" s="32"/>
      <c r="E179" s="22"/>
      <c r="F179" s="22"/>
      <c r="G179" s="23"/>
      <c r="H179" s="175" t="s">
        <v>377</v>
      </c>
      <c r="I179" s="172"/>
      <c r="J179" s="172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</row>
    <row r="180" spans="1:21" ht="18" x14ac:dyDescent="0.3">
      <c r="A180" s="26"/>
      <c r="B180" s="27"/>
      <c r="C180" s="21"/>
      <c r="D180" s="32"/>
      <c r="E180" s="22"/>
      <c r="F180" s="22"/>
      <c r="G180" s="23"/>
      <c r="H180" s="17"/>
      <c r="I180" s="24"/>
      <c r="J180" s="18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</row>
    <row r="181" spans="1:21" ht="31.2" x14ac:dyDescent="0.3">
      <c r="A181" s="26" t="s">
        <v>209</v>
      </c>
      <c r="B181" s="29" t="s">
        <v>210</v>
      </c>
      <c r="C181" s="21" t="s">
        <v>22</v>
      </c>
      <c r="D181" s="139">
        <f>7*2.45*1.15+0.75*0.9</f>
        <v>20.397500000000001</v>
      </c>
      <c r="E181" s="22">
        <v>956.98</v>
      </c>
      <c r="F181" s="22">
        <f>E181*(1+C$289)</f>
        <v>1190.7702139999999</v>
      </c>
      <c r="G181" s="23">
        <f>D181*F181</f>
        <v>24288.735440065</v>
      </c>
      <c r="H181" s="17"/>
      <c r="I181" s="24"/>
      <c r="J181" s="25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</row>
    <row r="182" spans="1:21" ht="108.6" customHeight="1" x14ac:dyDescent="0.3">
      <c r="A182" s="26"/>
      <c r="B182" s="27" t="s">
        <v>211</v>
      </c>
      <c r="C182" s="21"/>
      <c r="D182" s="32"/>
      <c r="E182" s="22"/>
      <c r="F182" s="22"/>
      <c r="G182" s="23"/>
      <c r="H182" s="175" t="s">
        <v>378</v>
      </c>
      <c r="I182" s="172"/>
      <c r="J182" s="172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</row>
    <row r="183" spans="1:21" ht="18.75" customHeight="1" x14ac:dyDescent="0.3">
      <c r="A183" s="26"/>
      <c r="B183" s="141"/>
      <c r="C183" s="146"/>
      <c r="D183" s="147"/>
      <c r="E183" s="142"/>
      <c r="F183" s="142"/>
      <c r="G183" s="143"/>
      <c r="H183" s="137"/>
      <c r="I183" s="138"/>
      <c r="J183" s="144"/>
      <c r="K183" s="145"/>
      <c r="L183" s="145"/>
      <c r="M183" s="145"/>
      <c r="N183" s="145"/>
      <c r="O183" s="145"/>
      <c r="P183" s="145"/>
      <c r="Q183" s="145"/>
      <c r="R183" s="145"/>
      <c r="S183" s="145"/>
      <c r="T183" s="145"/>
      <c r="U183" s="145"/>
    </row>
    <row r="184" spans="1:21" ht="47.25" customHeight="1" x14ac:dyDescent="0.3">
      <c r="A184" s="26" t="s">
        <v>380</v>
      </c>
      <c r="B184" s="140" t="s">
        <v>381</v>
      </c>
      <c r="C184" s="146" t="s">
        <v>8</v>
      </c>
      <c r="D184" s="147">
        <v>2</v>
      </c>
      <c r="E184" s="142">
        <v>1671.73</v>
      </c>
      <c r="F184" s="22">
        <f>E184*(1+C$289)</f>
        <v>2080.1336390000001</v>
      </c>
      <c r="G184" s="143">
        <f>D184*F184</f>
        <v>4160.2672780000003</v>
      </c>
      <c r="H184" s="137"/>
      <c r="I184" s="138"/>
      <c r="J184" s="144"/>
      <c r="K184" s="145"/>
      <c r="L184" s="145"/>
      <c r="M184" s="145"/>
      <c r="N184" s="145"/>
      <c r="O184" s="145"/>
      <c r="P184" s="145"/>
      <c r="Q184" s="145"/>
      <c r="R184" s="145"/>
      <c r="S184" s="145"/>
      <c r="T184" s="145"/>
      <c r="U184" s="145"/>
    </row>
    <row r="185" spans="1:21" ht="96.6" customHeight="1" x14ac:dyDescent="0.3">
      <c r="A185" s="26"/>
      <c r="B185" s="141" t="s">
        <v>212</v>
      </c>
      <c r="C185" s="146"/>
      <c r="D185" s="147"/>
      <c r="E185" s="142"/>
      <c r="F185" s="142"/>
      <c r="G185" s="143"/>
      <c r="H185" s="171" t="s">
        <v>382</v>
      </c>
      <c r="I185" s="172"/>
      <c r="J185" s="172"/>
      <c r="K185" s="145"/>
      <c r="L185" s="145"/>
      <c r="M185" s="145"/>
      <c r="N185" s="145"/>
      <c r="O185" s="145"/>
      <c r="P185" s="145"/>
      <c r="Q185" s="145"/>
      <c r="R185" s="145"/>
      <c r="S185" s="145"/>
      <c r="T185" s="145"/>
      <c r="U185" s="145"/>
    </row>
    <row r="186" spans="1:21" ht="18" x14ac:dyDescent="0.3">
      <c r="A186" s="26"/>
      <c r="B186" s="27"/>
      <c r="C186" s="21"/>
      <c r="D186" s="32"/>
      <c r="E186" s="22" t="s">
        <v>213</v>
      </c>
      <c r="F186" s="22"/>
      <c r="G186" s="23"/>
      <c r="H186" s="17"/>
      <c r="I186" s="24"/>
      <c r="J186" s="18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</row>
    <row r="187" spans="1:21" ht="62.4" x14ac:dyDescent="0.3">
      <c r="A187" s="26" t="s">
        <v>214</v>
      </c>
      <c r="B187" s="29" t="s">
        <v>215</v>
      </c>
      <c r="C187" s="21" t="s">
        <v>8</v>
      </c>
      <c r="D187" s="32">
        <v>1</v>
      </c>
      <c r="E187" s="22">
        <v>1812.52</v>
      </c>
      <c r="F187" s="22">
        <f>E187*(1+C$289)</f>
        <v>2255.318636</v>
      </c>
      <c r="G187" s="23">
        <f>D187*F187</f>
        <v>2255.318636</v>
      </c>
      <c r="H187" s="17"/>
      <c r="I187" s="24"/>
      <c r="J187" s="18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</row>
    <row r="188" spans="1:21" ht="78" x14ac:dyDescent="0.3">
      <c r="A188" s="26"/>
      <c r="B188" s="27" t="s">
        <v>212</v>
      </c>
      <c r="C188" s="21"/>
      <c r="D188" s="32"/>
      <c r="E188" s="22"/>
      <c r="F188" s="22"/>
      <c r="G188" s="23"/>
      <c r="H188" s="175" t="s">
        <v>379</v>
      </c>
      <c r="I188" s="172"/>
      <c r="J188" s="172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</row>
    <row r="189" spans="1:21" ht="18" x14ac:dyDescent="0.3">
      <c r="A189" s="52"/>
      <c r="B189" s="54"/>
      <c r="C189" s="186" t="s">
        <v>23</v>
      </c>
      <c r="D189" s="159"/>
      <c r="E189" s="160"/>
      <c r="F189" s="34"/>
      <c r="G189" s="35">
        <f>SUM(G172:G188)</f>
        <v>48950.112413184994</v>
      </c>
      <c r="H189" s="17"/>
      <c r="I189" s="24"/>
      <c r="J189" s="18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</row>
    <row r="190" spans="1:21" ht="18" x14ac:dyDescent="0.3">
      <c r="A190" s="12">
        <v>130000</v>
      </c>
      <c r="B190" s="13" t="s">
        <v>216</v>
      </c>
      <c r="C190" s="14"/>
      <c r="D190" s="36"/>
      <c r="E190" s="15"/>
      <c r="F190" s="22"/>
      <c r="G190" s="23"/>
      <c r="H190" s="17"/>
      <c r="I190" s="24"/>
      <c r="J190" s="18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</row>
    <row r="191" spans="1:21" ht="18" x14ac:dyDescent="0.3">
      <c r="A191" s="20">
        <v>130100</v>
      </c>
      <c r="B191" s="148" t="s">
        <v>338</v>
      </c>
      <c r="C191" s="146"/>
      <c r="D191" s="147"/>
      <c r="E191" s="142"/>
      <c r="F191" s="142"/>
      <c r="G191" s="143"/>
      <c r="H191" s="137"/>
      <c r="I191" s="138"/>
      <c r="J191" s="144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</row>
    <row r="192" spans="1:21" ht="18" x14ac:dyDescent="0.3">
      <c r="A192" s="26" t="s">
        <v>217</v>
      </c>
      <c r="B192" s="31" t="s">
        <v>218</v>
      </c>
      <c r="C192" s="21"/>
      <c r="D192" s="32"/>
      <c r="E192" s="22"/>
      <c r="F192" s="22"/>
      <c r="G192" s="23"/>
      <c r="H192" s="17"/>
      <c r="I192" s="24"/>
      <c r="J192" s="18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</row>
    <row r="193" spans="1:21" ht="31.2" x14ac:dyDescent="0.3">
      <c r="A193" s="26" t="s">
        <v>219</v>
      </c>
      <c r="B193" s="29" t="s">
        <v>220</v>
      </c>
      <c r="C193" s="21" t="s">
        <v>8</v>
      </c>
      <c r="D193" s="32">
        <v>6</v>
      </c>
      <c r="E193" s="22">
        <v>180.84</v>
      </c>
      <c r="F193" s="22">
        <f>E193*(1+C$289)</f>
        <v>225.01921200000001</v>
      </c>
      <c r="G193" s="23">
        <f>D193*F193</f>
        <v>1350.115272</v>
      </c>
      <c r="H193" s="17"/>
      <c r="I193" s="24"/>
      <c r="J193" s="25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</row>
    <row r="194" spans="1:21" ht="140.4" x14ac:dyDescent="0.3">
      <c r="A194" s="26"/>
      <c r="B194" s="27" t="s">
        <v>221</v>
      </c>
      <c r="C194" s="21"/>
      <c r="D194" s="32"/>
      <c r="E194" s="22"/>
      <c r="F194" s="22"/>
      <c r="G194" s="23"/>
      <c r="H194" s="175" t="s">
        <v>383</v>
      </c>
      <c r="I194" s="172"/>
      <c r="J194" s="172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</row>
    <row r="195" spans="1:21" ht="18" x14ac:dyDescent="0.3">
      <c r="A195" s="52"/>
      <c r="B195" s="54"/>
      <c r="C195" s="186" t="s">
        <v>23</v>
      </c>
      <c r="D195" s="159"/>
      <c r="E195" s="160"/>
      <c r="F195" s="34"/>
      <c r="G195" s="35">
        <f>SUM(G190:G194)</f>
        <v>1350.115272</v>
      </c>
      <c r="H195" s="17"/>
      <c r="I195" s="24"/>
      <c r="J195" s="18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</row>
    <row r="196" spans="1:21" ht="18" x14ac:dyDescent="0.3">
      <c r="A196" s="12">
        <v>140000</v>
      </c>
      <c r="B196" s="13" t="s">
        <v>222</v>
      </c>
      <c r="C196" s="14"/>
      <c r="D196" s="36"/>
      <c r="E196" s="15"/>
      <c r="F196" s="22"/>
      <c r="G196" s="23"/>
      <c r="H196" s="17"/>
      <c r="I196" s="24"/>
      <c r="J196" s="18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</row>
    <row r="197" spans="1:21" ht="18" x14ac:dyDescent="0.3">
      <c r="A197" s="20">
        <v>140100</v>
      </c>
      <c r="B197" s="56" t="s">
        <v>69</v>
      </c>
      <c r="C197" s="21"/>
      <c r="D197" s="32"/>
      <c r="E197" s="22"/>
      <c r="F197" s="22"/>
      <c r="G197" s="23"/>
      <c r="H197" s="17"/>
      <c r="I197" s="24"/>
      <c r="J197" s="18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</row>
    <row r="198" spans="1:21" ht="46.8" x14ac:dyDescent="0.3">
      <c r="A198" s="26" t="s">
        <v>223</v>
      </c>
      <c r="B198" s="62" t="s">
        <v>224</v>
      </c>
      <c r="C198" s="21" t="s">
        <v>22</v>
      </c>
      <c r="D198" s="32">
        <f>(20.19+10.27+17.4+2.46)*1+20.5*1.1+(24.52+22.6+15.28+11.78+19.42)*1.25+(2.46+8.38+7.82+1.25+3.56+3.56+9.16+5.34+1.5+1.2)*1.25</f>
        <v>245.15750000000003</v>
      </c>
      <c r="E198" s="22">
        <v>88.46</v>
      </c>
      <c r="F198" s="22">
        <f>E198*(1+C$289)</f>
        <v>110.07077799999999</v>
      </c>
      <c r="G198" s="23">
        <f>D198*F198</f>
        <v>26984.676757535002</v>
      </c>
      <c r="H198" s="17"/>
      <c r="I198" s="24"/>
      <c r="J198" s="25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</row>
    <row r="199" spans="1:21" ht="358.8" x14ac:dyDescent="0.3">
      <c r="A199" s="26"/>
      <c r="B199" s="30" t="s">
        <v>225</v>
      </c>
      <c r="C199" s="21"/>
      <c r="D199" s="32"/>
      <c r="E199" s="22"/>
      <c r="F199" s="22"/>
      <c r="G199" s="23"/>
      <c r="H199" s="171" t="s">
        <v>421</v>
      </c>
      <c r="I199" s="172"/>
      <c r="J199" s="172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</row>
    <row r="200" spans="1:21" ht="18" x14ac:dyDescent="0.3">
      <c r="A200" s="26"/>
      <c r="B200" s="63"/>
      <c r="C200" s="21"/>
      <c r="D200" s="32"/>
      <c r="E200" s="22"/>
      <c r="F200" s="22"/>
      <c r="G200" s="23"/>
      <c r="H200" s="17"/>
      <c r="I200" s="24"/>
      <c r="J200" s="18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</row>
    <row r="201" spans="1:21" ht="62.4" x14ac:dyDescent="0.3">
      <c r="A201" s="26" t="s">
        <v>226</v>
      </c>
      <c r="B201" s="49" t="s">
        <v>227</v>
      </c>
      <c r="C201" s="21" t="s">
        <v>22</v>
      </c>
      <c r="D201" s="32">
        <f>7.52*2.5+(5.64+5.52)*2.5+20.5*1.1+15.7*2.8</f>
        <v>113.21</v>
      </c>
      <c r="E201" s="22">
        <v>68.37</v>
      </c>
      <c r="F201" s="22">
        <f>E201*(1+C$289)</f>
        <v>85.072791000000009</v>
      </c>
      <c r="G201" s="23">
        <f>D201*F201</f>
        <v>9631.0906691100008</v>
      </c>
      <c r="H201" s="17"/>
      <c r="I201" s="24"/>
      <c r="J201" s="18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</row>
    <row r="202" spans="1:21" ht="358.8" x14ac:dyDescent="0.3">
      <c r="A202" s="26"/>
      <c r="B202" s="30" t="s">
        <v>228</v>
      </c>
      <c r="C202" s="21"/>
      <c r="D202" s="32"/>
      <c r="E202" s="22"/>
      <c r="F202" s="22"/>
      <c r="G202" s="23"/>
      <c r="H202" s="171" t="s">
        <v>388</v>
      </c>
      <c r="I202" s="172"/>
      <c r="J202" s="172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</row>
    <row r="203" spans="1:21" ht="18" x14ac:dyDescent="0.3">
      <c r="A203" s="26"/>
      <c r="B203" s="64"/>
      <c r="C203" s="21"/>
      <c r="D203" s="32"/>
      <c r="E203" s="22"/>
      <c r="F203" s="22"/>
      <c r="G203" s="23"/>
      <c r="H203" s="17"/>
      <c r="I203" s="24"/>
      <c r="J203" s="18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</row>
    <row r="204" spans="1:21" ht="18" x14ac:dyDescent="0.3">
      <c r="A204" s="52"/>
      <c r="B204" s="48"/>
      <c r="C204" s="186" t="s">
        <v>23</v>
      </c>
      <c r="D204" s="159"/>
      <c r="E204" s="160"/>
      <c r="F204" s="34"/>
      <c r="G204" s="35">
        <f>SUM(G198:G203)</f>
        <v>36615.767426645005</v>
      </c>
      <c r="H204" s="17"/>
      <c r="I204" s="24"/>
      <c r="J204" s="18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</row>
    <row r="205" spans="1:21" ht="18" x14ac:dyDescent="0.3">
      <c r="A205" s="12">
        <v>150000</v>
      </c>
      <c r="B205" s="13" t="s">
        <v>229</v>
      </c>
      <c r="C205" s="14"/>
      <c r="D205" s="36"/>
      <c r="E205" s="22"/>
      <c r="F205" s="22"/>
      <c r="G205" s="23"/>
      <c r="H205" s="17"/>
      <c r="I205" s="24"/>
      <c r="J205" s="18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</row>
    <row r="206" spans="1:21" ht="18" x14ac:dyDescent="0.3">
      <c r="A206" s="20">
        <v>150100</v>
      </c>
      <c r="B206" s="56" t="s">
        <v>230</v>
      </c>
      <c r="C206" s="21"/>
      <c r="D206" s="32"/>
      <c r="E206" s="22"/>
      <c r="F206" s="22"/>
      <c r="G206" s="23"/>
      <c r="H206" s="17"/>
      <c r="I206" s="24"/>
      <c r="J206" s="18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</row>
    <row r="207" spans="1:21" ht="62.4" x14ac:dyDescent="0.3">
      <c r="A207" s="26" t="s">
        <v>232</v>
      </c>
      <c r="B207" s="49" t="s">
        <v>233</v>
      </c>
      <c r="C207" s="21" t="s">
        <v>22</v>
      </c>
      <c r="D207" s="32">
        <f>35.67+31.55+13.1+8.44+22.47+23.54+14.21+3.66+1.91+1.84+3.36+18.83+45.3</f>
        <v>223.88</v>
      </c>
      <c r="E207" s="22">
        <v>98.08</v>
      </c>
      <c r="F207" s="22">
        <f>E207*(1+C$289)</f>
        <v>122.040944</v>
      </c>
      <c r="G207" s="23">
        <f>D207*F207</f>
        <v>27322.526542719999</v>
      </c>
      <c r="H207" s="17"/>
      <c r="I207" s="24"/>
      <c r="J207" s="18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</row>
    <row r="208" spans="1:21" ht="312" x14ac:dyDescent="0.3">
      <c r="A208" s="26"/>
      <c r="B208" s="30" t="s">
        <v>231</v>
      </c>
      <c r="C208" s="21"/>
      <c r="D208" s="32"/>
      <c r="E208" s="22"/>
      <c r="F208" s="22"/>
      <c r="G208" s="23"/>
      <c r="H208" s="171" t="s">
        <v>389</v>
      </c>
      <c r="I208" s="172"/>
      <c r="J208" s="172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</row>
    <row r="209" spans="1:21" ht="18" x14ac:dyDescent="0.3">
      <c r="A209" s="26"/>
      <c r="B209" s="27"/>
      <c r="C209" s="21"/>
      <c r="D209" s="32"/>
      <c r="E209" s="22"/>
      <c r="F209" s="22"/>
      <c r="G209" s="23"/>
      <c r="H209" s="17"/>
      <c r="I209" s="24"/>
      <c r="J209" s="18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</row>
    <row r="210" spans="1:21" ht="18" x14ac:dyDescent="0.3">
      <c r="A210" s="26" t="s">
        <v>234</v>
      </c>
      <c r="B210" s="31" t="s">
        <v>235</v>
      </c>
      <c r="C210" s="21"/>
      <c r="D210" s="32"/>
      <c r="E210" s="22"/>
      <c r="F210" s="22"/>
      <c r="G210" s="23"/>
      <c r="H210" s="17"/>
      <c r="I210" s="24"/>
      <c r="J210" s="18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</row>
    <row r="211" spans="1:21" ht="31.2" x14ac:dyDescent="0.3">
      <c r="A211" s="26" t="s">
        <v>236</v>
      </c>
      <c r="B211" s="29" t="s">
        <v>237</v>
      </c>
      <c r="C211" s="21" t="s">
        <v>238</v>
      </c>
      <c r="D211" s="32">
        <v>24</v>
      </c>
      <c r="E211" s="22">
        <v>61.51</v>
      </c>
      <c r="F211" s="22">
        <f>E211*(1+C$289)</f>
        <v>76.536892999999992</v>
      </c>
      <c r="G211" s="23">
        <f>D211*F211</f>
        <v>1836.8854319999998</v>
      </c>
      <c r="H211" s="17"/>
      <c r="I211" s="24"/>
      <c r="J211" s="25"/>
      <c r="K211" s="213"/>
      <c r="L211" s="203"/>
      <c r="M211" s="203"/>
      <c r="N211" s="204"/>
      <c r="O211" s="19"/>
      <c r="P211" s="19"/>
      <c r="Q211" s="19"/>
      <c r="R211" s="19"/>
      <c r="S211" s="19"/>
      <c r="T211" s="19"/>
      <c r="U211" s="19"/>
    </row>
    <row r="212" spans="1:21" ht="78" x14ac:dyDescent="0.3">
      <c r="A212" s="26"/>
      <c r="B212" s="27" t="s">
        <v>239</v>
      </c>
      <c r="C212" s="21"/>
      <c r="D212" s="32"/>
      <c r="E212" s="22"/>
      <c r="F212" s="22"/>
      <c r="G212" s="23"/>
      <c r="H212" s="171" t="s">
        <v>390</v>
      </c>
      <c r="I212" s="172"/>
      <c r="J212" s="172"/>
      <c r="K212" s="205"/>
      <c r="L212" s="206"/>
      <c r="M212" s="206"/>
      <c r="N212" s="207"/>
      <c r="O212" s="19"/>
      <c r="P212" s="19"/>
      <c r="Q212" s="19"/>
      <c r="R212" s="19"/>
      <c r="S212" s="19"/>
      <c r="T212" s="19"/>
      <c r="U212" s="19"/>
    </row>
    <row r="213" spans="1:21" ht="18" x14ac:dyDescent="0.3">
      <c r="A213" s="26"/>
      <c r="B213" s="27"/>
      <c r="C213" s="21"/>
      <c r="D213" s="32"/>
      <c r="E213" s="22"/>
      <c r="F213" s="22"/>
      <c r="G213" s="23"/>
      <c r="H213" s="17"/>
      <c r="I213" s="24"/>
      <c r="J213" s="18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</row>
    <row r="214" spans="1:21" ht="46.8" x14ac:dyDescent="0.3">
      <c r="A214" s="26" t="s">
        <v>240</v>
      </c>
      <c r="B214" s="29" t="s">
        <v>241</v>
      </c>
      <c r="C214" s="21" t="s">
        <v>22</v>
      </c>
      <c r="D214" s="32">
        <f>45.3+1.91+1.84+3.36+3.66</f>
        <v>56.069999999999993</v>
      </c>
      <c r="E214" s="22">
        <v>44.81</v>
      </c>
      <c r="F214" s="22">
        <f>E214*(1+C$289)</f>
        <v>55.757083000000002</v>
      </c>
      <c r="G214" s="23">
        <f>D214*F214</f>
        <v>3126.2996438099999</v>
      </c>
      <c r="H214" s="17"/>
      <c r="I214" s="24"/>
      <c r="J214" s="25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</row>
    <row r="215" spans="1:21" ht="93.6" customHeight="1" x14ac:dyDescent="0.3">
      <c r="A215" s="26"/>
      <c r="B215" s="27" t="s">
        <v>105</v>
      </c>
      <c r="C215" s="21"/>
      <c r="D215" s="32"/>
      <c r="E215" s="22"/>
      <c r="F215" s="22"/>
      <c r="G215" s="23"/>
      <c r="H215" s="171" t="s">
        <v>391</v>
      </c>
      <c r="I215" s="172"/>
      <c r="J215" s="188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</row>
    <row r="216" spans="1:21" ht="18" x14ac:dyDescent="0.3">
      <c r="A216" s="65"/>
      <c r="B216" s="27"/>
      <c r="C216" s="21"/>
      <c r="D216" s="66"/>
      <c r="E216" s="22"/>
      <c r="F216" s="22"/>
      <c r="G216" s="23"/>
      <c r="H216" s="17"/>
      <c r="I216" s="24"/>
      <c r="J216" s="18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</row>
    <row r="217" spans="1:21" ht="18" x14ac:dyDescent="0.3">
      <c r="A217" s="26" t="s">
        <v>242</v>
      </c>
      <c r="B217" s="31" t="s">
        <v>243</v>
      </c>
      <c r="C217" s="21"/>
      <c r="D217" s="32"/>
      <c r="E217" s="22"/>
      <c r="F217" s="22"/>
      <c r="G217" s="23"/>
      <c r="H217" s="17"/>
      <c r="I217" s="24"/>
      <c r="J217" s="18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</row>
    <row r="218" spans="1:21" ht="46.8" x14ac:dyDescent="0.3">
      <c r="A218" s="26" t="s">
        <v>244</v>
      </c>
      <c r="B218" s="29" t="s">
        <v>245</v>
      </c>
      <c r="C218" s="21" t="s">
        <v>246</v>
      </c>
      <c r="D218" s="32">
        <v>15.75</v>
      </c>
      <c r="E218" s="22">
        <v>75.319999999999993</v>
      </c>
      <c r="F218" s="22">
        <f>E218*(1+C$289)</f>
        <v>93.720675999999983</v>
      </c>
      <c r="G218" s="23">
        <f>D218*F218</f>
        <v>1476.1006469999998</v>
      </c>
      <c r="H218" s="17"/>
      <c r="I218" s="24"/>
      <c r="J218" s="25"/>
      <c r="K218" s="212"/>
      <c r="L218" s="203"/>
      <c r="M218" s="203"/>
      <c r="N218" s="203"/>
      <c r="O218" s="203"/>
      <c r="P218" s="204"/>
      <c r="Q218" s="19"/>
      <c r="R218" s="19"/>
      <c r="S218" s="19"/>
      <c r="T218" s="19"/>
      <c r="U218" s="19"/>
    </row>
    <row r="219" spans="1:21" ht="109.2" x14ac:dyDescent="0.3">
      <c r="A219" s="26"/>
      <c r="B219" s="27" t="s">
        <v>247</v>
      </c>
      <c r="C219" s="21"/>
      <c r="D219" s="32"/>
      <c r="E219" s="22"/>
      <c r="F219" s="22"/>
      <c r="G219" s="23"/>
      <c r="H219" s="171" t="s">
        <v>400</v>
      </c>
      <c r="I219" s="172"/>
      <c r="J219" s="188"/>
      <c r="K219" s="205"/>
      <c r="L219" s="206"/>
      <c r="M219" s="206"/>
      <c r="N219" s="206"/>
      <c r="O219" s="206"/>
      <c r="P219" s="207"/>
      <c r="Q219" s="19"/>
      <c r="R219" s="19"/>
      <c r="S219" s="19"/>
      <c r="T219" s="19"/>
      <c r="U219" s="19"/>
    </row>
    <row r="220" spans="1:21" ht="18" x14ac:dyDescent="0.3">
      <c r="A220" s="52"/>
      <c r="B220" s="48"/>
      <c r="C220" s="186" t="s">
        <v>23</v>
      </c>
      <c r="D220" s="159"/>
      <c r="E220" s="160"/>
      <c r="F220" s="34"/>
      <c r="G220" s="35">
        <f>SUM(G205:G219)</f>
        <v>33761.812265529996</v>
      </c>
      <c r="H220" s="17"/>
      <c r="I220" s="24"/>
      <c r="J220" s="18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</row>
    <row r="221" spans="1:21" ht="18" x14ac:dyDescent="0.3">
      <c r="A221" s="12">
        <v>160000</v>
      </c>
      <c r="B221" s="13" t="s">
        <v>248</v>
      </c>
      <c r="C221" s="55"/>
      <c r="D221" s="36"/>
      <c r="E221" s="22"/>
      <c r="F221" s="22"/>
      <c r="G221" s="23"/>
      <c r="H221" s="17"/>
      <c r="I221" s="24"/>
      <c r="J221" s="18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</row>
    <row r="222" spans="1:21" ht="18" x14ac:dyDescent="0.3">
      <c r="A222" s="20">
        <v>160100</v>
      </c>
      <c r="B222" s="56" t="s">
        <v>249</v>
      </c>
      <c r="C222" s="21"/>
      <c r="D222" s="32"/>
      <c r="E222" s="22"/>
      <c r="F222" s="22"/>
      <c r="G222" s="23"/>
      <c r="H222" s="17"/>
      <c r="I222" s="24"/>
      <c r="J222" s="18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</row>
    <row r="223" spans="1:21" ht="18" x14ac:dyDescent="0.3">
      <c r="A223" s="26" t="s">
        <v>250</v>
      </c>
      <c r="B223" s="29" t="s">
        <v>251</v>
      </c>
      <c r="C223" s="21" t="s">
        <v>8</v>
      </c>
      <c r="D223" s="32">
        <v>3</v>
      </c>
      <c r="E223" s="22">
        <v>111.73</v>
      </c>
      <c r="F223" s="22">
        <f>E223*(1+C$289)</f>
        <v>139.02563900000001</v>
      </c>
      <c r="G223" s="23">
        <f>D223*F223</f>
        <v>417.07691700000004</v>
      </c>
      <c r="H223" s="67"/>
      <c r="I223" s="24"/>
      <c r="J223" s="25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</row>
    <row r="224" spans="1:21" ht="78" x14ac:dyDescent="0.3">
      <c r="A224" s="26"/>
      <c r="B224" s="27" t="s">
        <v>252</v>
      </c>
      <c r="C224" s="21"/>
      <c r="D224" s="32"/>
      <c r="E224" s="22"/>
      <c r="F224" s="22"/>
      <c r="G224" s="23"/>
      <c r="H224" s="175" t="s">
        <v>392</v>
      </c>
      <c r="I224" s="172"/>
      <c r="J224" s="172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</row>
    <row r="225" spans="1:21" ht="18" x14ac:dyDescent="0.3">
      <c r="A225" s="26"/>
      <c r="B225" s="30"/>
      <c r="C225" s="21"/>
      <c r="D225" s="33"/>
      <c r="E225" s="22"/>
      <c r="F225" s="22"/>
      <c r="G225" s="23"/>
      <c r="H225" s="17"/>
      <c r="I225" s="24"/>
      <c r="J225" s="18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</row>
    <row r="226" spans="1:21" ht="18" x14ac:dyDescent="0.3">
      <c r="A226" s="52"/>
      <c r="B226" s="49"/>
      <c r="C226" s="186" t="s">
        <v>23</v>
      </c>
      <c r="D226" s="159"/>
      <c r="E226" s="160"/>
      <c r="F226" s="34"/>
      <c r="G226" s="35">
        <f>SUM(G223:G225)</f>
        <v>417.07691700000004</v>
      </c>
      <c r="H226" s="17"/>
      <c r="I226" s="24"/>
      <c r="J226" s="18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</row>
    <row r="227" spans="1:21" ht="18" x14ac:dyDescent="0.3">
      <c r="A227" s="68">
        <v>170000</v>
      </c>
      <c r="B227" s="13" t="s">
        <v>253</v>
      </c>
      <c r="C227" s="69"/>
      <c r="D227" s="36"/>
      <c r="E227" s="15"/>
      <c r="F227" s="22"/>
      <c r="G227" s="23"/>
      <c r="H227" s="17"/>
      <c r="I227" s="24"/>
      <c r="J227" s="18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</row>
    <row r="228" spans="1:21" ht="18" x14ac:dyDescent="0.3">
      <c r="A228" s="70">
        <v>170100</v>
      </c>
      <c r="B228" s="56" t="s">
        <v>254</v>
      </c>
      <c r="C228" s="21"/>
      <c r="D228" s="32"/>
      <c r="E228" s="22"/>
      <c r="F228" s="22"/>
      <c r="G228" s="23"/>
      <c r="H228" s="17"/>
      <c r="I228" s="24"/>
      <c r="J228" s="18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</row>
    <row r="229" spans="1:21" ht="19.8" x14ac:dyDescent="0.3">
      <c r="A229" s="71">
        <v>170103</v>
      </c>
      <c r="B229" s="29" t="s">
        <v>255</v>
      </c>
      <c r="C229" s="21" t="s">
        <v>256</v>
      </c>
      <c r="D229" s="32">
        <f>(20.19+10.27+17.4+2.46)*1.9+7.51*3+(24.52+22.6+15.28+11.78+19.42)*1.25+(2.46+8.38+7.82+1.25+3.56+3.56+9.16+5.34+1.5+1.2)*1.25</f>
        <v>290.4255</v>
      </c>
      <c r="E229" s="22">
        <v>23.81</v>
      </c>
      <c r="F229" s="22">
        <f>E229*(1+C$289)</f>
        <v>29.626782999999996</v>
      </c>
      <c r="G229" s="23">
        <f>D229*F229</f>
        <v>8604.3732661664981</v>
      </c>
      <c r="H229" s="17"/>
      <c r="I229" s="24"/>
      <c r="J229" s="25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</row>
    <row r="230" spans="1:21" ht="202.8" x14ac:dyDescent="0.3">
      <c r="A230" s="71"/>
      <c r="B230" s="27" t="s">
        <v>257</v>
      </c>
      <c r="C230" s="21"/>
      <c r="D230" s="32"/>
      <c r="E230" s="22"/>
      <c r="F230" s="22"/>
      <c r="G230" s="23"/>
      <c r="H230" s="171" t="s">
        <v>422</v>
      </c>
      <c r="I230" s="172"/>
      <c r="J230" s="172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</row>
    <row r="231" spans="1:21" ht="18" x14ac:dyDescent="0.3">
      <c r="A231" s="71"/>
      <c r="B231" s="27"/>
      <c r="C231" s="21"/>
      <c r="D231" s="32"/>
      <c r="E231" s="22"/>
      <c r="F231" s="22"/>
      <c r="G231" s="23"/>
      <c r="H231" s="17"/>
      <c r="I231" s="24"/>
      <c r="J231" s="18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</row>
    <row r="232" spans="1:21" ht="31.2" x14ac:dyDescent="0.3">
      <c r="A232" s="71">
        <v>170107</v>
      </c>
      <c r="B232" s="29" t="s">
        <v>258</v>
      </c>
      <c r="C232" s="21" t="s">
        <v>259</v>
      </c>
      <c r="D232" s="32">
        <f>5*0.8*2.1*3+1*0.9*2.1*3</f>
        <v>30.870000000000005</v>
      </c>
      <c r="E232" s="22">
        <v>31.45</v>
      </c>
      <c r="F232" s="22">
        <f>E232*(1+C$289)</f>
        <v>39.133234999999999</v>
      </c>
      <c r="G232" s="23">
        <f>D232*F232</f>
        <v>1208.0429644500002</v>
      </c>
      <c r="H232" s="17"/>
      <c r="I232" s="24"/>
      <c r="J232" s="25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</row>
    <row r="233" spans="1:21" ht="265.2" x14ac:dyDescent="0.3">
      <c r="A233" s="71"/>
      <c r="B233" s="27" t="s">
        <v>260</v>
      </c>
      <c r="C233" s="21"/>
      <c r="D233" s="32"/>
      <c r="E233" s="22"/>
      <c r="F233" s="22"/>
      <c r="G233" s="23"/>
      <c r="H233" s="171" t="s">
        <v>396</v>
      </c>
      <c r="I233" s="172"/>
      <c r="J233" s="172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</row>
    <row r="234" spans="1:21" ht="18" x14ac:dyDescent="0.3">
      <c r="A234" s="71"/>
      <c r="B234" s="27"/>
      <c r="C234" s="21"/>
      <c r="D234" s="32"/>
      <c r="E234" s="22"/>
      <c r="F234" s="22"/>
      <c r="G234" s="23"/>
      <c r="H234" s="17"/>
      <c r="I234" s="24"/>
      <c r="J234" s="18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</row>
    <row r="235" spans="1:21" ht="31.2" x14ac:dyDescent="0.3">
      <c r="A235" s="71">
        <v>170110</v>
      </c>
      <c r="B235" s="29" t="s">
        <v>261</v>
      </c>
      <c r="C235" s="21" t="s">
        <v>262</v>
      </c>
      <c r="D235" s="32">
        <f>D229</f>
        <v>290.4255</v>
      </c>
      <c r="E235" s="22">
        <v>18.739999999999998</v>
      </c>
      <c r="F235" s="22">
        <f>E235*(1+C$289)</f>
        <v>23.318181999999997</v>
      </c>
      <c r="G235" s="23">
        <f>D235*F235</f>
        <v>6772.1946664409988</v>
      </c>
      <c r="H235" s="17"/>
      <c r="I235" s="24"/>
      <c r="J235" s="25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</row>
    <row r="236" spans="1:21" ht="171.6" x14ac:dyDescent="0.3">
      <c r="A236" s="71"/>
      <c r="B236" s="27" t="s">
        <v>263</v>
      </c>
      <c r="C236" s="21"/>
      <c r="D236" s="32"/>
      <c r="E236" s="22"/>
      <c r="F236" s="22"/>
      <c r="G236" s="23"/>
      <c r="H236" s="171" t="s">
        <v>409</v>
      </c>
      <c r="I236" s="172"/>
      <c r="J236" s="172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</row>
    <row r="237" spans="1:21" ht="18" x14ac:dyDescent="0.3">
      <c r="A237" s="71"/>
      <c r="B237" s="27"/>
      <c r="C237" s="21"/>
      <c r="D237" s="32"/>
      <c r="E237" s="22"/>
      <c r="F237" s="22"/>
      <c r="G237" s="23"/>
      <c r="H237" s="17"/>
      <c r="I237" s="24"/>
      <c r="J237" s="18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</row>
    <row r="238" spans="1:21" ht="18" x14ac:dyDescent="0.3">
      <c r="A238" s="72"/>
      <c r="B238" s="73"/>
      <c r="C238" s="186" t="s">
        <v>23</v>
      </c>
      <c r="D238" s="159"/>
      <c r="E238" s="160"/>
      <c r="F238" s="34"/>
      <c r="G238" s="35">
        <f>SUM(G229:G237)</f>
        <v>16584.610897057497</v>
      </c>
      <c r="H238" s="17"/>
      <c r="I238" s="24"/>
      <c r="J238" s="18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</row>
    <row r="239" spans="1:21" ht="18" x14ac:dyDescent="0.3">
      <c r="A239" s="12">
        <v>180000</v>
      </c>
      <c r="B239" s="13" t="s">
        <v>264</v>
      </c>
      <c r="C239" s="55"/>
      <c r="D239" s="36"/>
      <c r="E239" s="15"/>
      <c r="F239" s="22"/>
      <c r="G239" s="23"/>
      <c r="H239" s="17"/>
      <c r="I239" s="24"/>
      <c r="J239" s="18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</row>
    <row r="240" spans="1:21" ht="18" x14ac:dyDescent="0.3">
      <c r="A240" s="20">
        <v>180100</v>
      </c>
      <c r="B240" s="56" t="s">
        <v>265</v>
      </c>
      <c r="C240" s="21"/>
      <c r="D240" s="32"/>
      <c r="E240" s="22"/>
      <c r="F240" s="22"/>
      <c r="G240" s="23"/>
      <c r="H240" s="17"/>
      <c r="I240" s="24"/>
      <c r="J240" s="18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</row>
    <row r="241" spans="1:21" ht="18" x14ac:dyDescent="0.3">
      <c r="A241" s="26" t="s">
        <v>266</v>
      </c>
      <c r="B241" s="29" t="s">
        <v>267</v>
      </c>
      <c r="C241" s="21" t="s">
        <v>22</v>
      </c>
      <c r="D241" s="32">
        <f>6*0.8*0.2+0.9*0.2+2*0.7*0.2+1*0.2+0.75*0.2+7*7.4*0.2+(2*0.8+2*0.95)*0.2+3*(2*0.6+2*0.4)*0.2+(2*2.15+2*1.8)*0.2+(2.65*2+1.55)*0.2+(2*2.65+1.55)*0.2+(2*2.15+1)*0.2+(7.25+1.2+5.33+3.58)*0.2</f>
        <v>22.882000000000001</v>
      </c>
      <c r="E241" s="22">
        <v>337.43</v>
      </c>
      <c r="F241" s="22">
        <f>E241*(1+C$289)</f>
        <v>419.864149</v>
      </c>
      <c r="G241" s="23">
        <f>SUM(D241*F241)</f>
        <v>9607.3314574180004</v>
      </c>
      <c r="H241" s="17"/>
      <c r="I241" s="24"/>
      <c r="J241" s="25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</row>
    <row r="242" spans="1:21" ht="322.8" customHeight="1" x14ac:dyDescent="0.3">
      <c r="A242" s="26"/>
      <c r="B242" s="27" t="s">
        <v>268</v>
      </c>
      <c r="C242" s="21"/>
      <c r="D242" s="32"/>
      <c r="E242" s="22"/>
      <c r="F242" s="22"/>
      <c r="G242" s="23"/>
      <c r="H242" s="171" t="s">
        <v>397</v>
      </c>
      <c r="I242" s="172"/>
      <c r="J242" s="172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</row>
    <row r="243" spans="1:21" ht="18" x14ac:dyDescent="0.3">
      <c r="A243" s="26"/>
      <c r="B243" s="27"/>
      <c r="C243" s="21"/>
      <c r="D243" s="32"/>
      <c r="E243" s="22"/>
      <c r="F243" s="22"/>
      <c r="G243" s="23"/>
      <c r="H243" s="17"/>
      <c r="I243" s="24"/>
      <c r="J243" s="18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</row>
    <row r="244" spans="1:21" ht="18" x14ac:dyDescent="0.3">
      <c r="A244" s="26" t="s">
        <v>269</v>
      </c>
      <c r="B244" s="31" t="s">
        <v>270</v>
      </c>
      <c r="C244" s="21"/>
      <c r="D244" s="32"/>
      <c r="E244" s="22"/>
      <c r="F244" s="22"/>
      <c r="G244" s="23"/>
      <c r="H244" s="17"/>
      <c r="I244" s="24"/>
      <c r="J244" s="18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</row>
    <row r="245" spans="1:21" ht="18" x14ac:dyDescent="0.3">
      <c r="A245" s="26"/>
      <c r="B245" s="27"/>
      <c r="C245" s="21"/>
      <c r="D245" s="32"/>
      <c r="E245" s="22"/>
      <c r="F245" s="22"/>
      <c r="G245" s="23"/>
      <c r="H245" s="17"/>
      <c r="I245" s="24"/>
      <c r="J245" s="28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</row>
    <row r="246" spans="1:21" ht="31.2" x14ac:dyDescent="0.3">
      <c r="A246" s="26" t="s">
        <v>271</v>
      </c>
      <c r="B246" s="29" t="s">
        <v>272</v>
      </c>
      <c r="C246" s="21" t="s">
        <v>22</v>
      </c>
      <c r="D246" s="32">
        <v>1.8</v>
      </c>
      <c r="E246" s="22">
        <v>388.24</v>
      </c>
      <c r="F246" s="22">
        <f>E246*(1+C$289)</f>
        <v>483.08703200000002</v>
      </c>
      <c r="G246" s="23">
        <f>SUM(D246*F246)</f>
        <v>869.55665760000011</v>
      </c>
      <c r="H246" s="17"/>
      <c r="I246" s="24"/>
      <c r="J246" s="25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</row>
    <row r="247" spans="1:21" ht="109.2" x14ac:dyDescent="0.3">
      <c r="A247" s="26"/>
      <c r="B247" s="27" t="s">
        <v>273</v>
      </c>
      <c r="C247" s="21"/>
      <c r="D247" s="32"/>
      <c r="E247" s="22"/>
      <c r="F247" s="22"/>
      <c r="G247" s="23"/>
      <c r="H247" s="171" t="s">
        <v>398</v>
      </c>
      <c r="I247" s="172"/>
      <c r="J247" s="172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</row>
    <row r="248" spans="1:21" ht="18" x14ac:dyDescent="0.3">
      <c r="A248" s="52"/>
      <c r="B248" s="48"/>
      <c r="C248" s="186" t="s">
        <v>23</v>
      </c>
      <c r="D248" s="159"/>
      <c r="E248" s="160"/>
      <c r="F248" s="34"/>
      <c r="G248" s="35">
        <f>SUM(G241:G247)</f>
        <v>10476.888115018</v>
      </c>
      <c r="H248" s="17"/>
      <c r="I248" s="24"/>
      <c r="J248" s="18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</row>
    <row r="249" spans="1:21" ht="18" x14ac:dyDescent="0.3">
      <c r="A249" s="12">
        <v>190000</v>
      </c>
      <c r="B249" s="13" t="s">
        <v>274</v>
      </c>
      <c r="C249" s="55"/>
      <c r="D249" s="36"/>
      <c r="E249" s="22"/>
      <c r="F249" s="22"/>
      <c r="G249" s="23"/>
      <c r="H249" s="17"/>
      <c r="I249" s="24"/>
      <c r="J249" s="18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</row>
    <row r="250" spans="1:21" ht="18" x14ac:dyDescent="0.3">
      <c r="A250" s="26" t="s">
        <v>275</v>
      </c>
      <c r="B250" s="31" t="s">
        <v>276</v>
      </c>
      <c r="C250" s="21"/>
      <c r="D250" s="32"/>
      <c r="E250" s="22"/>
      <c r="F250" s="22"/>
      <c r="G250" s="23"/>
      <c r="H250" s="17"/>
      <c r="I250" s="24"/>
      <c r="J250" s="25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</row>
    <row r="251" spans="1:21" ht="31.2" x14ac:dyDescent="0.3">
      <c r="A251" s="26" t="s">
        <v>277</v>
      </c>
      <c r="B251" s="29" t="s">
        <v>278</v>
      </c>
      <c r="C251" s="21" t="s">
        <v>8</v>
      </c>
      <c r="D251" s="32">
        <v>8</v>
      </c>
      <c r="E251" s="22">
        <v>21.4</v>
      </c>
      <c r="F251" s="22">
        <f>E251*(1+C$289)</f>
        <v>26.628019999999996</v>
      </c>
      <c r="G251" s="23">
        <f>D251*F251</f>
        <v>213.02415999999997</v>
      </c>
      <c r="H251" s="17"/>
      <c r="I251" s="24"/>
      <c r="J251" s="18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</row>
    <row r="252" spans="1:21" ht="78" x14ac:dyDescent="0.3">
      <c r="A252" s="26"/>
      <c r="B252" s="27" t="s">
        <v>279</v>
      </c>
      <c r="C252" s="21"/>
      <c r="D252" s="32"/>
      <c r="E252" s="22"/>
      <c r="F252" s="22"/>
      <c r="G252" s="23"/>
      <c r="H252" s="171" t="s">
        <v>339</v>
      </c>
      <c r="I252" s="172"/>
      <c r="J252" s="172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</row>
    <row r="253" spans="1:21" ht="18" x14ac:dyDescent="0.3">
      <c r="A253" s="26"/>
      <c r="B253" s="27"/>
      <c r="C253" s="21"/>
      <c r="D253" s="32"/>
      <c r="E253" s="22"/>
      <c r="F253" s="22"/>
      <c r="G253" s="23"/>
      <c r="H253" s="17"/>
      <c r="I253" s="24"/>
      <c r="J253" s="25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</row>
    <row r="254" spans="1:21" ht="31.2" x14ac:dyDescent="0.3">
      <c r="A254" s="26" t="s">
        <v>280</v>
      </c>
      <c r="B254" s="29" t="s">
        <v>281</v>
      </c>
      <c r="C254" s="21" t="s">
        <v>8</v>
      </c>
      <c r="D254" s="32">
        <v>1</v>
      </c>
      <c r="E254" s="22">
        <v>49.61</v>
      </c>
      <c r="F254" s="22">
        <f>E254*(1+C$289)</f>
        <v>61.729723</v>
      </c>
      <c r="G254" s="23">
        <f>D254*F254</f>
        <v>61.729723</v>
      </c>
      <c r="H254" s="17"/>
      <c r="I254" s="24"/>
      <c r="J254" s="18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</row>
    <row r="255" spans="1:21" ht="93.6" x14ac:dyDescent="0.3">
      <c r="A255" s="26"/>
      <c r="B255" s="27" t="s">
        <v>282</v>
      </c>
      <c r="C255" s="21"/>
      <c r="D255" s="32"/>
      <c r="E255" s="22"/>
      <c r="F255" s="22"/>
      <c r="G255" s="23"/>
      <c r="H255" s="171" t="s">
        <v>399</v>
      </c>
      <c r="I255" s="172"/>
      <c r="J255" s="172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</row>
    <row r="256" spans="1:21" ht="18" x14ac:dyDescent="0.3">
      <c r="A256" s="26"/>
      <c r="B256" s="29"/>
      <c r="C256" s="21"/>
      <c r="D256" s="32"/>
      <c r="E256" s="22"/>
      <c r="F256" s="22"/>
      <c r="G256" s="23"/>
      <c r="H256" s="17"/>
      <c r="I256" s="24"/>
      <c r="J256" s="25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</row>
    <row r="257" spans="1:21" ht="18" x14ac:dyDescent="0.3">
      <c r="A257" s="26" t="s">
        <v>283</v>
      </c>
      <c r="B257" s="31" t="s">
        <v>284</v>
      </c>
      <c r="C257" s="21"/>
      <c r="D257" s="32"/>
      <c r="E257" s="22"/>
      <c r="F257" s="22"/>
      <c r="G257" s="23"/>
      <c r="H257" s="17"/>
      <c r="I257" s="24"/>
      <c r="J257" s="18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</row>
    <row r="258" spans="1:21" ht="265.2" x14ac:dyDescent="0.3">
      <c r="A258" s="26"/>
      <c r="B258" s="27" t="s">
        <v>285</v>
      </c>
      <c r="C258" s="21"/>
      <c r="D258" s="32"/>
      <c r="E258" s="22"/>
      <c r="F258" s="22"/>
      <c r="G258" s="23"/>
      <c r="H258" s="17"/>
      <c r="I258" s="24"/>
      <c r="J258" s="18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</row>
    <row r="259" spans="1:21" ht="18" x14ac:dyDescent="0.3">
      <c r="A259" s="26"/>
      <c r="B259" s="27"/>
      <c r="C259" s="21"/>
      <c r="D259" s="32"/>
      <c r="E259" s="22"/>
      <c r="F259" s="22"/>
      <c r="G259" s="23"/>
      <c r="H259" s="17"/>
      <c r="I259" s="24"/>
      <c r="J259" s="25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</row>
    <row r="260" spans="1:21" ht="18" x14ac:dyDescent="0.3">
      <c r="A260" s="26" t="s">
        <v>286</v>
      </c>
      <c r="B260" s="29" t="s">
        <v>287</v>
      </c>
      <c r="C260" s="21" t="s">
        <v>8</v>
      </c>
      <c r="D260" s="32">
        <v>1</v>
      </c>
      <c r="E260" s="22">
        <v>3038.2</v>
      </c>
      <c r="F260" s="22">
        <f>E260*(1+C$289)</f>
        <v>3780.4322599999996</v>
      </c>
      <c r="G260" s="23">
        <f>D260*F260</f>
        <v>3780.4322599999996</v>
      </c>
      <c r="H260" s="173" t="s">
        <v>335</v>
      </c>
      <c r="I260" s="174"/>
      <c r="J260" s="174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</row>
    <row r="261" spans="1:21" ht="18" x14ac:dyDescent="0.3">
      <c r="A261" s="26"/>
      <c r="B261" s="29"/>
      <c r="C261" s="21"/>
      <c r="D261" s="32"/>
      <c r="E261" s="22"/>
      <c r="F261" s="22"/>
      <c r="G261" s="23"/>
      <c r="H261" s="40"/>
      <c r="I261" s="24"/>
      <c r="J261" s="18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</row>
    <row r="262" spans="1:21" ht="46.8" x14ac:dyDescent="0.3">
      <c r="A262" s="26" t="s">
        <v>288</v>
      </c>
      <c r="B262" s="29" t="s">
        <v>289</v>
      </c>
      <c r="C262" s="21" t="s">
        <v>8</v>
      </c>
      <c r="D262" s="32">
        <v>1</v>
      </c>
      <c r="E262" s="22">
        <v>750</v>
      </c>
      <c r="F262" s="22">
        <f>E262*(1+C$289)</f>
        <v>933.22500000000002</v>
      </c>
      <c r="G262" s="23">
        <f>D262*F262</f>
        <v>933.22500000000002</v>
      </c>
      <c r="H262" s="173" t="s">
        <v>335</v>
      </c>
      <c r="I262" s="174"/>
      <c r="J262" s="174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</row>
    <row r="263" spans="1:21" ht="18" x14ac:dyDescent="0.3">
      <c r="A263" s="26"/>
      <c r="B263" s="29"/>
      <c r="C263" s="21"/>
      <c r="D263" s="32"/>
      <c r="E263" s="22"/>
      <c r="F263" s="22"/>
      <c r="G263" s="23"/>
      <c r="H263" s="40"/>
      <c r="I263" s="24"/>
      <c r="J263" s="18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</row>
    <row r="264" spans="1:21" ht="18" x14ac:dyDescent="0.3">
      <c r="A264" s="26"/>
      <c r="B264" s="29"/>
      <c r="C264" s="186" t="s">
        <v>23</v>
      </c>
      <c r="D264" s="159"/>
      <c r="E264" s="160"/>
      <c r="F264" s="34"/>
      <c r="G264" s="35">
        <f>SUM(G250:G263)</f>
        <v>4988.4111429999994</v>
      </c>
      <c r="H264" s="17"/>
      <c r="I264" s="24"/>
      <c r="J264" s="18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</row>
    <row r="265" spans="1:21" ht="18" x14ac:dyDescent="0.3">
      <c r="A265" s="12" t="s">
        <v>290</v>
      </c>
      <c r="B265" s="13" t="s">
        <v>291</v>
      </c>
      <c r="C265" s="14"/>
      <c r="D265" s="36"/>
      <c r="E265" s="15"/>
      <c r="F265" s="22"/>
      <c r="G265" s="23"/>
      <c r="H265" s="17"/>
      <c r="I265" s="24"/>
      <c r="J265" s="18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</row>
    <row r="266" spans="1:21" ht="18" x14ac:dyDescent="0.3">
      <c r="A266" s="20" t="s">
        <v>292</v>
      </c>
      <c r="B266" s="56" t="s">
        <v>293</v>
      </c>
      <c r="C266" s="21"/>
      <c r="D266" s="32"/>
      <c r="E266" s="22"/>
      <c r="F266" s="22"/>
      <c r="G266" s="23"/>
      <c r="H266" s="17"/>
      <c r="I266" s="24"/>
      <c r="J266" s="18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</row>
    <row r="267" spans="1:21" ht="18" x14ac:dyDescent="0.3">
      <c r="A267" s="26" t="s">
        <v>294</v>
      </c>
      <c r="B267" s="29" t="s">
        <v>295</v>
      </c>
      <c r="C267" s="21" t="s">
        <v>22</v>
      </c>
      <c r="D267" s="32">
        <v>302.68</v>
      </c>
      <c r="E267" s="22">
        <v>7.58</v>
      </c>
      <c r="F267" s="22">
        <f>E267*(1+C$289)</f>
        <v>9.431794</v>
      </c>
      <c r="G267" s="23">
        <f>D267*F267</f>
        <v>2854.8154079199999</v>
      </c>
      <c r="H267" s="17"/>
      <c r="I267" s="24"/>
      <c r="J267" s="25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</row>
    <row r="268" spans="1:21" ht="109.2" x14ac:dyDescent="0.3">
      <c r="A268" s="26"/>
      <c r="B268" s="27" t="s">
        <v>296</v>
      </c>
      <c r="C268" s="21"/>
      <c r="D268" s="32"/>
      <c r="E268" s="22"/>
      <c r="F268" s="22"/>
      <c r="G268" s="23"/>
      <c r="H268" s="171" t="s">
        <v>340</v>
      </c>
      <c r="I268" s="172"/>
      <c r="J268" s="172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</row>
    <row r="269" spans="1:21" ht="18" x14ac:dyDescent="0.3">
      <c r="A269" s="26"/>
      <c r="B269" s="141"/>
      <c r="C269" s="146"/>
      <c r="D269" s="147"/>
      <c r="E269" s="142"/>
      <c r="F269" s="142"/>
      <c r="G269" s="143"/>
      <c r="H269" s="137"/>
      <c r="I269" s="137"/>
      <c r="J269" s="137"/>
      <c r="K269" s="145"/>
      <c r="L269" s="145"/>
      <c r="M269" s="145"/>
      <c r="N269" s="145"/>
      <c r="O269" s="145"/>
      <c r="P269" s="145"/>
      <c r="Q269" s="145"/>
      <c r="R269" s="145"/>
      <c r="S269" s="145"/>
      <c r="T269" s="145"/>
      <c r="U269" s="145"/>
    </row>
    <row r="270" spans="1:21" ht="42" x14ac:dyDescent="0.3">
      <c r="A270" s="26"/>
      <c r="B270" s="149" t="s">
        <v>341</v>
      </c>
      <c r="C270" s="21"/>
      <c r="D270" s="32"/>
      <c r="E270" s="22"/>
      <c r="F270" s="22"/>
      <c r="G270" s="23"/>
      <c r="H270" s="17"/>
      <c r="I270" s="24"/>
      <c r="J270" s="18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</row>
    <row r="271" spans="1:21" ht="18" x14ac:dyDescent="0.3">
      <c r="A271" s="75"/>
      <c r="B271" s="76"/>
      <c r="C271" s="186" t="s">
        <v>23</v>
      </c>
      <c r="D271" s="159"/>
      <c r="E271" s="160"/>
      <c r="F271" s="34"/>
      <c r="G271" s="35">
        <f>SUM(G266:G270)</f>
        <v>2854.8154079199999</v>
      </c>
      <c r="H271" s="17"/>
      <c r="I271" s="24"/>
      <c r="J271" s="18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</row>
    <row r="272" spans="1:21" ht="18" x14ac:dyDescent="0.3">
      <c r="A272" s="12" t="s">
        <v>297</v>
      </c>
      <c r="B272" s="13" t="s">
        <v>298</v>
      </c>
      <c r="C272" s="14"/>
      <c r="D272" s="36"/>
      <c r="E272" s="15"/>
      <c r="F272" s="22"/>
      <c r="G272" s="23"/>
      <c r="H272" s="17"/>
      <c r="I272" s="24"/>
      <c r="J272" s="18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</row>
    <row r="273" spans="1:21" ht="18" x14ac:dyDescent="0.3">
      <c r="A273" s="26" t="s">
        <v>299</v>
      </c>
      <c r="B273" s="31" t="s">
        <v>300</v>
      </c>
      <c r="C273" s="21"/>
      <c r="D273" s="32"/>
      <c r="E273" s="22"/>
      <c r="F273" s="22"/>
      <c r="G273" s="23"/>
      <c r="H273" s="17"/>
      <c r="I273" s="24"/>
      <c r="J273" s="25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</row>
    <row r="274" spans="1:21" ht="409.2" customHeight="1" x14ac:dyDescent="0.3">
      <c r="A274" s="26"/>
      <c r="B274" s="27" t="s">
        <v>301</v>
      </c>
      <c r="C274" s="21"/>
      <c r="D274" s="32"/>
      <c r="E274" s="22"/>
      <c r="F274" s="22"/>
      <c r="G274" s="23"/>
      <c r="H274" s="17"/>
      <c r="I274" s="24"/>
      <c r="J274" s="25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</row>
    <row r="275" spans="1:21" ht="18" x14ac:dyDescent="0.3">
      <c r="A275" s="26"/>
      <c r="B275" s="27"/>
      <c r="C275" s="21"/>
      <c r="D275" s="32"/>
      <c r="E275" s="22"/>
      <c r="F275" s="22"/>
      <c r="G275" s="23"/>
      <c r="H275" s="17"/>
      <c r="I275" s="24"/>
      <c r="J275" s="18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</row>
    <row r="276" spans="1:21" ht="31.2" x14ac:dyDescent="0.3">
      <c r="A276" s="26" t="s">
        <v>302</v>
      </c>
      <c r="B276" s="49" t="s">
        <v>303</v>
      </c>
      <c r="C276" s="21" t="s">
        <v>8</v>
      </c>
      <c r="D276" s="32">
        <v>1</v>
      </c>
      <c r="E276" s="22">
        <v>2518.23</v>
      </c>
      <c r="F276" s="22">
        <f>E276*(1+C$288)</f>
        <v>3255.0640979999998</v>
      </c>
      <c r="G276" s="23">
        <f>D276*F276</f>
        <v>3255.0640979999998</v>
      </c>
      <c r="H276" s="175" t="s">
        <v>342</v>
      </c>
      <c r="I276" s="172"/>
      <c r="J276" s="172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</row>
    <row r="277" spans="1:21" ht="18" x14ac:dyDescent="0.3">
      <c r="A277" s="26"/>
      <c r="B277" s="30"/>
      <c r="C277" s="21"/>
      <c r="D277" s="32"/>
      <c r="E277" s="22"/>
      <c r="F277" s="22"/>
      <c r="G277" s="23"/>
      <c r="H277" s="17"/>
      <c r="I277" s="24"/>
      <c r="J277" s="18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</row>
    <row r="278" spans="1:21" ht="18" x14ac:dyDescent="0.3">
      <c r="A278" s="75"/>
      <c r="B278" s="76"/>
      <c r="C278" s="186" t="s">
        <v>23</v>
      </c>
      <c r="D278" s="159"/>
      <c r="E278" s="160"/>
      <c r="F278" s="77"/>
      <c r="G278" s="35">
        <f>SUM(G272:G277)</f>
        <v>3255.0640979999998</v>
      </c>
      <c r="H278" s="17"/>
      <c r="I278" s="24"/>
      <c r="J278" s="18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</row>
    <row r="279" spans="1:21" ht="18" x14ac:dyDescent="0.3">
      <c r="A279" s="12" t="s">
        <v>304</v>
      </c>
      <c r="B279" s="13" t="s">
        <v>305</v>
      </c>
      <c r="C279" s="21"/>
      <c r="D279" s="32"/>
      <c r="E279" s="22"/>
      <c r="F279" s="22"/>
      <c r="G279" s="23"/>
      <c r="H279" s="17"/>
      <c r="I279" s="24"/>
      <c r="J279" s="18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</row>
    <row r="280" spans="1:21" ht="78" x14ac:dyDescent="0.3">
      <c r="A280" s="26" t="s">
        <v>306</v>
      </c>
      <c r="B280" s="29" t="s">
        <v>428</v>
      </c>
      <c r="C280" s="150" t="s">
        <v>22</v>
      </c>
      <c r="D280" s="32">
        <f>(3.56+1.25)*2.8</f>
        <v>13.468</v>
      </c>
      <c r="E280" s="22">
        <v>113.82</v>
      </c>
      <c r="F280" s="22">
        <f>E280*(1+C$288)</f>
        <v>147.12373199999999</v>
      </c>
      <c r="G280" s="23">
        <f>D280*E280</f>
        <v>1532.9277599999998</v>
      </c>
      <c r="H280" s="171" t="s">
        <v>356</v>
      </c>
      <c r="I280" s="172"/>
      <c r="J280" s="172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</row>
    <row r="281" spans="1:21" ht="18" x14ac:dyDescent="0.3">
      <c r="A281" s="26"/>
      <c r="B281" s="78"/>
      <c r="C281" s="21"/>
      <c r="D281" s="32"/>
      <c r="E281" s="22"/>
      <c r="F281" s="22"/>
      <c r="G281" s="23"/>
      <c r="H281" s="17"/>
      <c r="I281" s="24"/>
      <c r="J281" s="18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</row>
    <row r="282" spans="1:21" ht="83.4" customHeight="1" x14ac:dyDescent="0.3">
      <c r="A282" s="26" t="s">
        <v>307</v>
      </c>
      <c r="B282" s="29" t="s">
        <v>425</v>
      </c>
      <c r="C282" s="150" t="s">
        <v>22</v>
      </c>
      <c r="D282" s="32">
        <f>2.46*2.8</f>
        <v>6.8879999999999999</v>
      </c>
      <c r="E282" s="22">
        <v>93.26</v>
      </c>
      <c r="F282" s="22">
        <f>E282*(1+C$288)</f>
        <v>120.547876</v>
      </c>
      <c r="G282" s="23">
        <f>D282*E282</f>
        <v>642.37488000000008</v>
      </c>
      <c r="H282" s="171" t="s">
        <v>357</v>
      </c>
      <c r="I282" s="172"/>
      <c r="J282" s="172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</row>
    <row r="283" spans="1:21" ht="18" x14ac:dyDescent="0.3">
      <c r="A283" s="26"/>
      <c r="B283" s="30"/>
      <c r="C283" s="21"/>
      <c r="D283" s="32"/>
      <c r="E283" s="22"/>
      <c r="F283" s="22"/>
      <c r="G283" s="23"/>
      <c r="H283" s="17"/>
      <c r="I283" s="24"/>
      <c r="J283" s="18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</row>
    <row r="284" spans="1:21" ht="93.6" x14ac:dyDescent="0.3">
      <c r="A284" s="26" t="s">
        <v>308</v>
      </c>
      <c r="B284" s="140" t="s">
        <v>429</v>
      </c>
      <c r="C284" s="150" t="s">
        <v>22</v>
      </c>
      <c r="D284" s="32">
        <f>3*1.2</f>
        <v>3.5999999999999996</v>
      </c>
      <c r="E284" s="22">
        <v>505.25</v>
      </c>
      <c r="F284" s="22">
        <f>E284*(1+C$288)</f>
        <v>653.08614999999998</v>
      </c>
      <c r="G284" s="23">
        <f>D284*E284</f>
        <v>1818.8999999999999</v>
      </c>
      <c r="H284" s="171" t="s">
        <v>427</v>
      </c>
      <c r="I284" s="172"/>
      <c r="J284" s="172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</row>
    <row r="285" spans="1:21" ht="18" x14ac:dyDescent="0.3">
      <c r="A285" s="26"/>
      <c r="B285" s="30"/>
      <c r="C285" s="21"/>
      <c r="D285" s="32"/>
      <c r="E285" s="22"/>
      <c r="F285" s="22"/>
      <c r="G285" s="23"/>
      <c r="H285" s="17"/>
      <c r="I285" s="24"/>
      <c r="J285" s="18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</row>
    <row r="286" spans="1:21" ht="18" x14ac:dyDescent="0.3">
      <c r="A286" s="79"/>
      <c r="B286" s="76"/>
      <c r="C286" s="186" t="s">
        <v>23</v>
      </c>
      <c r="D286" s="159"/>
      <c r="E286" s="160"/>
      <c r="F286" s="80"/>
      <c r="G286" s="81">
        <f>SUM(G279:G285)</f>
        <v>3994.2026399999995</v>
      </c>
      <c r="H286" s="17"/>
      <c r="I286" s="24"/>
      <c r="J286" s="74"/>
      <c r="K286" s="11"/>
      <c r="M286" s="11"/>
      <c r="N286" s="11"/>
      <c r="O286" s="11"/>
      <c r="P286" s="11"/>
      <c r="Q286" s="11"/>
      <c r="R286" s="11"/>
      <c r="S286" s="11"/>
      <c r="T286" s="11"/>
      <c r="U286" s="11"/>
    </row>
    <row r="287" spans="1:21" ht="18" x14ac:dyDescent="0.3">
      <c r="A287" s="82"/>
      <c r="B287" s="83"/>
      <c r="C287" s="218" t="s">
        <v>309</v>
      </c>
      <c r="D287" s="159"/>
      <c r="E287" s="160"/>
      <c r="F287" s="80"/>
      <c r="G287" s="35">
        <f>+G286+G278+G271+G264+G248+G238+G226+G220+G204+G195+G189+G169+G158+G144+G126+G80+G52+G48+G9</f>
        <v>441218.22696049488</v>
      </c>
      <c r="H287" s="17"/>
      <c r="I287" s="84"/>
      <c r="J287" s="85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</row>
    <row r="288" spans="1:21" ht="18" x14ac:dyDescent="0.3">
      <c r="A288" s="82"/>
      <c r="B288" s="86"/>
      <c r="C288" s="87">
        <f>IF(+D3=2%,29.26%,IF(D3=3%,29.26%,IF(D3=4%,29.26%,IF(D3=5%,29.26%,0))))</f>
        <v>0.29260000000000003</v>
      </c>
      <c r="D288" s="219" t="s">
        <v>310</v>
      </c>
      <c r="E288" s="184"/>
      <c r="F288" s="80"/>
      <c r="G288" s="88"/>
      <c r="H288" s="89"/>
      <c r="I288" s="84"/>
      <c r="J288" s="85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</row>
    <row r="289" spans="1:21" ht="18" x14ac:dyDescent="0.3">
      <c r="A289" s="82"/>
      <c r="B289" s="86"/>
      <c r="C289" s="87">
        <f>IF(+D3=2%,22.47%,IF(D3=3%,23.12%,IF(D3=4%,23.77%,IF(D3=5%,24.43%,0))))</f>
        <v>0.24429999999999999</v>
      </c>
      <c r="D289" s="218" t="s">
        <v>311</v>
      </c>
      <c r="E289" s="184"/>
      <c r="F289" s="80"/>
      <c r="G289" s="90"/>
      <c r="H289" s="89"/>
      <c r="I289" s="84"/>
      <c r="J289" s="85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</row>
    <row r="290" spans="1:21" ht="18" x14ac:dyDescent="0.3">
      <c r="A290" s="82"/>
      <c r="B290" s="86"/>
      <c r="C290" s="218" t="s">
        <v>312</v>
      </c>
      <c r="D290" s="159"/>
      <c r="E290" s="160"/>
      <c r="F290" s="91"/>
      <c r="G290" s="35">
        <f>SUM(G287:G289)</f>
        <v>441218.22696049488</v>
      </c>
      <c r="H290" s="92"/>
      <c r="I290" s="84"/>
      <c r="J290" s="85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</row>
    <row r="291" spans="1:21" ht="46.2" customHeight="1" x14ac:dyDescent="0.3">
      <c r="A291" s="220" t="s">
        <v>313</v>
      </c>
      <c r="B291" s="215"/>
      <c r="C291" s="215"/>
      <c r="D291" s="215"/>
      <c r="E291" s="215"/>
      <c r="F291" s="215"/>
      <c r="G291" s="215"/>
      <c r="H291" s="216"/>
      <c r="I291" s="93" t="s">
        <v>314</v>
      </c>
      <c r="J291" s="94" t="s">
        <v>315</v>
      </c>
      <c r="K291" s="196"/>
      <c r="L291" s="197"/>
      <c r="M291" s="197"/>
      <c r="N291" s="197"/>
      <c r="O291" s="197"/>
      <c r="P291" s="197"/>
      <c r="Q291" s="197"/>
      <c r="R291" s="198"/>
      <c r="S291" s="2"/>
      <c r="T291" s="2"/>
      <c r="U291" s="2"/>
    </row>
    <row r="292" spans="1:21" ht="44.4" customHeight="1" x14ac:dyDescent="0.3">
      <c r="A292" s="214" t="s">
        <v>411</v>
      </c>
      <c r="B292" s="215"/>
      <c r="C292" s="215"/>
      <c r="D292" s="216"/>
      <c r="E292" s="217" t="s">
        <v>410</v>
      </c>
      <c r="F292" s="215"/>
      <c r="G292" s="216"/>
      <c r="H292" s="95"/>
      <c r="I292" s="96" t="s">
        <v>316</v>
      </c>
      <c r="J292" s="97">
        <v>46155</v>
      </c>
      <c r="K292" s="98"/>
      <c r="L292" s="99"/>
      <c r="M292" s="99"/>
      <c r="N292" s="99"/>
      <c r="O292" s="99"/>
      <c r="P292" s="99"/>
      <c r="Q292" s="99"/>
      <c r="R292" s="99"/>
      <c r="S292" s="99"/>
      <c r="T292" s="99"/>
      <c r="U292" s="99"/>
    </row>
    <row r="293" spans="1:21" ht="40.799999999999997" customHeight="1" x14ac:dyDescent="0.3">
      <c r="A293" s="214" t="s">
        <v>412</v>
      </c>
      <c r="B293" s="215"/>
      <c r="C293" s="215"/>
      <c r="D293" s="216"/>
      <c r="E293" s="100"/>
      <c r="F293" s="100"/>
      <c r="G293" s="100"/>
      <c r="H293" s="101"/>
      <c r="I293" s="102"/>
      <c r="J293" s="103"/>
      <c r="K293" s="98"/>
      <c r="L293" s="99"/>
      <c r="M293" s="99"/>
      <c r="N293" s="99"/>
      <c r="O293" s="99"/>
      <c r="P293" s="99"/>
      <c r="Q293" s="99"/>
      <c r="R293" s="99"/>
      <c r="S293" s="99"/>
      <c r="T293" s="99"/>
      <c r="U293" s="99"/>
    </row>
    <row r="294" spans="1:21" ht="17.399999999999999" x14ac:dyDescent="0.3">
      <c r="A294" s="104"/>
      <c r="B294" s="105"/>
      <c r="C294" s="106"/>
      <c r="D294" s="107"/>
      <c r="E294" s="108"/>
      <c r="F294" s="108"/>
      <c r="G294" s="107"/>
      <c r="H294" s="109"/>
      <c r="I294" s="110"/>
      <c r="J294" s="111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</row>
    <row r="295" spans="1:21" ht="17.399999999999999" x14ac:dyDescent="0.3">
      <c r="A295" s="104"/>
      <c r="B295" s="105"/>
      <c r="C295" s="106"/>
      <c r="D295" s="107"/>
      <c r="E295" s="108"/>
      <c r="F295" s="108"/>
      <c r="G295" s="107"/>
      <c r="H295" s="109"/>
      <c r="I295" s="110"/>
      <c r="J295" s="111"/>
      <c r="K295" s="112"/>
      <c r="L295" s="112"/>
      <c r="M295" s="112"/>
      <c r="N295" s="112"/>
      <c r="O295" s="112"/>
      <c r="P295" s="112"/>
      <c r="Q295" s="112"/>
      <c r="R295" s="112"/>
      <c r="S295" s="112"/>
      <c r="T295" s="112"/>
      <c r="U295" s="112"/>
    </row>
    <row r="296" spans="1:21" ht="17.399999999999999" x14ac:dyDescent="0.3">
      <c r="A296" s="104"/>
      <c r="B296" s="105"/>
      <c r="C296" s="106"/>
      <c r="D296" s="107"/>
      <c r="E296" s="108"/>
      <c r="F296" s="108"/>
      <c r="G296" s="107"/>
      <c r="H296" s="109"/>
      <c r="I296" s="110"/>
      <c r="J296" s="111"/>
      <c r="K296" s="112"/>
      <c r="L296" s="112"/>
      <c r="M296" s="112"/>
      <c r="N296" s="112"/>
      <c r="O296" s="112"/>
      <c r="P296" s="112"/>
      <c r="Q296" s="112"/>
      <c r="R296" s="112"/>
      <c r="S296" s="112"/>
      <c r="T296" s="112"/>
      <c r="U296" s="112"/>
    </row>
    <row r="297" spans="1:21" ht="17.399999999999999" x14ac:dyDescent="0.3">
      <c r="A297" s="104"/>
      <c r="B297" s="105"/>
      <c r="C297" s="106"/>
      <c r="D297" s="107"/>
      <c r="E297" s="108"/>
      <c r="F297" s="108"/>
      <c r="G297" s="107"/>
      <c r="H297" s="109"/>
      <c r="I297" s="110"/>
      <c r="J297" s="111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</row>
    <row r="298" spans="1:21" ht="17.399999999999999" x14ac:dyDescent="0.3">
      <c r="A298" s="104"/>
      <c r="B298" s="105"/>
      <c r="C298" s="106"/>
      <c r="D298" s="107"/>
      <c r="E298" s="108"/>
      <c r="F298" s="108"/>
      <c r="G298" s="107"/>
      <c r="H298" s="109"/>
      <c r="I298" s="110"/>
      <c r="J298" s="111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</row>
    <row r="299" spans="1:21" ht="17.399999999999999" x14ac:dyDescent="0.3">
      <c r="A299" s="104"/>
      <c r="B299" s="113"/>
      <c r="C299" s="106"/>
      <c r="D299" s="107"/>
      <c r="E299" s="108"/>
      <c r="F299" s="108"/>
      <c r="G299" s="107"/>
      <c r="H299" s="109"/>
      <c r="I299" s="110"/>
      <c r="J299" s="111"/>
      <c r="K299" s="112"/>
      <c r="L299" s="112"/>
      <c r="M299" s="112"/>
      <c r="N299" s="112"/>
      <c r="O299" s="112"/>
      <c r="P299" s="112"/>
      <c r="Q299" s="112"/>
      <c r="R299" s="112"/>
      <c r="S299" s="112"/>
      <c r="T299" s="112"/>
      <c r="U299" s="112"/>
    </row>
    <row r="300" spans="1:21" ht="17.399999999999999" x14ac:dyDescent="0.3">
      <c r="A300" s="104"/>
      <c r="B300" s="113"/>
      <c r="C300" s="106"/>
      <c r="D300" s="107"/>
      <c r="E300" s="108"/>
      <c r="F300" s="108"/>
      <c r="G300" s="107"/>
      <c r="H300" s="109"/>
      <c r="I300" s="110"/>
      <c r="J300" s="111"/>
      <c r="K300" s="112"/>
      <c r="L300" s="112"/>
      <c r="M300" s="112"/>
      <c r="N300" s="112"/>
      <c r="O300" s="112"/>
      <c r="P300" s="112"/>
      <c r="Q300" s="112"/>
      <c r="R300" s="112"/>
      <c r="S300" s="112"/>
      <c r="T300" s="112"/>
      <c r="U300" s="112"/>
    </row>
    <row r="301" spans="1:21" ht="17.399999999999999" x14ac:dyDescent="0.3">
      <c r="A301" s="104"/>
      <c r="B301" s="113"/>
      <c r="C301" s="106"/>
      <c r="D301" s="107"/>
      <c r="E301" s="108"/>
      <c r="F301" s="108"/>
      <c r="G301" s="107"/>
      <c r="H301" s="109"/>
      <c r="I301" s="110"/>
      <c r="J301" s="111"/>
      <c r="K301" s="112"/>
      <c r="L301" s="112"/>
      <c r="M301" s="112"/>
      <c r="N301" s="112"/>
      <c r="O301" s="112"/>
      <c r="P301" s="112"/>
      <c r="Q301" s="112"/>
      <c r="R301" s="112"/>
      <c r="S301" s="112"/>
      <c r="T301" s="112"/>
      <c r="U301" s="112"/>
    </row>
    <row r="302" spans="1:21" ht="17.399999999999999" x14ac:dyDescent="0.3">
      <c r="A302" s="104"/>
      <c r="B302" s="113"/>
      <c r="C302" s="106"/>
      <c r="D302" s="107"/>
      <c r="E302" s="108"/>
      <c r="F302" s="108"/>
      <c r="G302" s="107"/>
      <c r="H302" s="109"/>
      <c r="I302" s="110"/>
      <c r="J302" s="111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</row>
    <row r="303" spans="1:21" ht="17.399999999999999" x14ac:dyDescent="0.3">
      <c r="A303" s="104"/>
      <c r="B303" s="113"/>
      <c r="C303" s="106"/>
      <c r="D303" s="107"/>
      <c r="E303" s="108"/>
      <c r="F303" s="108"/>
      <c r="G303" s="107"/>
      <c r="H303" s="109"/>
      <c r="I303" s="110"/>
      <c r="J303" s="111"/>
      <c r="K303" s="112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</row>
    <row r="304" spans="1:21" ht="17.399999999999999" x14ac:dyDescent="0.3">
      <c r="A304" s="104"/>
      <c r="B304" s="113"/>
      <c r="C304" s="106"/>
      <c r="D304" s="107"/>
      <c r="E304" s="108"/>
      <c r="F304" s="108"/>
      <c r="G304" s="107"/>
      <c r="H304" s="109"/>
      <c r="I304" s="110"/>
      <c r="J304" s="111"/>
      <c r="K304" s="112"/>
      <c r="L304" s="112"/>
      <c r="M304" s="112"/>
      <c r="N304" s="112"/>
      <c r="O304" s="112"/>
      <c r="P304" s="112"/>
      <c r="Q304" s="112"/>
      <c r="R304" s="112"/>
      <c r="S304" s="112"/>
      <c r="T304" s="112"/>
      <c r="U304" s="112"/>
    </row>
    <row r="305" spans="1:21" ht="17.399999999999999" x14ac:dyDescent="0.3">
      <c r="A305" s="104"/>
      <c r="B305" s="113"/>
      <c r="C305" s="106"/>
      <c r="D305" s="107"/>
      <c r="E305" s="108"/>
      <c r="F305" s="108"/>
      <c r="G305" s="107"/>
      <c r="H305" s="109"/>
      <c r="I305" s="110"/>
      <c r="J305" s="111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</row>
    <row r="306" spans="1:21" ht="17.399999999999999" x14ac:dyDescent="0.3">
      <c r="A306" s="104"/>
      <c r="B306" s="113"/>
      <c r="C306" s="106"/>
      <c r="D306" s="107"/>
      <c r="E306" s="108"/>
      <c r="F306" s="108"/>
      <c r="G306" s="107"/>
      <c r="H306" s="109"/>
      <c r="I306" s="110"/>
      <c r="J306" s="111"/>
      <c r="K306" s="112"/>
      <c r="L306" s="112"/>
      <c r="M306" s="112"/>
      <c r="N306" s="112"/>
      <c r="O306" s="112"/>
      <c r="P306" s="112"/>
      <c r="Q306" s="112"/>
      <c r="R306" s="112"/>
      <c r="S306" s="112"/>
      <c r="T306" s="112"/>
      <c r="U306" s="112"/>
    </row>
    <row r="307" spans="1:21" ht="17.399999999999999" x14ac:dyDescent="0.3">
      <c r="A307" s="104"/>
      <c r="B307" s="113"/>
      <c r="C307" s="106"/>
      <c r="D307" s="107"/>
      <c r="E307" s="108"/>
      <c r="F307" s="108"/>
      <c r="G307" s="107"/>
      <c r="H307" s="109"/>
      <c r="I307" s="110"/>
      <c r="J307" s="111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</row>
    <row r="308" spans="1:21" ht="17.399999999999999" x14ac:dyDescent="0.3">
      <c r="A308" s="104"/>
      <c r="B308" s="113"/>
      <c r="C308" s="106"/>
      <c r="D308" s="107"/>
      <c r="E308" s="108"/>
      <c r="F308" s="108"/>
      <c r="G308" s="107"/>
      <c r="H308" s="109"/>
      <c r="I308" s="110"/>
      <c r="J308" s="111"/>
      <c r="K308" s="112"/>
      <c r="L308" s="112"/>
      <c r="M308" s="112"/>
      <c r="N308" s="112"/>
      <c r="O308" s="112"/>
      <c r="P308" s="112"/>
      <c r="Q308" s="112"/>
      <c r="R308" s="112"/>
      <c r="S308" s="112"/>
      <c r="T308" s="112"/>
      <c r="U308" s="112"/>
    </row>
    <row r="309" spans="1:21" ht="17.399999999999999" x14ac:dyDescent="0.3">
      <c r="A309" s="104"/>
      <c r="B309" s="113"/>
      <c r="C309" s="106"/>
      <c r="D309" s="107"/>
      <c r="E309" s="108"/>
      <c r="F309" s="108"/>
      <c r="G309" s="107"/>
      <c r="H309" s="109"/>
      <c r="I309" s="110"/>
      <c r="J309" s="111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</row>
    <row r="310" spans="1:21" ht="17.399999999999999" x14ac:dyDescent="0.3">
      <c r="A310" s="104"/>
      <c r="B310" s="113"/>
      <c r="C310" s="106"/>
      <c r="D310" s="107"/>
      <c r="E310" s="108"/>
      <c r="F310" s="108"/>
      <c r="G310" s="107"/>
      <c r="H310" s="109"/>
      <c r="I310" s="110"/>
      <c r="J310" s="111"/>
      <c r="K310" s="112"/>
      <c r="L310" s="112"/>
      <c r="M310" s="112"/>
      <c r="N310" s="112"/>
      <c r="O310" s="112"/>
      <c r="P310" s="112"/>
      <c r="Q310" s="112"/>
      <c r="R310" s="112"/>
      <c r="S310" s="112"/>
      <c r="T310" s="112"/>
      <c r="U310" s="112"/>
    </row>
    <row r="311" spans="1:21" ht="17.399999999999999" x14ac:dyDescent="0.3">
      <c r="A311" s="104"/>
      <c r="B311" s="113"/>
      <c r="C311" s="106"/>
      <c r="D311" s="107"/>
      <c r="E311" s="108"/>
      <c r="F311" s="108"/>
      <c r="G311" s="107"/>
      <c r="H311" s="109"/>
      <c r="I311" s="110"/>
      <c r="J311" s="111"/>
      <c r="K311" s="112"/>
      <c r="L311" s="112"/>
      <c r="M311" s="112"/>
      <c r="N311" s="112"/>
      <c r="O311" s="112"/>
      <c r="P311" s="112"/>
      <c r="Q311" s="112"/>
      <c r="R311" s="112"/>
      <c r="S311" s="112"/>
      <c r="T311" s="112"/>
      <c r="U311" s="112"/>
    </row>
    <row r="312" spans="1:21" ht="17.399999999999999" x14ac:dyDescent="0.3">
      <c r="A312" s="104"/>
      <c r="B312" s="113"/>
      <c r="C312" s="106"/>
      <c r="D312" s="107"/>
      <c r="E312" s="108"/>
      <c r="F312" s="108"/>
      <c r="G312" s="107"/>
      <c r="H312" s="109"/>
      <c r="I312" s="110"/>
      <c r="J312" s="111"/>
      <c r="K312" s="112"/>
      <c r="L312" s="112"/>
      <c r="M312" s="112"/>
      <c r="N312" s="112"/>
      <c r="O312" s="112"/>
      <c r="P312" s="112"/>
      <c r="Q312" s="112"/>
      <c r="R312" s="112"/>
      <c r="S312" s="112"/>
      <c r="T312" s="112"/>
      <c r="U312" s="112"/>
    </row>
    <row r="313" spans="1:21" ht="17.399999999999999" x14ac:dyDescent="0.3">
      <c r="A313" s="104"/>
      <c r="B313" s="113"/>
      <c r="C313" s="106"/>
      <c r="D313" s="107"/>
      <c r="E313" s="108"/>
      <c r="F313" s="108"/>
      <c r="G313" s="107"/>
      <c r="H313" s="109"/>
      <c r="I313" s="110"/>
      <c r="J313" s="111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</row>
    <row r="314" spans="1:21" ht="17.399999999999999" x14ac:dyDescent="0.3">
      <c r="A314" s="104"/>
      <c r="B314" s="113"/>
      <c r="C314" s="106"/>
      <c r="D314" s="107"/>
      <c r="E314" s="108"/>
      <c r="F314" s="108"/>
      <c r="G314" s="107"/>
      <c r="H314" s="109"/>
      <c r="I314" s="110"/>
      <c r="J314" s="111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</row>
    <row r="315" spans="1:21" ht="17.399999999999999" x14ac:dyDescent="0.3">
      <c r="A315" s="104"/>
      <c r="B315" s="113"/>
      <c r="C315" s="106"/>
      <c r="D315" s="107"/>
      <c r="E315" s="108"/>
      <c r="F315" s="108"/>
      <c r="G315" s="107"/>
      <c r="H315" s="109"/>
      <c r="I315" s="110"/>
      <c r="J315" s="111"/>
      <c r="K315" s="112"/>
      <c r="L315" s="112"/>
      <c r="M315" s="112"/>
      <c r="N315" s="112"/>
      <c r="O315" s="112"/>
      <c r="P315" s="112"/>
      <c r="Q315" s="112"/>
      <c r="R315" s="112"/>
      <c r="S315" s="112"/>
      <c r="T315" s="112"/>
      <c r="U315" s="112"/>
    </row>
    <row r="316" spans="1:21" ht="17.399999999999999" x14ac:dyDescent="0.3">
      <c r="A316" s="104"/>
      <c r="B316" s="113"/>
      <c r="C316" s="106"/>
      <c r="D316" s="107"/>
      <c r="E316" s="108"/>
      <c r="F316" s="108"/>
      <c r="G316" s="107"/>
      <c r="H316" s="109"/>
      <c r="I316" s="110"/>
      <c r="J316" s="111"/>
      <c r="K316" s="112"/>
      <c r="L316" s="112"/>
      <c r="M316" s="112"/>
      <c r="N316" s="112"/>
      <c r="O316" s="112"/>
      <c r="P316" s="112"/>
      <c r="Q316" s="112"/>
      <c r="R316" s="112"/>
      <c r="S316" s="112"/>
      <c r="T316" s="112"/>
      <c r="U316" s="112"/>
    </row>
    <row r="317" spans="1:21" ht="17.399999999999999" x14ac:dyDescent="0.3">
      <c r="A317" s="104"/>
      <c r="B317" s="113"/>
      <c r="C317" s="106"/>
      <c r="D317" s="107"/>
      <c r="E317" s="108"/>
      <c r="F317" s="108"/>
      <c r="G317" s="107"/>
      <c r="H317" s="109"/>
      <c r="I317" s="110"/>
      <c r="J317" s="111"/>
      <c r="K317" s="112"/>
      <c r="L317" s="112"/>
      <c r="M317" s="112"/>
      <c r="N317" s="112"/>
      <c r="O317" s="112"/>
      <c r="P317" s="112"/>
      <c r="Q317" s="112"/>
      <c r="R317" s="112"/>
      <c r="S317" s="112"/>
      <c r="T317" s="112"/>
      <c r="U317" s="112"/>
    </row>
    <row r="318" spans="1:21" ht="17.399999999999999" x14ac:dyDescent="0.3">
      <c r="A318" s="104"/>
      <c r="B318" s="113"/>
      <c r="C318" s="106"/>
      <c r="D318" s="107"/>
      <c r="E318" s="108"/>
      <c r="F318" s="108"/>
      <c r="G318" s="107"/>
      <c r="H318" s="109"/>
      <c r="I318" s="110"/>
      <c r="J318" s="111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</row>
    <row r="319" spans="1:21" ht="17.399999999999999" x14ac:dyDescent="0.3">
      <c r="A319" s="104"/>
      <c r="B319" s="113"/>
      <c r="C319" s="106"/>
      <c r="D319" s="107"/>
      <c r="E319" s="108"/>
      <c r="F319" s="108"/>
      <c r="G319" s="107"/>
      <c r="H319" s="109"/>
      <c r="I319" s="110"/>
      <c r="J319" s="111"/>
      <c r="K319" s="112"/>
      <c r="L319" s="112"/>
      <c r="M319" s="112"/>
      <c r="N319" s="112"/>
      <c r="O319" s="112"/>
      <c r="P319" s="112"/>
      <c r="Q319" s="112"/>
      <c r="R319" s="112"/>
      <c r="S319" s="112"/>
      <c r="T319" s="112"/>
      <c r="U319" s="112"/>
    </row>
    <row r="320" spans="1:21" ht="17.399999999999999" x14ac:dyDescent="0.3">
      <c r="A320" s="104"/>
      <c r="B320" s="113"/>
      <c r="C320" s="106"/>
      <c r="D320" s="107"/>
      <c r="E320" s="108"/>
      <c r="F320" s="108"/>
      <c r="G320" s="107"/>
      <c r="H320" s="109"/>
      <c r="I320" s="110"/>
      <c r="J320" s="111"/>
      <c r="K320" s="112"/>
      <c r="L320" s="112"/>
      <c r="M320" s="112"/>
      <c r="N320" s="112"/>
      <c r="O320" s="112"/>
      <c r="P320" s="112"/>
      <c r="Q320" s="112"/>
      <c r="R320" s="112"/>
      <c r="S320" s="112"/>
      <c r="T320" s="112"/>
      <c r="U320" s="112"/>
    </row>
    <row r="321" spans="1:21" ht="17.399999999999999" x14ac:dyDescent="0.3">
      <c r="A321" s="104"/>
      <c r="B321" s="113"/>
      <c r="C321" s="106"/>
      <c r="D321" s="107"/>
      <c r="E321" s="108"/>
      <c r="F321" s="108"/>
      <c r="G321" s="107"/>
      <c r="H321" s="109"/>
      <c r="I321" s="110"/>
      <c r="J321" s="111"/>
      <c r="K321" s="112"/>
      <c r="L321" s="112"/>
      <c r="M321" s="112"/>
      <c r="N321" s="112"/>
      <c r="O321" s="112"/>
      <c r="P321" s="112"/>
      <c r="Q321" s="112"/>
      <c r="R321" s="112"/>
      <c r="S321" s="112"/>
      <c r="T321" s="112"/>
      <c r="U321" s="112"/>
    </row>
    <row r="322" spans="1:21" ht="17.399999999999999" x14ac:dyDescent="0.3">
      <c r="A322" s="104"/>
      <c r="B322" s="113"/>
      <c r="C322" s="106"/>
      <c r="D322" s="107"/>
      <c r="E322" s="108"/>
      <c r="F322" s="108"/>
      <c r="G322" s="107"/>
      <c r="H322" s="109"/>
      <c r="I322" s="110"/>
      <c r="J322" s="111"/>
      <c r="K322" s="112"/>
      <c r="L322" s="112"/>
      <c r="M322" s="112"/>
      <c r="N322" s="112"/>
      <c r="O322" s="112"/>
      <c r="P322" s="112"/>
      <c r="Q322" s="112"/>
      <c r="R322" s="112"/>
      <c r="S322" s="112"/>
      <c r="T322" s="112"/>
      <c r="U322" s="112"/>
    </row>
    <row r="323" spans="1:21" ht="17.399999999999999" x14ac:dyDescent="0.3">
      <c r="A323" s="104"/>
      <c r="B323" s="113"/>
      <c r="C323" s="106"/>
      <c r="D323" s="107"/>
      <c r="E323" s="108"/>
      <c r="F323" s="108"/>
      <c r="G323" s="107"/>
      <c r="H323" s="109"/>
      <c r="I323" s="110"/>
      <c r="J323" s="111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</row>
    <row r="324" spans="1:21" ht="17.399999999999999" x14ac:dyDescent="0.3">
      <c r="A324" s="104"/>
      <c r="B324" s="113"/>
      <c r="C324" s="106"/>
      <c r="D324" s="107"/>
      <c r="E324" s="108"/>
      <c r="F324" s="108"/>
      <c r="G324" s="107"/>
      <c r="H324" s="109"/>
      <c r="I324" s="110"/>
      <c r="J324" s="111"/>
      <c r="K324" s="112"/>
      <c r="L324" s="112"/>
      <c r="M324" s="112"/>
      <c r="N324" s="112"/>
      <c r="O324" s="112"/>
      <c r="P324" s="112"/>
      <c r="Q324" s="112"/>
      <c r="R324" s="112"/>
      <c r="S324" s="112"/>
      <c r="T324" s="112"/>
      <c r="U324" s="112"/>
    </row>
    <row r="325" spans="1:21" ht="17.399999999999999" x14ac:dyDescent="0.3">
      <c r="A325" s="104"/>
      <c r="B325" s="113"/>
      <c r="C325" s="106"/>
      <c r="D325" s="107"/>
      <c r="E325" s="108"/>
      <c r="F325" s="108"/>
      <c r="G325" s="107"/>
      <c r="H325" s="109"/>
      <c r="I325" s="110"/>
      <c r="J325" s="111"/>
      <c r="K325" s="112"/>
      <c r="L325" s="112"/>
      <c r="M325" s="112"/>
      <c r="N325" s="112"/>
      <c r="O325" s="112"/>
      <c r="P325" s="112"/>
      <c r="Q325" s="112"/>
      <c r="R325" s="112"/>
      <c r="S325" s="112"/>
      <c r="T325" s="112"/>
      <c r="U325" s="112"/>
    </row>
    <row r="326" spans="1:21" ht="17.399999999999999" x14ac:dyDescent="0.3">
      <c r="A326" s="104"/>
      <c r="B326" s="113"/>
      <c r="C326" s="106"/>
      <c r="D326" s="107"/>
      <c r="E326" s="108"/>
      <c r="F326" s="108"/>
      <c r="G326" s="107"/>
      <c r="H326" s="109"/>
      <c r="I326" s="110"/>
      <c r="J326" s="111"/>
      <c r="K326" s="112"/>
      <c r="L326" s="112"/>
      <c r="M326" s="112"/>
      <c r="N326" s="112"/>
      <c r="O326" s="112"/>
      <c r="P326" s="112"/>
      <c r="Q326" s="112"/>
      <c r="R326" s="112"/>
      <c r="S326" s="112"/>
      <c r="T326" s="112"/>
      <c r="U326" s="112"/>
    </row>
    <row r="327" spans="1:21" ht="17.399999999999999" x14ac:dyDescent="0.3">
      <c r="A327" s="104"/>
      <c r="B327" s="113"/>
      <c r="C327" s="106"/>
      <c r="D327" s="107"/>
      <c r="E327" s="108"/>
      <c r="F327" s="108"/>
      <c r="G327" s="107"/>
      <c r="H327" s="109"/>
      <c r="I327" s="110"/>
      <c r="J327" s="111"/>
      <c r="K327" s="112"/>
      <c r="L327" s="112"/>
      <c r="M327" s="112"/>
      <c r="N327" s="112"/>
      <c r="O327" s="112"/>
      <c r="P327" s="112"/>
      <c r="Q327" s="112"/>
      <c r="R327" s="112"/>
      <c r="S327" s="112"/>
      <c r="T327" s="112"/>
      <c r="U327" s="112"/>
    </row>
    <row r="328" spans="1:21" ht="17.399999999999999" x14ac:dyDescent="0.3">
      <c r="A328" s="104"/>
      <c r="B328" s="113"/>
      <c r="C328" s="106"/>
      <c r="D328" s="107"/>
      <c r="E328" s="108"/>
      <c r="F328" s="108"/>
      <c r="G328" s="107"/>
      <c r="H328" s="109"/>
      <c r="I328" s="110"/>
      <c r="J328" s="111"/>
      <c r="K328" s="112"/>
      <c r="L328" s="112"/>
      <c r="M328" s="112"/>
      <c r="N328" s="112"/>
      <c r="O328" s="112"/>
      <c r="P328" s="112"/>
      <c r="Q328" s="112"/>
      <c r="R328" s="112"/>
      <c r="S328" s="112"/>
      <c r="T328" s="112"/>
      <c r="U328" s="112"/>
    </row>
    <row r="329" spans="1:21" ht="17.399999999999999" x14ac:dyDescent="0.3">
      <c r="A329" s="104"/>
      <c r="B329" s="113"/>
      <c r="C329" s="106"/>
      <c r="D329" s="107"/>
      <c r="E329" s="108"/>
      <c r="F329" s="108"/>
      <c r="G329" s="107"/>
      <c r="H329" s="109"/>
      <c r="I329" s="110"/>
      <c r="J329" s="111"/>
      <c r="K329" s="112"/>
      <c r="L329" s="112"/>
      <c r="M329" s="112"/>
      <c r="N329" s="112"/>
      <c r="O329" s="112"/>
      <c r="P329" s="112"/>
      <c r="Q329" s="112"/>
      <c r="R329" s="112"/>
      <c r="S329" s="112"/>
      <c r="T329" s="112"/>
      <c r="U329" s="112"/>
    </row>
    <row r="330" spans="1:21" ht="17.399999999999999" x14ac:dyDescent="0.3">
      <c r="A330" s="104"/>
      <c r="B330" s="113"/>
      <c r="C330" s="106"/>
      <c r="D330" s="107"/>
      <c r="E330" s="108"/>
      <c r="F330" s="108"/>
      <c r="G330" s="107"/>
      <c r="H330" s="109"/>
      <c r="I330" s="110"/>
      <c r="J330" s="111"/>
      <c r="K330" s="112"/>
      <c r="L330" s="112"/>
      <c r="M330" s="112"/>
      <c r="N330" s="112"/>
      <c r="O330" s="112"/>
      <c r="P330" s="112"/>
      <c r="Q330" s="112"/>
      <c r="R330" s="112"/>
      <c r="S330" s="112"/>
      <c r="T330" s="112"/>
      <c r="U330" s="112"/>
    </row>
    <row r="331" spans="1:21" ht="17.399999999999999" x14ac:dyDescent="0.3">
      <c r="A331" s="104"/>
      <c r="B331" s="113"/>
      <c r="C331" s="106"/>
      <c r="D331" s="107"/>
      <c r="E331" s="108"/>
      <c r="F331" s="108"/>
      <c r="G331" s="107"/>
      <c r="H331" s="109"/>
      <c r="I331" s="110"/>
      <c r="J331" s="111"/>
      <c r="K331" s="112"/>
      <c r="L331" s="112"/>
      <c r="M331" s="112"/>
      <c r="N331" s="112"/>
      <c r="O331" s="112"/>
      <c r="P331" s="112"/>
      <c r="Q331" s="112"/>
      <c r="R331" s="112"/>
      <c r="S331" s="112"/>
      <c r="T331" s="112"/>
      <c r="U331" s="112"/>
    </row>
    <row r="332" spans="1:21" ht="17.399999999999999" x14ac:dyDescent="0.3">
      <c r="A332" s="104"/>
      <c r="B332" s="113"/>
      <c r="C332" s="106"/>
      <c r="D332" s="107"/>
      <c r="E332" s="108"/>
      <c r="F332" s="108"/>
      <c r="G332" s="107"/>
      <c r="H332" s="109"/>
      <c r="I332" s="110"/>
      <c r="J332" s="111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</row>
    <row r="333" spans="1:21" ht="17.399999999999999" x14ac:dyDescent="0.3">
      <c r="A333" s="104"/>
      <c r="B333" s="113"/>
      <c r="C333" s="106"/>
      <c r="D333" s="107"/>
      <c r="E333" s="108"/>
      <c r="F333" s="108"/>
      <c r="G333" s="107"/>
      <c r="H333" s="109"/>
      <c r="I333" s="110"/>
      <c r="J333" s="111"/>
      <c r="K333" s="112"/>
      <c r="L333" s="112"/>
      <c r="M333" s="112"/>
      <c r="N333" s="112"/>
      <c r="O333" s="112"/>
      <c r="P333" s="112"/>
      <c r="Q333" s="112"/>
      <c r="R333" s="112"/>
      <c r="S333" s="112"/>
      <c r="T333" s="112"/>
      <c r="U333" s="112"/>
    </row>
    <row r="334" spans="1:21" ht="17.399999999999999" x14ac:dyDescent="0.3">
      <c r="A334" s="104"/>
      <c r="B334" s="113"/>
      <c r="C334" s="106"/>
      <c r="D334" s="107"/>
      <c r="E334" s="108"/>
      <c r="F334" s="108"/>
      <c r="G334" s="107"/>
      <c r="H334" s="109"/>
      <c r="I334" s="110"/>
      <c r="J334" s="111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2"/>
    </row>
    <row r="335" spans="1:21" ht="17.399999999999999" x14ac:dyDescent="0.3">
      <c r="A335" s="104"/>
      <c r="B335" s="113"/>
      <c r="C335" s="106"/>
      <c r="D335" s="107"/>
      <c r="E335" s="108"/>
      <c r="F335" s="108"/>
      <c r="G335" s="107"/>
      <c r="H335" s="109"/>
      <c r="I335" s="110"/>
      <c r="J335" s="111"/>
      <c r="K335" s="112"/>
      <c r="L335" s="112"/>
      <c r="M335" s="112"/>
      <c r="N335" s="112"/>
      <c r="O335" s="112"/>
      <c r="P335" s="112"/>
      <c r="Q335" s="112"/>
      <c r="R335" s="112"/>
      <c r="S335" s="112"/>
      <c r="T335" s="112"/>
      <c r="U335" s="112"/>
    </row>
    <row r="336" spans="1:21" ht="17.399999999999999" x14ac:dyDescent="0.3">
      <c r="A336" s="104"/>
      <c r="B336" s="113"/>
      <c r="C336" s="106"/>
      <c r="D336" s="107"/>
      <c r="E336" s="108"/>
      <c r="F336" s="108"/>
      <c r="G336" s="107"/>
      <c r="H336" s="109"/>
      <c r="I336" s="110"/>
      <c r="J336" s="111"/>
      <c r="K336" s="112"/>
      <c r="L336" s="112"/>
      <c r="M336" s="112"/>
      <c r="N336" s="112"/>
      <c r="O336" s="112"/>
      <c r="P336" s="112"/>
      <c r="Q336" s="112"/>
      <c r="R336" s="112"/>
      <c r="S336" s="112"/>
      <c r="T336" s="112"/>
      <c r="U336" s="112"/>
    </row>
    <row r="337" spans="1:21" ht="17.399999999999999" x14ac:dyDescent="0.3">
      <c r="A337" s="104"/>
      <c r="B337" s="113"/>
      <c r="C337" s="106"/>
      <c r="D337" s="107"/>
      <c r="E337" s="108"/>
      <c r="F337" s="108"/>
      <c r="G337" s="107"/>
      <c r="H337" s="109"/>
      <c r="I337" s="110"/>
      <c r="J337" s="111"/>
      <c r="K337" s="112"/>
      <c r="L337" s="112"/>
      <c r="M337" s="112"/>
      <c r="N337" s="112"/>
      <c r="O337" s="112"/>
      <c r="P337" s="112"/>
      <c r="Q337" s="112"/>
      <c r="R337" s="112"/>
      <c r="S337" s="112"/>
      <c r="T337" s="112"/>
      <c r="U337" s="112"/>
    </row>
    <row r="338" spans="1:21" ht="17.399999999999999" x14ac:dyDescent="0.3">
      <c r="A338" s="104"/>
      <c r="B338" s="113"/>
      <c r="C338" s="106"/>
      <c r="D338" s="107"/>
      <c r="E338" s="108"/>
      <c r="F338" s="108"/>
      <c r="G338" s="107"/>
      <c r="H338" s="109"/>
      <c r="I338" s="110"/>
      <c r="J338" s="111"/>
      <c r="K338" s="112"/>
      <c r="L338" s="112"/>
      <c r="M338" s="112"/>
      <c r="N338" s="112"/>
      <c r="O338" s="112"/>
      <c r="P338" s="112"/>
      <c r="Q338" s="112"/>
      <c r="R338" s="112"/>
      <c r="S338" s="112"/>
      <c r="T338" s="112"/>
      <c r="U338" s="112"/>
    </row>
    <row r="339" spans="1:21" ht="17.399999999999999" x14ac:dyDescent="0.3">
      <c r="A339" s="104"/>
      <c r="B339" s="113"/>
      <c r="C339" s="106"/>
      <c r="D339" s="107"/>
      <c r="E339" s="108"/>
      <c r="F339" s="108"/>
      <c r="G339" s="107"/>
      <c r="H339" s="109"/>
      <c r="I339" s="110"/>
      <c r="J339" s="111"/>
      <c r="K339" s="112"/>
      <c r="L339" s="112"/>
      <c r="M339" s="112"/>
      <c r="N339" s="112"/>
      <c r="O339" s="112"/>
      <c r="P339" s="112"/>
      <c r="Q339" s="112"/>
      <c r="R339" s="112"/>
      <c r="S339" s="112"/>
      <c r="T339" s="112"/>
      <c r="U339" s="112"/>
    </row>
    <row r="340" spans="1:21" ht="17.399999999999999" x14ac:dyDescent="0.3">
      <c r="A340" s="104"/>
      <c r="B340" s="113"/>
      <c r="C340" s="106"/>
      <c r="D340" s="107"/>
      <c r="E340" s="108"/>
      <c r="F340" s="108"/>
      <c r="G340" s="107"/>
      <c r="H340" s="109"/>
      <c r="I340" s="110"/>
      <c r="J340" s="111"/>
      <c r="K340" s="112"/>
      <c r="L340" s="112"/>
      <c r="M340" s="112"/>
      <c r="N340" s="112"/>
      <c r="O340" s="112"/>
      <c r="P340" s="112"/>
      <c r="Q340" s="112"/>
      <c r="R340" s="112"/>
      <c r="S340" s="112"/>
      <c r="T340" s="112"/>
      <c r="U340" s="112"/>
    </row>
    <row r="341" spans="1:21" ht="17.399999999999999" x14ac:dyDescent="0.3">
      <c r="A341" s="104"/>
      <c r="B341" s="113"/>
      <c r="C341" s="106"/>
      <c r="D341" s="107"/>
      <c r="E341" s="108"/>
      <c r="F341" s="108"/>
      <c r="G341" s="107"/>
      <c r="H341" s="109"/>
      <c r="I341" s="110"/>
      <c r="J341" s="111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</row>
    <row r="342" spans="1:21" ht="17.399999999999999" x14ac:dyDescent="0.3">
      <c r="A342" s="104"/>
      <c r="B342" s="113"/>
      <c r="C342" s="106"/>
      <c r="D342" s="107"/>
      <c r="E342" s="108"/>
      <c r="F342" s="108"/>
      <c r="G342" s="107"/>
      <c r="H342" s="109"/>
      <c r="I342" s="110"/>
      <c r="J342" s="111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</row>
    <row r="343" spans="1:21" ht="17.399999999999999" x14ac:dyDescent="0.3">
      <c r="A343" s="104"/>
      <c r="B343" s="113"/>
      <c r="C343" s="106"/>
      <c r="D343" s="107"/>
      <c r="E343" s="108"/>
      <c r="F343" s="108"/>
      <c r="G343" s="107"/>
      <c r="H343" s="109"/>
      <c r="I343" s="110"/>
      <c r="J343" s="111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</row>
    <row r="344" spans="1:21" ht="17.399999999999999" x14ac:dyDescent="0.3">
      <c r="A344" s="104"/>
      <c r="B344" s="113"/>
      <c r="C344" s="106"/>
      <c r="D344" s="107"/>
      <c r="E344" s="108"/>
      <c r="F344" s="108"/>
      <c r="G344" s="107"/>
      <c r="H344" s="109"/>
      <c r="I344" s="110"/>
      <c r="J344" s="111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</row>
    <row r="345" spans="1:21" ht="17.399999999999999" x14ac:dyDescent="0.3">
      <c r="A345" s="104"/>
      <c r="B345" s="113"/>
      <c r="C345" s="106"/>
      <c r="D345" s="107"/>
      <c r="E345" s="108"/>
      <c r="F345" s="108"/>
      <c r="G345" s="107"/>
      <c r="H345" s="109"/>
      <c r="I345" s="110"/>
      <c r="J345" s="111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2"/>
    </row>
    <row r="346" spans="1:21" ht="17.399999999999999" x14ac:dyDescent="0.3">
      <c r="A346" s="104"/>
      <c r="B346" s="113"/>
      <c r="C346" s="106"/>
      <c r="D346" s="107"/>
      <c r="E346" s="108"/>
      <c r="F346" s="108"/>
      <c r="G346" s="107"/>
      <c r="H346" s="109"/>
      <c r="I346" s="110"/>
      <c r="J346" s="111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</row>
    <row r="347" spans="1:21" ht="17.399999999999999" x14ac:dyDescent="0.3">
      <c r="A347" s="104"/>
      <c r="B347" s="113"/>
      <c r="C347" s="106"/>
      <c r="D347" s="107"/>
      <c r="E347" s="108"/>
      <c r="F347" s="108"/>
      <c r="G347" s="107"/>
      <c r="H347" s="109"/>
      <c r="I347" s="110"/>
      <c r="J347" s="111"/>
      <c r="K347" s="112"/>
      <c r="L347" s="112"/>
      <c r="M347" s="112"/>
      <c r="N347" s="112"/>
      <c r="O347" s="112"/>
      <c r="P347" s="112"/>
      <c r="Q347" s="112"/>
      <c r="R347" s="112"/>
      <c r="S347" s="112"/>
      <c r="T347" s="112"/>
      <c r="U347" s="112"/>
    </row>
    <row r="348" spans="1:21" ht="17.399999999999999" x14ac:dyDescent="0.3">
      <c r="A348" s="104"/>
      <c r="B348" s="113"/>
      <c r="C348" s="106"/>
      <c r="D348" s="107"/>
      <c r="E348" s="108"/>
      <c r="F348" s="108"/>
      <c r="G348" s="107"/>
      <c r="H348" s="109"/>
      <c r="I348" s="110"/>
      <c r="J348" s="111"/>
      <c r="K348" s="112"/>
      <c r="L348" s="112"/>
      <c r="M348" s="112"/>
      <c r="N348" s="112"/>
      <c r="O348" s="112"/>
      <c r="P348" s="112"/>
      <c r="Q348" s="112"/>
      <c r="R348" s="112"/>
      <c r="S348" s="112"/>
      <c r="T348" s="112"/>
      <c r="U348" s="112"/>
    </row>
    <row r="349" spans="1:21" ht="17.399999999999999" x14ac:dyDescent="0.3">
      <c r="A349" s="104"/>
      <c r="B349" s="113"/>
      <c r="C349" s="106"/>
      <c r="D349" s="107"/>
      <c r="E349" s="108"/>
      <c r="F349" s="108"/>
      <c r="G349" s="107"/>
      <c r="H349" s="109"/>
      <c r="I349" s="110"/>
      <c r="J349" s="111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</row>
    <row r="350" spans="1:21" ht="17.399999999999999" x14ac:dyDescent="0.3">
      <c r="A350" s="104"/>
      <c r="B350" s="113"/>
      <c r="C350" s="106"/>
      <c r="D350" s="107"/>
      <c r="E350" s="108"/>
      <c r="F350" s="108"/>
      <c r="G350" s="107"/>
      <c r="H350" s="109"/>
      <c r="I350" s="110"/>
      <c r="J350" s="111"/>
      <c r="K350" s="112"/>
      <c r="L350" s="112"/>
      <c r="M350" s="112"/>
      <c r="N350" s="112"/>
      <c r="O350" s="112"/>
      <c r="P350" s="112"/>
      <c r="Q350" s="112"/>
      <c r="R350" s="112"/>
      <c r="S350" s="112"/>
      <c r="T350" s="112"/>
      <c r="U350" s="112"/>
    </row>
    <row r="351" spans="1:21" ht="17.399999999999999" x14ac:dyDescent="0.3">
      <c r="A351" s="104"/>
      <c r="B351" s="113"/>
      <c r="C351" s="106"/>
      <c r="D351" s="107"/>
      <c r="E351" s="108"/>
      <c r="F351" s="108"/>
      <c r="G351" s="107"/>
      <c r="H351" s="109"/>
      <c r="I351" s="110"/>
      <c r="J351" s="111"/>
      <c r="K351" s="112"/>
      <c r="L351" s="112"/>
      <c r="M351" s="112"/>
      <c r="N351" s="112"/>
      <c r="O351" s="112"/>
      <c r="P351" s="112"/>
      <c r="Q351" s="112"/>
      <c r="R351" s="112"/>
      <c r="S351" s="112"/>
      <c r="T351" s="112"/>
      <c r="U351" s="112"/>
    </row>
    <row r="352" spans="1:21" ht="17.399999999999999" x14ac:dyDescent="0.3">
      <c r="A352" s="104"/>
      <c r="B352" s="113"/>
      <c r="C352" s="106"/>
      <c r="D352" s="107"/>
      <c r="E352" s="108"/>
      <c r="F352" s="108"/>
      <c r="G352" s="107"/>
      <c r="H352" s="109"/>
      <c r="I352" s="110"/>
      <c r="J352" s="111"/>
      <c r="K352" s="112"/>
      <c r="L352" s="112"/>
      <c r="M352" s="112"/>
      <c r="N352" s="112"/>
      <c r="O352" s="112"/>
      <c r="P352" s="112"/>
      <c r="Q352" s="112"/>
      <c r="R352" s="112"/>
      <c r="S352" s="112"/>
      <c r="T352" s="112"/>
      <c r="U352" s="112"/>
    </row>
    <row r="353" spans="1:21" ht="17.399999999999999" x14ac:dyDescent="0.3">
      <c r="A353" s="104"/>
      <c r="B353" s="113"/>
      <c r="C353" s="106"/>
      <c r="D353" s="107"/>
      <c r="E353" s="108"/>
      <c r="F353" s="108"/>
      <c r="G353" s="107"/>
      <c r="H353" s="109"/>
      <c r="I353" s="110"/>
      <c r="J353" s="111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</row>
    <row r="354" spans="1:21" ht="17.399999999999999" x14ac:dyDescent="0.3">
      <c r="A354" s="104"/>
      <c r="B354" s="113"/>
      <c r="C354" s="106"/>
      <c r="D354" s="107"/>
      <c r="E354" s="108"/>
      <c r="F354" s="108"/>
      <c r="G354" s="107"/>
      <c r="H354" s="109"/>
      <c r="I354" s="110"/>
      <c r="J354" s="111"/>
      <c r="K354" s="112"/>
      <c r="L354" s="2"/>
      <c r="M354" s="2"/>
      <c r="N354" s="2"/>
      <c r="O354" s="2"/>
      <c r="P354" s="2"/>
      <c r="Q354" s="2"/>
      <c r="R354" s="2"/>
      <c r="S354" s="2"/>
      <c r="T354" s="2"/>
      <c r="U354" s="2"/>
    </row>
    <row r="355" spans="1:21" ht="17.399999999999999" x14ac:dyDescent="0.3">
      <c r="A355" s="104"/>
      <c r="B355" s="113"/>
      <c r="C355" s="106"/>
      <c r="D355" s="107"/>
      <c r="E355" s="108"/>
      <c r="F355" s="108"/>
      <c r="G355" s="107"/>
      <c r="H355" s="109"/>
      <c r="I355" s="114"/>
      <c r="J355" s="115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</row>
    <row r="356" spans="1:21" ht="17.399999999999999" x14ac:dyDescent="0.3">
      <c r="A356" s="104"/>
      <c r="B356" s="113"/>
      <c r="C356" s="106"/>
      <c r="D356" s="107"/>
      <c r="E356" s="108"/>
      <c r="F356" s="108"/>
      <c r="G356" s="107"/>
      <c r="H356" s="109"/>
      <c r="I356" s="114"/>
      <c r="J356" s="115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</row>
    <row r="357" spans="1:21" ht="17.399999999999999" x14ac:dyDescent="0.3">
      <c r="A357" s="104"/>
      <c r="B357" s="113"/>
      <c r="C357" s="106"/>
      <c r="D357" s="107"/>
      <c r="E357" s="108"/>
      <c r="F357" s="108"/>
      <c r="G357" s="107"/>
      <c r="H357" s="109"/>
      <c r="I357" s="114"/>
      <c r="J357" s="115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</row>
    <row r="358" spans="1:21" ht="15.6" x14ac:dyDescent="0.3">
      <c r="A358" s="115"/>
      <c r="B358" s="113"/>
      <c r="C358" s="116"/>
      <c r="D358" s="116"/>
      <c r="E358" s="117"/>
      <c r="F358" s="117"/>
      <c r="G358" s="116"/>
      <c r="H358" s="118"/>
      <c r="I358" s="114"/>
      <c r="J358" s="115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</row>
    <row r="359" spans="1:21" ht="15.6" x14ac:dyDescent="0.3">
      <c r="A359" s="115"/>
      <c r="B359" s="113"/>
      <c r="C359" s="116"/>
      <c r="D359" s="116"/>
      <c r="E359" s="117"/>
      <c r="F359" s="117"/>
      <c r="G359" s="116"/>
      <c r="H359" s="118"/>
      <c r="I359" s="114"/>
      <c r="J359" s="115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</row>
    <row r="360" spans="1:21" ht="15.6" x14ac:dyDescent="0.3">
      <c r="A360" s="115"/>
      <c r="B360" s="113"/>
      <c r="C360" s="116"/>
      <c r="D360" s="116"/>
      <c r="E360" s="117"/>
      <c r="F360" s="117"/>
      <c r="G360" s="116"/>
      <c r="H360" s="118"/>
      <c r="I360" s="114"/>
      <c r="J360" s="115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</row>
    <row r="361" spans="1:21" ht="17.399999999999999" x14ac:dyDescent="0.3">
      <c r="A361" s="104"/>
      <c r="B361" s="113"/>
      <c r="C361" s="106"/>
      <c r="D361" s="107"/>
      <c r="E361" s="108"/>
      <c r="F361" s="108"/>
      <c r="G361" s="108"/>
      <c r="H361" s="118"/>
      <c r="I361" s="114"/>
      <c r="J361" s="115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</row>
    <row r="362" spans="1:21" ht="17.399999999999999" x14ac:dyDescent="0.3">
      <c r="A362" s="104"/>
      <c r="B362" s="113"/>
      <c r="C362" s="106"/>
      <c r="D362" s="107"/>
      <c r="E362" s="108"/>
      <c r="F362" s="108"/>
      <c r="G362" s="108"/>
      <c r="H362" s="118"/>
      <c r="I362" s="114"/>
      <c r="J362" s="115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</row>
    <row r="363" spans="1:21" ht="17.399999999999999" x14ac:dyDescent="0.3">
      <c r="A363" s="104"/>
      <c r="B363" s="113"/>
      <c r="C363" s="106"/>
      <c r="D363" s="107"/>
      <c r="E363" s="108"/>
      <c r="F363" s="108"/>
      <c r="G363" s="119"/>
      <c r="H363" s="118"/>
      <c r="I363" s="114"/>
      <c r="J363" s="115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</row>
  </sheetData>
  <autoFilter ref="G1:G523" xr:uid="{00000000-0001-0000-0000-000000000000}"/>
  <mergeCells count="116">
    <mergeCell ref="H114:J114"/>
    <mergeCell ref="K172:N172"/>
    <mergeCell ref="H173:J173"/>
    <mergeCell ref="H164:J164"/>
    <mergeCell ref="H168:J168"/>
    <mergeCell ref="H188:J188"/>
    <mergeCell ref="H179:J179"/>
    <mergeCell ref="H182:J182"/>
    <mergeCell ref="H135:J135"/>
    <mergeCell ref="H139:J139"/>
    <mergeCell ref="H143:J143"/>
    <mergeCell ref="H131:J131"/>
    <mergeCell ref="H133:J133"/>
    <mergeCell ref="H148:J148"/>
    <mergeCell ref="H151:J151"/>
    <mergeCell ref="H157:J157"/>
    <mergeCell ref="H155:J155"/>
    <mergeCell ref="H185:J185"/>
    <mergeCell ref="H176:J176"/>
    <mergeCell ref="A292:D292"/>
    <mergeCell ref="E292:G292"/>
    <mergeCell ref="A293:D293"/>
    <mergeCell ref="C271:E271"/>
    <mergeCell ref="C278:E278"/>
    <mergeCell ref="C286:E286"/>
    <mergeCell ref="C287:E287"/>
    <mergeCell ref="D288:E288"/>
    <mergeCell ref="D289:E289"/>
    <mergeCell ref="C290:E290"/>
    <mergeCell ref="A291:H291"/>
    <mergeCell ref="H280:J280"/>
    <mergeCell ref="H282:J282"/>
    <mergeCell ref="H284:J284"/>
    <mergeCell ref="K291:R291"/>
    <mergeCell ref="A4:A5"/>
    <mergeCell ref="H5:J5"/>
    <mergeCell ref="C52:E52"/>
    <mergeCell ref="B4:B5"/>
    <mergeCell ref="C4:C5"/>
    <mergeCell ref="C9:E9"/>
    <mergeCell ref="C48:E48"/>
    <mergeCell ref="H12:J12"/>
    <mergeCell ref="H15:J15"/>
    <mergeCell ref="H30:J30"/>
    <mergeCell ref="K60:R61"/>
    <mergeCell ref="K9:N10"/>
    <mergeCell ref="K218:P219"/>
    <mergeCell ref="K211:N212"/>
    <mergeCell ref="H51:J51"/>
    <mergeCell ref="H212:J212"/>
    <mergeCell ref="H215:J215"/>
    <mergeCell ref="H219:J219"/>
    <mergeCell ref="H8:J8"/>
    <mergeCell ref="H33:J33"/>
    <mergeCell ref="H36:J36"/>
    <mergeCell ref="H39:J39"/>
    <mergeCell ref="H42:J42"/>
    <mergeCell ref="C264:E264"/>
    <mergeCell ref="D4:F4"/>
    <mergeCell ref="H4:J4"/>
    <mergeCell ref="C80:E80"/>
    <mergeCell ref="C126:E126"/>
    <mergeCell ref="C144:E144"/>
    <mergeCell ref="C158:E158"/>
    <mergeCell ref="C169:E169"/>
    <mergeCell ref="C220:E220"/>
    <mergeCell ref="C226:E226"/>
    <mergeCell ref="C238:E238"/>
    <mergeCell ref="H224:J224"/>
    <mergeCell ref="C189:E189"/>
    <mergeCell ref="C195:E195"/>
    <mergeCell ref="C204:E204"/>
    <mergeCell ref="H194:J194"/>
    <mergeCell ref="H208:J208"/>
    <mergeCell ref="H45:J45"/>
    <mergeCell ref="H24:J24"/>
    <mergeCell ref="H27:J27"/>
    <mergeCell ref="H18:J18"/>
    <mergeCell ref="H21:J21"/>
    <mergeCell ref="H91:J91"/>
    <mergeCell ref="H94:J94"/>
    <mergeCell ref="H199:J199"/>
    <mergeCell ref="H202:J202"/>
    <mergeCell ref="B1:J1"/>
    <mergeCell ref="A2:B2"/>
    <mergeCell ref="C2:D2"/>
    <mergeCell ref="G2:J2"/>
    <mergeCell ref="A3:B3"/>
    <mergeCell ref="F3:J3"/>
    <mergeCell ref="C248:E248"/>
    <mergeCell ref="H97:J97"/>
    <mergeCell ref="H79:J79"/>
    <mergeCell ref="H84:J84"/>
    <mergeCell ref="H87:J87"/>
    <mergeCell ref="H57:J57"/>
    <mergeCell ref="H61:J61"/>
    <mergeCell ref="H75:J75"/>
    <mergeCell ref="H66:J66"/>
    <mergeCell ref="H70:J70"/>
    <mergeCell ref="H121:J121"/>
    <mergeCell ref="H125:J125"/>
    <mergeCell ref="H100:J100"/>
    <mergeCell ref="H105:J105"/>
    <mergeCell ref="H112:J112"/>
    <mergeCell ref="H118:J118"/>
    <mergeCell ref="H242:J242"/>
    <mergeCell ref="H247:J247"/>
    <mergeCell ref="H252:J252"/>
    <mergeCell ref="H255:J255"/>
    <mergeCell ref="H260:J260"/>
    <mergeCell ref="H262:J262"/>
    <mergeCell ref="H268:J268"/>
    <mergeCell ref="H276:J276"/>
    <mergeCell ref="H230:J230"/>
    <mergeCell ref="H233:J233"/>
    <mergeCell ref="H236:J236"/>
  </mergeCells>
  <phoneticPr fontId="33" type="noConversion"/>
  <pageMargins left="0.55000000000000004" right="0.51" top="0.44" bottom="0.37" header="0" footer="0"/>
  <pageSetup paperSize="9" scale="63" fitToHeight="0" orientation="landscape" r:id="rId1"/>
  <headerFooter>
    <oddFooter>&amp;RPágina &amp;P de &amp;N</oddFooter>
  </headerFooter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997"/>
  <sheetViews>
    <sheetView tabSelected="1" topLeftCell="A7" zoomScale="85" zoomScaleNormal="85" workbookViewId="0">
      <selection activeCell="A32" sqref="A32:Q32"/>
    </sheetView>
  </sheetViews>
  <sheetFormatPr defaultColWidth="14.44140625" defaultRowHeight="15" customHeight="1" x14ac:dyDescent="0.3"/>
  <cols>
    <col min="1" max="1" width="8" customWidth="1"/>
    <col min="2" max="2" width="46.5546875" customWidth="1"/>
    <col min="3" max="3" width="13.88671875" customWidth="1"/>
    <col min="4" max="5" width="8" customWidth="1"/>
    <col min="6" max="6" width="9.21875" bestFit="1" customWidth="1"/>
    <col min="7" max="7" width="9.109375" customWidth="1"/>
    <col min="8" max="8" width="10.33203125" bestFit="1" customWidth="1"/>
    <col min="9" max="9" width="9.5546875" customWidth="1"/>
    <col min="10" max="10" width="10.33203125" bestFit="1" customWidth="1"/>
    <col min="11" max="11" width="8" customWidth="1"/>
    <col min="12" max="12" width="10.33203125" bestFit="1" customWidth="1"/>
    <col min="13" max="13" width="8" customWidth="1"/>
    <col min="14" max="14" width="10.33203125" bestFit="1" customWidth="1"/>
    <col min="15" max="15" width="8" customWidth="1"/>
    <col min="16" max="17" width="10.33203125" bestFit="1" customWidth="1"/>
    <col min="18" max="26" width="8" customWidth="1"/>
  </cols>
  <sheetData>
    <row r="1" spans="1:19" ht="75.599999999999994" customHeight="1" x14ac:dyDescent="0.3">
      <c r="B1" s="156" t="s">
        <v>426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</row>
    <row r="4" spans="1:19" ht="18" customHeight="1" x14ac:dyDescent="0.3">
      <c r="A4" s="170" t="s">
        <v>317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60"/>
    </row>
    <row r="5" spans="1:19" ht="15.75" customHeight="1" x14ac:dyDescent="0.3">
      <c r="A5" s="120"/>
      <c r="B5" s="168" t="s">
        <v>416</v>
      </c>
      <c r="C5" s="159"/>
      <c r="D5" s="159"/>
      <c r="E5" s="159"/>
      <c r="F5" s="159"/>
      <c r="G5" s="159"/>
      <c r="H5" s="160"/>
      <c r="I5" s="168" t="s">
        <v>424</v>
      </c>
      <c r="J5" s="159"/>
      <c r="K5" s="159"/>
      <c r="L5" s="159"/>
      <c r="M5" s="159"/>
      <c r="N5" s="159"/>
      <c r="O5" s="159"/>
      <c r="P5" s="159"/>
      <c r="Q5" s="160"/>
    </row>
    <row r="6" spans="1:19" ht="15.75" customHeight="1" x14ac:dyDescent="0.3">
      <c r="A6" s="120"/>
      <c r="B6" s="168" t="s">
        <v>414</v>
      </c>
      <c r="C6" s="159"/>
      <c r="D6" s="159"/>
      <c r="E6" s="159"/>
      <c r="F6" s="159"/>
      <c r="G6" s="159"/>
      <c r="H6" s="160"/>
      <c r="I6" s="168" t="s">
        <v>415</v>
      </c>
      <c r="J6" s="159"/>
      <c r="K6" s="159"/>
      <c r="L6" s="159"/>
      <c r="M6" s="159"/>
      <c r="N6" s="159"/>
      <c r="O6" s="159"/>
      <c r="P6" s="159"/>
      <c r="Q6" s="160"/>
    </row>
    <row r="7" spans="1:19" ht="15.75" customHeight="1" x14ac:dyDescent="0.3">
      <c r="A7" s="121"/>
      <c r="B7" s="168" t="s">
        <v>318</v>
      </c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60"/>
    </row>
    <row r="8" spans="1:19" ht="14.4" x14ac:dyDescent="0.3">
      <c r="A8" s="169" t="s">
        <v>6</v>
      </c>
      <c r="B8" s="165" t="s">
        <v>7</v>
      </c>
      <c r="C8" s="166" t="s">
        <v>319</v>
      </c>
      <c r="D8" s="161" t="s">
        <v>320</v>
      </c>
      <c r="E8" s="163" t="s">
        <v>321</v>
      </c>
      <c r="F8" s="160"/>
      <c r="G8" s="163" t="s">
        <v>322</v>
      </c>
      <c r="H8" s="160"/>
      <c r="I8" s="163" t="s">
        <v>323</v>
      </c>
      <c r="J8" s="160"/>
      <c r="K8" s="163" t="s">
        <v>324</v>
      </c>
      <c r="L8" s="160"/>
      <c r="M8" s="163" t="s">
        <v>325</v>
      </c>
      <c r="N8" s="160"/>
      <c r="O8" s="163" t="s">
        <v>326</v>
      </c>
      <c r="P8" s="160"/>
      <c r="Q8" s="164" t="s">
        <v>327</v>
      </c>
    </row>
    <row r="9" spans="1:19" ht="14.4" x14ac:dyDescent="0.3">
      <c r="A9" s="162"/>
      <c r="B9" s="162"/>
      <c r="C9" s="162"/>
      <c r="D9" s="162"/>
      <c r="E9" s="122" t="s">
        <v>328</v>
      </c>
      <c r="F9" s="123" t="s">
        <v>329</v>
      </c>
      <c r="G9" s="122" t="s">
        <v>328</v>
      </c>
      <c r="H9" s="123" t="s">
        <v>329</v>
      </c>
      <c r="I9" s="122" t="s">
        <v>328</v>
      </c>
      <c r="J9" s="123" t="s">
        <v>329</v>
      </c>
      <c r="K9" s="122" t="s">
        <v>328</v>
      </c>
      <c r="L9" s="123" t="s">
        <v>329</v>
      </c>
      <c r="M9" s="122" t="s">
        <v>328</v>
      </c>
      <c r="N9" s="123" t="s">
        <v>329</v>
      </c>
      <c r="O9" s="122" t="s">
        <v>328</v>
      </c>
      <c r="P9" s="123" t="s">
        <v>329</v>
      </c>
      <c r="Q9" s="162"/>
    </row>
    <row r="10" spans="1:19" ht="14.4" x14ac:dyDescent="0.3">
      <c r="A10" s="124">
        <v>1</v>
      </c>
      <c r="B10" s="125" t="str">
        <f>PLANILHA!B6</f>
        <v>INSTALAÇÃO DOS SERVIÇOS DE ENGENHARIA</v>
      </c>
      <c r="C10" s="126">
        <f>PLANILHA!G9</f>
        <v>1530.750303</v>
      </c>
      <c r="D10" s="127">
        <f t="shared" ref="D10:D28" si="0">C10/$C$30</f>
        <v>3.4693723184220536E-3</v>
      </c>
      <c r="E10" s="128">
        <v>1</v>
      </c>
      <c r="F10" s="126">
        <f t="shared" ref="F10:F28" si="1">C10*E10</f>
        <v>1530.750303</v>
      </c>
      <c r="G10" s="128"/>
      <c r="H10" s="126">
        <f t="shared" ref="H10:H28" si="2">C10*G10</f>
        <v>0</v>
      </c>
      <c r="I10" s="128"/>
      <c r="J10" s="126">
        <f t="shared" ref="J10:J28" si="3">C10*I10</f>
        <v>0</v>
      </c>
      <c r="K10" s="128"/>
      <c r="L10" s="126">
        <f t="shared" ref="L10:L28" si="4">C10*K10</f>
        <v>0</v>
      </c>
      <c r="M10" s="128"/>
      <c r="N10" s="126">
        <f t="shared" ref="N10:N28" si="5">C10*M10</f>
        <v>0</v>
      </c>
      <c r="O10" s="128"/>
      <c r="P10" s="126">
        <f t="shared" ref="P10:P28" si="6">C10*O10</f>
        <v>0</v>
      </c>
      <c r="Q10" s="126">
        <f t="shared" ref="Q10:Q28" si="7">F10+H10+J10+L10+N10+P10</f>
        <v>1530.750303</v>
      </c>
      <c r="S10" t="str">
        <f>IF(Q10=C10,"ok","erro")</f>
        <v>ok</v>
      </c>
    </row>
    <row r="11" spans="1:19" ht="14.4" x14ac:dyDescent="0.3">
      <c r="A11" s="129">
        <v>2</v>
      </c>
      <c r="B11" s="130" t="str">
        <f>PLANILHA!B10</f>
        <v>DEMOLIÇÕES E REMOÇÕES</v>
      </c>
      <c r="C11" s="126">
        <f>PLANILHA!G48</f>
        <v>26350.174304997148</v>
      </c>
      <c r="D11" s="127">
        <f t="shared" si="0"/>
        <v>5.9721409259360564E-2</v>
      </c>
      <c r="E11" s="131">
        <v>1</v>
      </c>
      <c r="F11" s="126">
        <f t="shared" si="1"/>
        <v>26350.174304997148</v>
      </c>
      <c r="G11" s="131"/>
      <c r="H11" s="126">
        <f t="shared" si="2"/>
        <v>0</v>
      </c>
      <c r="I11" s="131"/>
      <c r="J11" s="126">
        <f t="shared" si="3"/>
        <v>0</v>
      </c>
      <c r="K11" s="131"/>
      <c r="L11" s="126">
        <f t="shared" si="4"/>
        <v>0</v>
      </c>
      <c r="M11" s="131"/>
      <c r="N11" s="126">
        <f t="shared" si="5"/>
        <v>0</v>
      </c>
      <c r="O11" s="131"/>
      <c r="P11" s="126">
        <f t="shared" si="6"/>
        <v>0</v>
      </c>
      <c r="Q11" s="126">
        <f t="shared" si="7"/>
        <v>26350.174304997148</v>
      </c>
      <c r="S11" t="str">
        <f t="shared" ref="S11:S30" si="8">IF(Q11=C11,"ok","erro")</f>
        <v>ok</v>
      </c>
    </row>
    <row r="12" spans="1:19" ht="14.4" x14ac:dyDescent="0.3">
      <c r="A12" s="129">
        <v>4</v>
      </c>
      <c r="B12" s="130" t="str">
        <f>PLANILHA!B49</f>
        <v>SONDAGEM, FUNDAÇÕES, MUROS E CONTENÇÕES</v>
      </c>
      <c r="C12" s="126">
        <f>PLANILHA!G52</f>
        <v>544.17730922999988</v>
      </c>
      <c r="D12" s="127">
        <f t="shared" si="0"/>
        <v>1.2333518335785425E-3</v>
      </c>
      <c r="E12" s="131"/>
      <c r="F12" s="126">
        <f t="shared" si="1"/>
        <v>0</v>
      </c>
      <c r="G12" s="131">
        <v>0.5</v>
      </c>
      <c r="H12" s="126">
        <f t="shared" si="2"/>
        <v>272.08865461499994</v>
      </c>
      <c r="I12" s="131">
        <v>0.5</v>
      </c>
      <c r="J12" s="126">
        <f t="shared" si="3"/>
        <v>272.08865461499994</v>
      </c>
      <c r="K12" s="131"/>
      <c r="L12" s="126">
        <f t="shared" si="4"/>
        <v>0</v>
      </c>
      <c r="M12" s="131"/>
      <c r="N12" s="126">
        <f t="shared" si="5"/>
        <v>0</v>
      </c>
      <c r="O12" s="131"/>
      <c r="P12" s="126">
        <f t="shared" si="6"/>
        <v>0</v>
      </c>
      <c r="Q12" s="126">
        <f t="shared" si="7"/>
        <v>544.17730922999988</v>
      </c>
      <c r="S12" t="str">
        <f t="shared" si="8"/>
        <v>ok</v>
      </c>
    </row>
    <row r="13" spans="1:19" ht="14.4" x14ac:dyDescent="0.3">
      <c r="A13" s="124">
        <v>7</v>
      </c>
      <c r="B13" s="130" t="str">
        <f>PLANILHA!B53</f>
        <v>COBERTURA E FORRO</v>
      </c>
      <c r="C13" s="126">
        <f>PLANILHA!G80</f>
        <v>216955.59594291222</v>
      </c>
      <c r="D13" s="127">
        <f t="shared" si="0"/>
        <v>0.49171947731510568</v>
      </c>
      <c r="E13" s="131"/>
      <c r="F13" s="126">
        <f t="shared" si="1"/>
        <v>0</v>
      </c>
      <c r="G13" s="131">
        <v>0.5</v>
      </c>
      <c r="H13" s="126">
        <f t="shared" si="2"/>
        <v>108477.79797145611</v>
      </c>
      <c r="I13" s="131">
        <v>0.5</v>
      </c>
      <c r="J13" s="126">
        <f t="shared" si="3"/>
        <v>108477.79797145611</v>
      </c>
      <c r="K13" s="131"/>
      <c r="L13" s="126">
        <f t="shared" si="4"/>
        <v>0</v>
      </c>
      <c r="M13" s="131"/>
      <c r="N13" s="126">
        <f t="shared" si="5"/>
        <v>0</v>
      </c>
      <c r="O13" s="131"/>
      <c r="P13" s="126">
        <f t="shared" si="6"/>
        <v>0</v>
      </c>
      <c r="Q13" s="126">
        <f t="shared" si="7"/>
        <v>216955.59594291222</v>
      </c>
      <c r="S13" t="str">
        <f t="shared" si="8"/>
        <v>ok</v>
      </c>
    </row>
    <row r="14" spans="1:19" ht="14.4" x14ac:dyDescent="0.3">
      <c r="A14" s="129">
        <v>8</v>
      </c>
      <c r="B14" s="132" t="str">
        <f>PLANILHA!B81</f>
        <v>INSTALAÇÕES HIDRÁULICAS</v>
      </c>
      <c r="C14" s="126">
        <f>PLANILHA!G126</f>
        <v>10418.225268</v>
      </c>
      <c r="D14" s="127">
        <f t="shared" si="0"/>
        <v>2.3612409078768205E-2</v>
      </c>
      <c r="E14" s="131"/>
      <c r="F14" s="126">
        <f t="shared" si="1"/>
        <v>0</v>
      </c>
      <c r="G14" s="131"/>
      <c r="H14" s="126">
        <f t="shared" si="2"/>
        <v>0</v>
      </c>
      <c r="I14" s="131">
        <v>0.5</v>
      </c>
      <c r="J14" s="126">
        <f t="shared" si="3"/>
        <v>5209.1126340000001</v>
      </c>
      <c r="K14" s="131">
        <v>0.5</v>
      </c>
      <c r="L14" s="126">
        <f t="shared" si="4"/>
        <v>5209.1126340000001</v>
      </c>
      <c r="M14" s="131"/>
      <c r="N14" s="126">
        <f t="shared" si="5"/>
        <v>0</v>
      </c>
      <c r="O14" s="131"/>
      <c r="P14" s="126">
        <f t="shared" si="6"/>
        <v>0</v>
      </c>
      <c r="Q14" s="126">
        <f t="shared" si="7"/>
        <v>10418.225268</v>
      </c>
      <c r="S14" t="str">
        <f t="shared" si="8"/>
        <v>ok</v>
      </c>
    </row>
    <row r="15" spans="1:19" ht="14.4" x14ac:dyDescent="0.3">
      <c r="A15" s="124">
        <v>9</v>
      </c>
      <c r="B15" s="130" t="str">
        <f>PLANILHA!B127</f>
        <v>INSTALAÇÕES SANITÁRIAS</v>
      </c>
      <c r="C15" s="126">
        <f>PLANILHA!G144</f>
        <v>3062.5458179999996</v>
      </c>
      <c r="D15" s="127">
        <f t="shared" si="0"/>
        <v>6.9411135598308115E-3</v>
      </c>
      <c r="E15" s="131"/>
      <c r="F15" s="126">
        <f t="shared" si="1"/>
        <v>0</v>
      </c>
      <c r="G15" s="131"/>
      <c r="H15" s="126">
        <f t="shared" si="2"/>
        <v>0</v>
      </c>
      <c r="I15" s="131">
        <v>0.5</v>
      </c>
      <c r="J15" s="126">
        <f t="shared" si="3"/>
        <v>1531.2729089999998</v>
      </c>
      <c r="K15" s="131">
        <v>0.5</v>
      </c>
      <c r="L15" s="126">
        <f t="shared" si="4"/>
        <v>1531.2729089999998</v>
      </c>
      <c r="M15" s="131"/>
      <c r="N15" s="126">
        <f t="shared" si="5"/>
        <v>0</v>
      </c>
      <c r="O15" s="131"/>
      <c r="P15" s="126">
        <f t="shared" si="6"/>
        <v>0</v>
      </c>
      <c r="Q15" s="126">
        <f t="shared" si="7"/>
        <v>3062.5458179999996</v>
      </c>
      <c r="S15" t="str">
        <f t="shared" si="8"/>
        <v>ok</v>
      </c>
    </row>
    <row r="16" spans="1:19" ht="14.4" x14ac:dyDescent="0.3">
      <c r="A16" s="129">
        <v>10</v>
      </c>
      <c r="B16" s="130" t="str">
        <f>PLANILHA!B145</f>
        <v>INSTALAÇÃO ELÉTRICA</v>
      </c>
      <c r="C16" s="126">
        <f>PLANILHA!G158</f>
        <v>1598.42778</v>
      </c>
      <c r="D16" s="127">
        <f t="shared" si="0"/>
        <v>3.6227600818112111E-3</v>
      </c>
      <c r="E16" s="131"/>
      <c r="F16" s="126">
        <f t="shared" si="1"/>
        <v>0</v>
      </c>
      <c r="G16" s="131"/>
      <c r="H16" s="126">
        <f t="shared" si="2"/>
        <v>0</v>
      </c>
      <c r="I16" s="131"/>
      <c r="J16" s="126">
        <f t="shared" si="3"/>
        <v>0</v>
      </c>
      <c r="K16" s="131">
        <v>0.5</v>
      </c>
      <c r="L16" s="126">
        <f t="shared" si="4"/>
        <v>799.21388999999999</v>
      </c>
      <c r="M16" s="131">
        <v>0.5</v>
      </c>
      <c r="N16" s="126">
        <f t="shared" si="5"/>
        <v>799.21388999999999</v>
      </c>
      <c r="O16" s="131"/>
      <c r="P16" s="126">
        <f t="shared" si="6"/>
        <v>0</v>
      </c>
      <c r="Q16" s="126">
        <f t="shared" si="7"/>
        <v>1598.42778</v>
      </c>
      <c r="S16" t="str">
        <f t="shared" si="8"/>
        <v>ok</v>
      </c>
    </row>
    <row r="17" spans="1:19" ht="14.4" x14ac:dyDescent="0.3">
      <c r="A17" s="124">
        <v>11</v>
      </c>
      <c r="B17" s="130" t="str">
        <f>PLANILHA!B159</f>
        <v>ESQUADRIAS DE MADEIRA</v>
      </c>
      <c r="C17" s="126">
        <f>PLANILHA!G169</f>
        <v>17509.453638999999</v>
      </c>
      <c r="D17" s="127">
        <f t="shared" si="0"/>
        <v>3.9684338880605068E-2</v>
      </c>
      <c r="E17" s="131"/>
      <c r="F17" s="126">
        <f t="shared" si="1"/>
        <v>0</v>
      </c>
      <c r="G17" s="131"/>
      <c r="H17" s="126">
        <f t="shared" si="2"/>
        <v>0</v>
      </c>
      <c r="I17" s="131"/>
      <c r="J17" s="126">
        <f t="shared" si="3"/>
        <v>0</v>
      </c>
      <c r="K17" s="131">
        <v>0.6</v>
      </c>
      <c r="L17" s="126">
        <f t="shared" si="4"/>
        <v>10505.6721834</v>
      </c>
      <c r="M17" s="131">
        <v>0.4</v>
      </c>
      <c r="N17" s="126">
        <f t="shared" si="5"/>
        <v>7003.7814556000003</v>
      </c>
      <c r="O17" s="131"/>
      <c r="P17" s="126">
        <f t="shared" si="6"/>
        <v>0</v>
      </c>
      <c r="Q17" s="126">
        <f t="shared" si="7"/>
        <v>17509.453638999999</v>
      </c>
      <c r="S17" t="str">
        <f t="shared" si="8"/>
        <v>ok</v>
      </c>
    </row>
    <row r="18" spans="1:19" ht="14.4" x14ac:dyDescent="0.3">
      <c r="A18" s="129">
        <v>12</v>
      </c>
      <c r="B18" s="130" t="str">
        <f>PLANILHA!B170</f>
        <v>ESQUADRIAS METÁLICAS</v>
      </c>
      <c r="C18" s="126">
        <f>PLANILHA!G189</f>
        <v>48950.112413184994</v>
      </c>
      <c r="D18" s="127">
        <f t="shared" si="0"/>
        <v>0.1109430876199224</v>
      </c>
      <c r="E18" s="131"/>
      <c r="F18" s="126">
        <f t="shared" si="1"/>
        <v>0</v>
      </c>
      <c r="G18" s="131"/>
      <c r="H18" s="126">
        <f t="shared" si="2"/>
        <v>0</v>
      </c>
      <c r="I18" s="131"/>
      <c r="J18" s="126">
        <f t="shared" si="3"/>
        <v>0</v>
      </c>
      <c r="K18" s="131">
        <v>0.5</v>
      </c>
      <c r="L18" s="126">
        <f t="shared" si="4"/>
        <v>24475.056206592497</v>
      </c>
      <c r="M18" s="131">
        <v>0.3</v>
      </c>
      <c r="N18" s="126">
        <f t="shared" si="5"/>
        <v>14685.033723955497</v>
      </c>
      <c r="O18" s="131">
        <v>0.2</v>
      </c>
      <c r="P18" s="126">
        <f t="shared" si="6"/>
        <v>9790.0224826369995</v>
      </c>
      <c r="Q18" s="126">
        <f t="shared" si="7"/>
        <v>48950.112413184994</v>
      </c>
      <c r="S18" t="str">
        <f t="shared" si="8"/>
        <v>ok</v>
      </c>
    </row>
    <row r="19" spans="1:19" ht="14.4" x14ac:dyDescent="0.3">
      <c r="A19" s="124">
        <v>13</v>
      </c>
      <c r="B19" s="132" t="str">
        <f>PLANILHA!B190</f>
        <v>FERRAGENS</v>
      </c>
      <c r="C19" s="126">
        <f>PLANILHA!G195</f>
        <v>1350.115272</v>
      </c>
      <c r="D19" s="127">
        <f t="shared" si="0"/>
        <v>3.059971663683977E-3</v>
      </c>
      <c r="E19" s="131"/>
      <c r="F19" s="126">
        <f t="shared" si="1"/>
        <v>0</v>
      </c>
      <c r="G19" s="131"/>
      <c r="H19" s="126">
        <f t="shared" si="2"/>
        <v>0</v>
      </c>
      <c r="I19" s="131"/>
      <c r="J19" s="126">
        <f t="shared" si="3"/>
        <v>0</v>
      </c>
      <c r="K19" s="131"/>
      <c r="L19" s="126">
        <f t="shared" si="4"/>
        <v>0</v>
      </c>
      <c r="M19" s="131"/>
      <c r="N19" s="126">
        <f t="shared" si="5"/>
        <v>0</v>
      </c>
      <c r="O19" s="131">
        <v>1</v>
      </c>
      <c r="P19" s="126">
        <f t="shared" si="6"/>
        <v>1350.115272</v>
      </c>
      <c r="Q19" s="126">
        <f t="shared" si="7"/>
        <v>1350.115272</v>
      </c>
      <c r="S19" t="str">
        <f t="shared" si="8"/>
        <v>ok</v>
      </c>
    </row>
    <row r="20" spans="1:19" ht="14.4" x14ac:dyDescent="0.3">
      <c r="A20" s="129">
        <v>14</v>
      </c>
      <c r="B20" s="130" t="str">
        <f>PLANILHA!B196</f>
        <v>REVESTIMENTO</v>
      </c>
      <c r="C20" s="126">
        <f>PLANILHA!G204</f>
        <v>36615.767426645005</v>
      </c>
      <c r="D20" s="127">
        <f t="shared" si="0"/>
        <v>8.2987884881563265E-2</v>
      </c>
      <c r="E20" s="131"/>
      <c r="F20" s="126">
        <f t="shared" si="1"/>
        <v>0</v>
      </c>
      <c r="G20" s="131"/>
      <c r="H20" s="126">
        <f t="shared" si="2"/>
        <v>0</v>
      </c>
      <c r="I20" s="131"/>
      <c r="J20" s="126">
        <f t="shared" si="3"/>
        <v>0</v>
      </c>
      <c r="K20" s="131">
        <v>0.6</v>
      </c>
      <c r="L20" s="126">
        <f t="shared" si="4"/>
        <v>21969.460455987002</v>
      </c>
      <c r="M20" s="131">
        <v>0.4</v>
      </c>
      <c r="N20" s="126">
        <f t="shared" si="5"/>
        <v>14646.306970658003</v>
      </c>
      <c r="O20" s="131"/>
      <c r="P20" s="126">
        <f t="shared" si="6"/>
        <v>0</v>
      </c>
      <c r="Q20" s="126">
        <f t="shared" si="7"/>
        <v>36615.767426645005</v>
      </c>
      <c r="S20" t="str">
        <f t="shared" si="8"/>
        <v>ok</v>
      </c>
    </row>
    <row r="21" spans="1:19" ht="15.75" customHeight="1" x14ac:dyDescent="0.3">
      <c r="A21" s="124">
        <v>15</v>
      </c>
      <c r="B21" s="130" t="str">
        <f>PLANILHA!B205</f>
        <v>PISOS E RODAPÉS</v>
      </c>
      <c r="C21" s="126">
        <f>PLANILHA!G220</f>
        <v>33761.812265529996</v>
      </c>
      <c r="D21" s="127">
        <f t="shared" si="0"/>
        <v>7.6519532064918322E-2</v>
      </c>
      <c r="E21" s="131"/>
      <c r="F21" s="126">
        <f t="shared" si="1"/>
        <v>0</v>
      </c>
      <c r="G21" s="131"/>
      <c r="H21" s="126">
        <f t="shared" si="2"/>
        <v>0</v>
      </c>
      <c r="I21" s="131"/>
      <c r="J21" s="126">
        <f t="shared" si="3"/>
        <v>0</v>
      </c>
      <c r="K21" s="131">
        <v>0.5</v>
      </c>
      <c r="L21" s="126">
        <f t="shared" si="4"/>
        <v>16880.906132764998</v>
      </c>
      <c r="M21" s="131">
        <v>0.4</v>
      </c>
      <c r="N21" s="126">
        <f t="shared" si="5"/>
        <v>13504.724906211999</v>
      </c>
      <c r="O21" s="131">
        <v>0.1</v>
      </c>
      <c r="P21" s="126">
        <f t="shared" si="6"/>
        <v>3376.1812265529998</v>
      </c>
      <c r="Q21" s="126">
        <f t="shared" si="7"/>
        <v>33761.812265529996</v>
      </c>
      <c r="S21" t="str">
        <f t="shared" si="8"/>
        <v>ok</v>
      </c>
    </row>
    <row r="22" spans="1:19" ht="15.75" customHeight="1" x14ac:dyDescent="0.3">
      <c r="A22" s="129">
        <v>16</v>
      </c>
      <c r="B22" s="130" t="str">
        <f>PLANILHA!B221</f>
        <v>VIDROS</v>
      </c>
      <c r="C22" s="126">
        <f>PLANILHA!G226</f>
        <v>417.07691700000004</v>
      </c>
      <c r="D22" s="127">
        <f t="shared" si="0"/>
        <v>9.4528487608773156E-4</v>
      </c>
      <c r="E22" s="131"/>
      <c r="F22" s="126">
        <f t="shared" si="1"/>
        <v>0</v>
      </c>
      <c r="G22" s="131"/>
      <c r="H22" s="126">
        <f t="shared" si="2"/>
        <v>0</v>
      </c>
      <c r="I22" s="131"/>
      <c r="J22" s="126">
        <f t="shared" si="3"/>
        <v>0</v>
      </c>
      <c r="K22" s="131"/>
      <c r="L22" s="126">
        <f t="shared" si="4"/>
        <v>0</v>
      </c>
      <c r="M22" s="131"/>
      <c r="N22" s="126">
        <f t="shared" si="5"/>
        <v>0</v>
      </c>
      <c r="O22" s="131">
        <v>1</v>
      </c>
      <c r="P22" s="126">
        <f t="shared" si="6"/>
        <v>417.07691700000004</v>
      </c>
      <c r="Q22" s="126">
        <f t="shared" si="7"/>
        <v>417.07691700000004</v>
      </c>
      <c r="S22" t="str">
        <f t="shared" si="8"/>
        <v>ok</v>
      </c>
    </row>
    <row r="23" spans="1:19" ht="15.75" customHeight="1" x14ac:dyDescent="0.3">
      <c r="A23" s="124">
        <v>17</v>
      </c>
      <c r="B23" s="130" t="str">
        <f>PLANILHA!B227</f>
        <v>PINTURA</v>
      </c>
      <c r="C23" s="126">
        <f>PLANILHA!G238</f>
        <v>16584.610897057497</v>
      </c>
      <c r="D23" s="127">
        <f t="shared" si="0"/>
        <v>3.7588227057860017E-2</v>
      </c>
      <c r="E23" s="131"/>
      <c r="F23" s="126">
        <f t="shared" si="1"/>
        <v>0</v>
      </c>
      <c r="G23" s="131"/>
      <c r="H23" s="126">
        <f t="shared" si="2"/>
        <v>0</v>
      </c>
      <c r="I23" s="131"/>
      <c r="J23" s="126">
        <f t="shared" si="3"/>
        <v>0</v>
      </c>
      <c r="K23" s="131"/>
      <c r="L23" s="126">
        <f t="shared" si="4"/>
        <v>0</v>
      </c>
      <c r="M23" s="131"/>
      <c r="N23" s="126">
        <f t="shared" si="5"/>
        <v>0</v>
      </c>
      <c r="O23" s="131">
        <v>1</v>
      </c>
      <c r="P23" s="126">
        <f t="shared" si="6"/>
        <v>16584.610897057497</v>
      </c>
      <c r="Q23" s="126">
        <f t="shared" si="7"/>
        <v>16584.610897057497</v>
      </c>
      <c r="S23" t="str">
        <f t="shared" si="8"/>
        <v>ok</v>
      </c>
    </row>
    <row r="24" spans="1:19" ht="15.75" customHeight="1" x14ac:dyDescent="0.3">
      <c r="A24" s="129">
        <v>18</v>
      </c>
      <c r="B24" s="130" t="str">
        <f>PLANILHA!B239</f>
        <v>BANCADAS, PRATELEIRAS E DIVISÓRIAS</v>
      </c>
      <c r="C24" s="126">
        <f>PLANILHA!G248</f>
        <v>10476.888115018</v>
      </c>
      <c r="D24" s="127">
        <f t="shared" si="0"/>
        <v>2.3745365614635101E-2</v>
      </c>
      <c r="E24" s="131"/>
      <c r="F24" s="126">
        <f t="shared" si="1"/>
        <v>0</v>
      </c>
      <c r="G24" s="131"/>
      <c r="H24" s="126">
        <f t="shared" si="2"/>
        <v>0</v>
      </c>
      <c r="I24" s="131"/>
      <c r="J24" s="126">
        <f t="shared" si="3"/>
        <v>0</v>
      </c>
      <c r="K24" s="131"/>
      <c r="L24" s="126">
        <f t="shared" si="4"/>
        <v>0</v>
      </c>
      <c r="M24" s="131">
        <v>1</v>
      </c>
      <c r="N24" s="126">
        <f t="shared" si="5"/>
        <v>10476.888115018</v>
      </c>
      <c r="O24" s="131"/>
      <c r="P24" s="126">
        <f t="shared" si="6"/>
        <v>0</v>
      </c>
      <c r="Q24" s="126">
        <f t="shared" si="7"/>
        <v>10476.888115018</v>
      </c>
      <c r="S24" t="str">
        <f t="shared" si="8"/>
        <v>ok</v>
      </c>
    </row>
    <row r="25" spans="1:19" ht="15.75" customHeight="1" x14ac:dyDescent="0.3">
      <c r="A25" s="124">
        <v>19</v>
      </c>
      <c r="B25" s="130" t="str">
        <f>PLANILHA!B249</f>
        <v>DIVERSOS</v>
      </c>
      <c r="C25" s="126">
        <f>PLANILHA!G264</f>
        <v>4988.4111429999994</v>
      </c>
      <c r="D25" s="127">
        <f t="shared" si="0"/>
        <v>1.1305995170155661E-2</v>
      </c>
      <c r="E25" s="131"/>
      <c r="F25" s="126">
        <f t="shared" si="1"/>
        <v>0</v>
      </c>
      <c r="G25" s="131"/>
      <c r="H25" s="126">
        <f t="shared" si="2"/>
        <v>0</v>
      </c>
      <c r="I25" s="131"/>
      <c r="J25" s="126">
        <f t="shared" si="3"/>
        <v>0</v>
      </c>
      <c r="K25" s="131"/>
      <c r="L25" s="126">
        <f t="shared" si="4"/>
        <v>0</v>
      </c>
      <c r="M25" s="131">
        <v>0.6</v>
      </c>
      <c r="N25" s="126">
        <f t="shared" si="5"/>
        <v>2993.0466857999995</v>
      </c>
      <c r="O25" s="131">
        <v>0.4</v>
      </c>
      <c r="P25" s="126">
        <f t="shared" si="6"/>
        <v>1995.3644571999998</v>
      </c>
      <c r="Q25" s="126">
        <f t="shared" si="7"/>
        <v>4988.4111429999994</v>
      </c>
      <c r="S25" t="str">
        <f t="shared" si="8"/>
        <v>ok</v>
      </c>
    </row>
    <row r="26" spans="1:19" ht="15.75" customHeight="1" x14ac:dyDescent="0.3">
      <c r="A26" s="124">
        <v>23</v>
      </c>
      <c r="B26" s="130" t="str">
        <f>PLANILHA!B265</f>
        <v>LIMPEZA</v>
      </c>
      <c r="C26" s="126">
        <f>PLANILHA!G271</f>
        <v>2854.8154079199999</v>
      </c>
      <c r="D26" s="127">
        <f t="shared" si="0"/>
        <v>6.4703025248673829E-3</v>
      </c>
      <c r="E26" s="131"/>
      <c r="F26" s="126">
        <f t="shared" si="1"/>
        <v>0</v>
      </c>
      <c r="G26" s="131"/>
      <c r="H26" s="126">
        <f t="shared" si="2"/>
        <v>0</v>
      </c>
      <c r="I26" s="131"/>
      <c r="J26" s="126">
        <f t="shared" si="3"/>
        <v>0</v>
      </c>
      <c r="K26" s="131"/>
      <c r="L26" s="126">
        <f t="shared" si="4"/>
        <v>0</v>
      </c>
      <c r="M26" s="131"/>
      <c r="N26" s="126">
        <f t="shared" si="5"/>
        <v>0</v>
      </c>
      <c r="O26" s="131">
        <v>1</v>
      </c>
      <c r="P26" s="126">
        <f t="shared" si="6"/>
        <v>2854.8154079199999</v>
      </c>
      <c r="Q26" s="126">
        <f t="shared" si="7"/>
        <v>2854.8154079199999</v>
      </c>
      <c r="S26" t="str">
        <f t="shared" si="8"/>
        <v>ok</v>
      </c>
    </row>
    <row r="27" spans="1:19" ht="15.75" customHeight="1" x14ac:dyDescent="0.3">
      <c r="A27" s="124">
        <v>24</v>
      </c>
      <c r="B27" s="130" t="str">
        <f>PLANILHA!B272</f>
        <v>LEVANTAMENTOS, E PROJETOS</v>
      </c>
      <c r="C27" s="126">
        <f>PLANILHA!G278</f>
        <v>3255.0640979999998</v>
      </c>
      <c r="D27" s="127">
        <f t="shared" si="0"/>
        <v>7.3774470298377925E-3</v>
      </c>
      <c r="E27" s="131"/>
      <c r="F27" s="126">
        <f t="shared" si="1"/>
        <v>0</v>
      </c>
      <c r="G27" s="131"/>
      <c r="H27" s="126">
        <f t="shared" si="2"/>
        <v>0</v>
      </c>
      <c r="I27" s="131"/>
      <c r="J27" s="126">
        <f t="shared" si="3"/>
        <v>0</v>
      </c>
      <c r="K27" s="131">
        <v>1</v>
      </c>
      <c r="L27" s="126">
        <f t="shared" si="4"/>
        <v>3255.0640979999998</v>
      </c>
      <c r="M27" s="131"/>
      <c r="N27" s="126">
        <f t="shared" si="5"/>
        <v>0</v>
      </c>
      <c r="O27" s="131"/>
      <c r="P27" s="126">
        <f t="shared" si="6"/>
        <v>0</v>
      </c>
      <c r="Q27" s="126">
        <f t="shared" si="7"/>
        <v>3255.0640979999998</v>
      </c>
      <c r="S27" t="str">
        <f t="shared" si="8"/>
        <v>ok</v>
      </c>
    </row>
    <row r="28" spans="1:19" ht="15.75" customHeight="1" x14ac:dyDescent="0.3">
      <c r="A28" s="124">
        <v>26</v>
      </c>
      <c r="B28" s="130" t="str">
        <f>PLANILHA!B279</f>
        <v>OUTROS</v>
      </c>
      <c r="C28" s="126">
        <f>PLANILHA!G286</f>
        <v>3994.2026399999995</v>
      </c>
      <c r="D28" s="127">
        <f t="shared" si="0"/>
        <v>9.0526691689861351E-3</v>
      </c>
      <c r="E28" s="131"/>
      <c r="F28" s="126">
        <f t="shared" si="1"/>
        <v>0</v>
      </c>
      <c r="G28" s="131"/>
      <c r="H28" s="126">
        <f t="shared" si="2"/>
        <v>0</v>
      </c>
      <c r="I28" s="131"/>
      <c r="J28" s="126">
        <f t="shared" si="3"/>
        <v>0</v>
      </c>
      <c r="K28" s="131">
        <v>0.3</v>
      </c>
      <c r="L28" s="126">
        <f t="shared" si="4"/>
        <v>1198.2607919999998</v>
      </c>
      <c r="M28" s="131"/>
      <c r="N28" s="126">
        <f t="shared" si="5"/>
        <v>0</v>
      </c>
      <c r="O28" s="131">
        <v>0.7</v>
      </c>
      <c r="P28" s="126">
        <f t="shared" si="6"/>
        <v>2795.9418479999995</v>
      </c>
      <c r="Q28" s="126">
        <f t="shared" si="7"/>
        <v>3994.2026399999995</v>
      </c>
      <c r="S28" t="str">
        <f t="shared" si="8"/>
        <v>ok</v>
      </c>
    </row>
    <row r="29" spans="1:19" ht="15.75" customHeight="1" x14ac:dyDescent="0.3">
      <c r="A29" s="167" t="s">
        <v>330</v>
      </c>
      <c r="B29" s="160"/>
      <c r="C29" s="133"/>
      <c r="D29" s="134"/>
      <c r="E29" s="131">
        <f>F29/C30</f>
        <v>6.3190781577782615E-2</v>
      </c>
      <c r="F29" s="133">
        <f>SUM(F10:F28)</f>
        <v>27880.924607997149</v>
      </c>
      <c r="G29" s="134">
        <f>H29/C30</f>
        <v>0.24647641457434211</v>
      </c>
      <c r="H29" s="133">
        <f>SUM(H10:H27)</f>
        <v>108749.88662607111</v>
      </c>
      <c r="I29" s="134">
        <f>J29/C30</f>
        <v>0.26175317589364167</v>
      </c>
      <c r="J29" s="133">
        <f>SUM(J10:J27)</f>
        <v>115490.27216907112</v>
      </c>
      <c r="K29" s="134">
        <f>L29/C30</f>
        <v>0.19180023248976427</v>
      </c>
      <c r="L29" s="133">
        <f>SUM(L10:L27)</f>
        <v>84625.758509744497</v>
      </c>
      <c r="M29" s="134">
        <f>N29/C30</f>
        <v>0.14529997137444547</v>
      </c>
      <c r="N29" s="133">
        <f>SUM(N10:N27)</f>
        <v>64108.995747243498</v>
      </c>
      <c r="O29" s="134">
        <f>P29/C30</f>
        <v>8.2426754921037682E-2</v>
      </c>
      <c r="P29" s="133">
        <f>SUM(P10:P27)</f>
        <v>36368.186660367493</v>
      </c>
      <c r="Q29" s="133">
        <f>SUM(Q10:Q28)</f>
        <v>441218.22696049488</v>
      </c>
    </row>
    <row r="30" spans="1:19" ht="15.75" customHeight="1" x14ac:dyDescent="0.3">
      <c r="A30" s="167" t="s">
        <v>331</v>
      </c>
      <c r="B30" s="160"/>
      <c r="C30" s="135">
        <f>SUM(C10:C28)</f>
        <v>441218.22696049488</v>
      </c>
      <c r="D30" s="136">
        <f>SUM(D10:D29)</f>
        <v>0.99999999999999989</v>
      </c>
      <c r="E30" s="131">
        <f>F30/C30</f>
        <v>6.3190781577782615E-2</v>
      </c>
      <c r="F30" s="133">
        <f>F29</f>
        <v>27880.924607997149</v>
      </c>
      <c r="G30" s="131">
        <f>H30/C30</f>
        <v>0.30966719615212468</v>
      </c>
      <c r="H30" s="133">
        <f>F30+H29</f>
        <v>136630.81123406824</v>
      </c>
      <c r="I30" s="131">
        <f>J30/C30</f>
        <v>0.57142037204576634</v>
      </c>
      <c r="J30" s="133">
        <f>H30+J29</f>
        <v>252121.08340313938</v>
      </c>
      <c r="K30" s="131">
        <f>L30/C30</f>
        <v>0.76322060453553064</v>
      </c>
      <c r="L30" s="133">
        <f>J30+L29</f>
        <v>336746.84191288386</v>
      </c>
      <c r="M30" s="131">
        <f>N30/C30</f>
        <v>0.90852057590997615</v>
      </c>
      <c r="N30" s="133">
        <f>L30+N29</f>
        <v>400855.83766012738</v>
      </c>
      <c r="O30" s="131">
        <f>P30/C30</f>
        <v>0.99094733083101383</v>
      </c>
      <c r="P30" s="133">
        <f>N30+P29</f>
        <v>437224.02432049485</v>
      </c>
      <c r="Q30" s="135">
        <f>Q29</f>
        <v>441218.22696049488</v>
      </c>
      <c r="S30" t="str">
        <f t="shared" si="8"/>
        <v>ok</v>
      </c>
    </row>
    <row r="31" spans="1:19" ht="15.75" customHeight="1" x14ac:dyDescent="0.3">
      <c r="A31" s="158" t="s">
        <v>430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60"/>
    </row>
    <row r="32" spans="1:19" ht="31.8" customHeight="1" x14ac:dyDescent="0.3">
      <c r="A32" s="158" t="s">
        <v>417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60"/>
    </row>
    <row r="33" spans="1:17" ht="36" customHeight="1" x14ac:dyDescent="0.3">
      <c r="A33" s="158" t="s">
        <v>418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60"/>
    </row>
    <row r="34" spans="1:17" ht="15.75" customHeight="1" x14ac:dyDescent="0.3"/>
    <row r="35" spans="1:17" ht="15.75" customHeight="1" x14ac:dyDescent="0.3"/>
    <row r="36" spans="1:17" ht="15.75" customHeight="1" x14ac:dyDescent="0.3"/>
    <row r="37" spans="1:17" ht="15.75" customHeight="1" x14ac:dyDescent="0.3"/>
    <row r="38" spans="1:17" ht="15.75" customHeight="1" x14ac:dyDescent="0.3"/>
    <row r="39" spans="1:17" ht="15.75" customHeight="1" x14ac:dyDescent="0.3"/>
    <row r="40" spans="1:17" ht="15.75" customHeight="1" x14ac:dyDescent="0.3"/>
    <row r="41" spans="1:17" ht="15.75" customHeight="1" x14ac:dyDescent="0.3"/>
    <row r="42" spans="1:17" ht="15.75" customHeight="1" x14ac:dyDescent="0.3"/>
    <row r="43" spans="1:17" ht="15.75" customHeight="1" x14ac:dyDescent="0.3"/>
    <row r="44" spans="1:17" ht="15.75" customHeight="1" x14ac:dyDescent="0.3"/>
    <row r="45" spans="1:17" ht="15.75" customHeight="1" x14ac:dyDescent="0.3"/>
    <row r="46" spans="1:17" ht="15.75" customHeight="1" x14ac:dyDescent="0.3"/>
    <row r="47" spans="1:17" ht="15.75" customHeight="1" x14ac:dyDescent="0.3"/>
    <row r="48" spans="1:17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</sheetData>
  <mergeCells count="23">
    <mergeCell ref="B7:Q7"/>
    <mergeCell ref="A8:A9"/>
    <mergeCell ref="A4:Q4"/>
    <mergeCell ref="B5:H5"/>
    <mergeCell ref="I5:Q5"/>
    <mergeCell ref="B6:H6"/>
    <mergeCell ref="I6:Q6"/>
    <mergeCell ref="B1:Q1"/>
    <mergeCell ref="A32:Q32"/>
    <mergeCell ref="A33:Q33"/>
    <mergeCell ref="D8:D9"/>
    <mergeCell ref="E8:F8"/>
    <mergeCell ref="G8:H8"/>
    <mergeCell ref="I8:J8"/>
    <mergeCell ref="K8:L8"/>
    <mergeCell ref="M8:N8"/>
    <mergeCell ref="O8:P8"/>
    <mergeCell ref="Q8:Q9"/>
    <mergeCell ref="B8:B9"/>
    <mergeCell ref="C8:C9"/>
    <mergeCell ref="A29:B29"/>
    <mergeCell ref="A30:B30"/>
    <mergeCell ref="A31:Q31"/>
  </mergeCells>
  <pageMargins left="0.48" right="0.7" top="0.26" bottom="0.75" header="0" footer="0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</vt:lpstr>
      <vt:lpstr>CRONOGRAMA</vt:lpstr>
      <vt:lpstr>CRONOGRAMA!Area_de_impressao</vt:lpstr>
      <vt:lpstr>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</dc:creator>
  <cp:lastModifiedBy>Nayara Oliveira</cp:lastModifiedBy>
  <cp:lastPrinted>2026-05-13T12:52:30Z</cp:lastPrinted>
  <dcterms:created xsi:type="dcterms:W3CDTF">2012-05-28T19:15:19Z</dcterms:created>
  <dcterms:modified xsi:type="dcterms:W3CDTF">2026-05-13T12:52:36Z</dcterms:modified>
</cp:coreProperties>
</file>