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vane Cardoso\Desktop\Particular\PREF. ORIZÂNIA\Secretaria de Obras\2024\Concreto Usinado\Licitação\"/>
    </mc:Choice>
  </mc:AlternateContent>
  <bookViews>
    <workbookView xWindow="0" yWindow="0" windowWidth="23040" windowHeight="8784"/>
  </bookViews>
  <sheets>
    <sheet name="Planilha Orçamentaria" sheetId="12" r:id="rId1"/>
    <sheet name="Composições" sheetId="14" r:id="rId2"/>
    <sheet name="BDI" sheetId="13" r:id="rId3"/>
    <sheet name="1° BM " sheetId="8" r:id="rId4"/>
    <sheet name="Cronograma" sheetId="15" r:id="rId5"/>
  </sheets>
  <externalReferences>
    <externalReference r:id="rId6"/>
    <externalReference r:id="rId7"/>
  </externalReferences>
  <definedNames>
    <definedName name="_xlnm.Print_Area" localSheetId="3">'1° BM '!$A$1:$Q$114</definedName>
    <definedName name="_xlnm.Print_Area" localSheetId="2">BDI!$A$1:$J$49</definedName>
    <definedName name="_xlnm.Print_Area" localSheetId="1">Composições!$A$1:$K$62</definedName>
    <definedName name="_xlnm.Print_Area" localSheetId="4">Cronograma!$A$1:$K$40</definedName>
    <definedName name="_xlnm.Print_Area" localSheetId="0">'Planilha Orçamentaria'!$A$1:$I$91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5" l="1"/>
  <c r="G82" i="12" l="1"/>
  <c r="G81" i="12"/>
  <c r="G80" i="12"/>
  <c r="G79" i="12"/>
  <c r="I38" i="13"/>
  <c r="G38" i="13"/>
  <c r="F38" i="13"/>
  <c r="E38" i="13"/>
  <c r="E39" i="13" s="1"/>
  <c r="D38" i="13"/>
  <c r="D39" i="13" s="1"/>
  <c r="C38" i="13"/>
  <c r="I37" i="13"/>
  <c r="I39" i="13" s="1"/>
  <c r="H37" i="13"/>
  <c r="E37" i="13"/>
  <c r="D37" i="13"/>
  <c r="C37" i="13"/>
  <c r="C39" i="13" s="1"/>
  <c r="I29" i="13"/>
  <c r="H29" i="13"/>
  <c r="H38" i="13" s="1"/>
  <c r="G29" i="13"/>
  <c r="F29" i="13"/>
  <c r="E29" i="13"/>
  <c r="D29" i="13"/>
  <c r="C29" i="13"/>
  <c r="I26" i="13"/>
  <c r="H26" i="13"/>
  <c r="G26" i="13"/>
  <c r="G37" i="13" s="1"/>
  <c r="G39" i="13" s="1"/>
  <c r="F26" i="13"/>
  <c r="F37" i="13" s="1"/>
  <c r="F39" i="13" s="1"/>
  <c r="E26" i="13"/>
  <c r="D26" i="13"/>
  <c r="C26" i="13"/>
  <c r="H39" i="13" l="1"/>
  <c r="E81" i="12"/>
  <c r="E82" i="12" s="1"/>
  <c r="E80" i="12"/>
  <c r="D82" i="12"/>
  <c r="D81" i="12"/>
  <c r="D80" i="12"/>
  <c r="D79" i="12"/>
  <c r="F82" i="12"/>
  <c r="F81" i="12"/>
  <c r="F80" i="12"/>
  <c r="F79" i="12"/>
  <c r="C82" i="12"/>
  <c r="C81" i="12"/>
  <c r="C80" i="12"/>
  <c r="C79" i="12"/>
  <c r="B82" i="12"/>
  <c r="B80" i="12"/>
  <c r="B79" i="12"/>
  <c r="A7" i="15" l="1"/>
  <c r="C13" i="15" l="1"/>
  <c r="C11" i="15"/>
  <c r="B39" i="15"/>
  <c r="B36" i="15"/>
  <c r="E35" i="15"/>
  <c r="H30" i="15"/>
  <c r="G30" i="15"/>
  <c r="F30" i="15"/>
  <c r="H28" i="15"/>
  <c r="G28" i="15"/>
  <c r="F28" i="15"/>
  <c r="H26" i="15"/>
  <c r="G26" i="15"/>
  <c r="F26" i="15"/>
  <c r="H24" i="15"/>
  <c r="G24" i="15"/>
  <c r="F24" i="15"/>
  <c r="H22" i="15"/>
  <c r="G22" i="15"/>
  <c r="F22" i="15"/>
  <c r="H20" i="15"/>
  <c r="G20" i="15"/>
  <c r="F20" i="15"/>
  <c r="H18" i="15"/>
  <c r="G18" i="15"/>
  <c r="F18" i="15"/>
  <c r="A9" i="15"/>
  <c r="A6" i="15"/>
  <c r="F142" i="12" l="1"/>
  <c r="G142" i="12" s="1"/>
  <c r="C142" i="12"/>
  <c r="B142" i="12"/>
  <c r="F141" i="12"/>
  <c r="G141" i="12" s="1"/>
  <c r="C141" i="12"/>
  <c r="B141" i="12"/>
  <c r="F140" i="12"/>
  <c r="G140" i="12" s="1"/>
  <c r="D140" i="12"/>
  <c r="C140" i="12"/>
  <c r="B140" i="12"/>
  <c r="F139" i="12"/>
  <c r="G139" i="12" s="1"/>
  <c r="C139" i="12"/>
  <c r="B139" i="12"/>
  <c r="G138" i="12"/>
  <c r="H138" i="12" s="1"/>
  <c r="G137" i="12"/>
  <c r="I137" i="12" s="1"/>
  <c r="G136" i="12"/>
  <c r="H136" i="12" s="1"/>
  <c r="G135" i="12"/>
  <c r="I135" i="12" s="1"/>
  <c r="G134" i="12"/>
  <c r="H134" i="12" s="1"/>
  <c r="G133" i="12"/>
  <c r="I133" i="12" s="1"/>
  <c r="G132" i="12"/>
  <c r="I132" i="12" s="1"/>
  <c r="D132" i="12"/>
  <c r="G131" i="12"/>
  <c r="H131" i="12" s="1"/>
  <c r="I130" i="12"/>
  <c r="H130" i="12"/>
  <c r="G130" i="12"/>
  <c r="G129" i="12"/>
  <c r="I129" i="12" s="1"/>
  <c r="G128" i="12"/>
  <c r="H128" i="12" s="1"/>
  <c r="G127" i="12"/>
  <c r="I127" i="12" s="1"/>
  <c r="G126" i="12"/>
  <c r="I126" i="12" s="1"/>
  <c r="G125" i="12"/>
  <c r="I125" i="12" s="1"/>
  <c r="G124" i="12"/>
  <c r="H124" i="12" s="1"/>
  <c r="G123" i="12"/>
  <c r="H123" i="12" s="1"/>
  <c r="G122" i="12"/>
  <c r="H122" i="12" s="1"/>
  <c r="G121" i="12"/>
  <c r="H121" i="12" s="1"/>
  <c r="G120" i="12"/>
  <c r="I120" i="12" s="1"/>
  <c r="G119" i="12"/>
  <c r="H119" i="12" s="1"/>
  <c r="G118" i="12"/>
  <c r="H118" i="12" s="1"/>
  <c r="I119" i="12" l="1"/>
  <c r="I136" i="12"/>
  <c r="H135" i="12"/>
  <c r="H126" i="12"/>
  <c r="I131" i="12"/>
  <c r="I139" i="12"/>
  <c r="H139" i="12"/>
  <c r="I141" i="12"/>
  <c r="H141" i="12"/>
  <c r="H140" i="12"/>
  <c r="I140" i="12"/>
  <c r="I142" i="12"/>
  <c r="I134" i="12" s="1"/>
  <c r="H142" i="12"/>
  <c r="I121" i="12"/>
  <c r="H137" i="12"/>
  <c r="I138" i="12"/>
  <c r="H127" i="12"/>
  <c r="I123" i="12"/>
  <c r="I118" i="12"/>
  <c r="H129" i="12"/>
  <c r="H132" i="12"/>
  <c r="I122" i="12"/>
  <c r="H133" i="12"/>
  <c r="I128" i="12"/>
  <c r="I124" i="12" s="1"/>
  <c r="H125" i="12"/>
  <c r="H120" i="12"/>
  <c r="G10" i="12"/>
  <c r="E12" i="15" l="1"/>
  <c r="H12" i="15" s="1"/>
  <c r="H32" i="15" s="1"/>
  <c r="E14" i="15" l="1"/>
  <c r="G26" i="12"/>
  <c r="G25" i="12"/>
  <c r="G24" i="12"/>
  <c r="G14" i="12"/>
  <c r="G13" i="12"/>
  <c r="L26" i="8"/>
  <c r="L25" i="8"/>
  <c r="L15" i="8"/>
  <c r="A6" i="8"/>
  <c r="A5" i="8"/>
  <c r="C27" i="8"/>
  <c r="C26" i="8"/>
  <c r="C25" i="8"/>
  <c r="C24" i="8"/>
  <c r="C15" i="8"/>
  <c r="F14" i="15" l="1"/>
  <c r="F32" i="15" s="1"/>
  <c r="F16" i="15"/>
  <c r="H16" i="15"/>
  <c r="G16" i="15"/>
  <c r="H13" i="12"/>
  <c r="H14" i="12"/>
  <c r="O15" i="8" s="1"/>
  <c r="H19" i="12"/>
  <c r="H20" i="12"/>
  <c r="H21" i="12"/>
  <c r="H22" i="12"/>
  <c r="H24" i="12"/>
  <c r="H25" i="12"/>
  <c r="O26" i="8" s="1"/>
  <c r="H26" i="12"/>
  <c r="O27" i="8" s="1"/>
  <c r="H39" i="12"/>
  <c r="H40" i="12"/>
  <c r="H41" i="12"/>
  <c r="H42" i="12"/>
  <c r="H43" i="12"/>
  <c r="H55" i="12"/>
  <c r="H56" i="12"/>
  <c r="H57" i="12"/>
  <c r="H58" i="12"/>
  <c r="H59" i="12"/>
  <c r="H71" i="12"/>
  <c r="G15" i="12"/>
  <c r="H15" i="12" s="1"/>
  <c r="G16" i="12"/>
  <c r="H16" i="12" s="1"/>
  <c r="G17" i="12"/>
  <c r="H17" i="12" s="1"/>
  <c r="G18" i="12"/>
  <c r="H18" i="12" s="1"/>
  <c r="G19" i="12"/>
  <c r="G20" i="12"/>
  <c r="G21" i="12"/>
  <c r="G22" i="12"/>
  <c r="G27" i="12"/>
  <c r="H27" i="12" s="1"/>
  <c r="G28" i="12"/>
  <c r="H28" i="12" s="1"/>
  <c r="G29" i="12"/>
  <c r="H29" i="12" s="1"/>
  <c r="G30" i="12"/>
  <c r="H30" i="12" s="1"/>
  <c r="G31" i="12"/>
  <c r="H31" i="12" s="1"/>
  <c r="G32" i="12"/>
  <c r="H32" i="12" s="1"/>
  <c r="G33" i="12"/>
  <c r="H33" i="12" s="1"/>
  <c r="G34" i="12"/>
  <c r="H34" i="12" s="1"/>
  <c r="G35" i="12"/>
  <c r="H35" i="12" s="1"/>
  <c r="G36" i="12"/>
  <c r="H36" i="12" s="1"/>
  <c r="G37" i="12"/>
  <c r="H37" i="12" s="1"/>
  <c r="G38" i="12"/>
  <c r="H38" i="12" s="1"/>
  <c r="G39" i="12"/>
  <c r="G40" i="12"/>
  <c r="G41" i="12"/>
  <c r="G42" i="12"/>
  <c r="G43" i="12"/>
  <c r="G44" i="12"/>
  <c r="H44" i="12" s="1"/>
  <c r="G45" i="12"/>
  <c r="H45" i="12" s="1"/>
  <c r="G46" i="12"/>
  <c r="H46" i="12" s="1"/>
  <c r="G47" i="12"/>
  <c r="H47" i="12" s="1"/>
  <c r="G48" i="12"/>
  <c r="H48" i="12" s="1"/>
  <c r="G49" i="12"/>
  <c r="H49" i="12" s="1"/>
  <c r="G50" i="12"/>
  <c r="H50" i="12" s="1"/>
  <c r="G51" i="12"/>
  <c r="H51" i="12" s="1"/>
  <c r="G52" i="12"/>
  <c r="H52" i="12" s="1"/>
  <c r="G53" i="12"/>
  <c r="H53" i="12" s="1"/>
  <c r="G54" i="12"/>
  <c r="H54" i="12" s="1"/>
  <c r="G55" i="12"/>
  <c r="G56" i="12"/>
  <c r="G57" i="12"/>
  <c r="G58" i="12"/>
  <c r="G59" i="12"/>
  <c r="G60" i="12"/>
  <c r="H60" i="12" s="1"/>
  <c r="G61" i="12"/>
  <c r="H61" i="12" s="1"/>
  <c r="G62" i="12"/>
  <c r="H62" i="12" s="1"/>
  <c r="G63" i="12"/>
  <c r="H63" i="12" s="1"/>
  <c r="G64" i="12"/>
  <c r="H64" i="12" s="1"/>
  <c r="G65" i="12"/>
  <c r="H65" i="12" s="1"/>
  <c r="G66" i="12"/>
  <c r="H66" i="12" s="1"/>
  <c r="G67" i="12"/>
  <c r="H67" i="12" s="1"/>
  <c r="G68" i="12"/>
  <c r="H68" i="12" s="1"/>
  <c r="G69" i="12"/>
  <c r="H69" i="12" s="1"/>
  <c r="G70" i="12"/>
  <c r="H70" i="12" s="1"/>
  <c r="G71" i="12"/>
  <c r="G72" i="12"/>
  <c r="H72" i="12" s="1"/>
  <c r="G73" i="12"/>
  <c r="H73" i="12" s="1"/>
  <c r="G74" i="12"/>
  <c r="H74" i="12" s="1"/>
  <c r="G75" i="12"/>
  <c r="H75" i="12" s="1"/>
  <c r="G76" i="12"/>
  <c r="H76" i="12" s="1"/>
  <c r="G77" i="12"/>
  <c r="H77" i="12" s="1"/>
  <c r="G78" i="12"/>
  <c r="H78" i="12" s="1"/>
  <c r="H79" i="12"/>
  <c r="H80" i="12"/>
  <c r="H81" i="12"/>
  <c r="H82" i="12"/>
  <c r="J13" i="12" l="1"/>
  <c r="J26" i="12"/>
  <c r="Q27" i="8" s="1"/>
  <c r="J25" i="12"/>
  <c r="Q26" i="8" s="1"/>
  <c r="J24" i="12"/>
  <c r="Q25" i="8" s="1"/>
  <c r="O25" i="8"/>
  <c r="J14" i="12"/>
  <c r="P15" i="8" s="1"/>
  <c r="J12" i="12"/>
  <c r="A4" i="8"/>
  <c r="P39" i="8"/>
  <c r="Q39" i="8" s="1"/>
  <c r="J104" i="8"/>
  <c r="L104" i="8" s="1"/>
  <c r="Q50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M39" i="8"/>
  <c r="L41" i="8"/>
  <c r="M41" i="8" s="1"/>
  <c r="L42" i="8"/>
  <c r="M42" i="8" s="1"/>
  <c r="M43" i="8"/>
  <c r="L45" i="8"/>
  <c r="M45" i="8" s="1"/>
  <c r="L95" i="8"/>
  <c r="M95" i="8" s="1"/>
  <c r="J15" i="8"/>
  <c r="M15" i="8" s="1"/>
  <c r="J16" i="8"/>
  <c r="L16" i="8" s="1"/>
  <c r="M16" i="8" s="1"/>
  <c r="J17" i="8"/>
  <c r="L17" i="8" s="1"/>
  <c r="M17" i="8" s="1"/>
  <c r="J18" i="8"/>
  <c r="L18" i="8" s="1"/>
  <c r="M18" i="8" s="1"/>
  <c r="J19" i="8"/>
  <c r="L19" i="8" s="1"/>
  <c r="M19" i="8" s="1"/>
  <c r="J20" i="8"/>
  <c r="L20" i="8" s="1"/>
  <c r="M20" i="8" s="1"/>
  <c r="J21" i="8"/>
  <c r="L21" i="8" s="1"/>
  <c r="M21" i="8" s="1"/>
  <c r="J22" i="8"/>
  <c r="L22" i="8" s="1"/>
  <c r="M22" i="8" s="1"/>
  <c r="J23" i="8"/>
  <c r="L23" i="8" s="1"/>
  <c r="M23" i="8" s="1"/>
  <c r="J25" i="8"/>
  <c r="M25" i="8" s="1"/>
  <c r="J26" i="8"/>
  <c r="M26" i="8" s="1"/>
  <c r="J27" i="8"/>
  <c r="L27" i="8" s="1"/>
  <c r="M27" i="8" s="1"/>
  <c r="J29" i="8"/>
  <c r="L29" i="8" s="1"/>
  <c r="M29" i="8" s="1"/>
  <c r="J30" i="8"/>
  <c r="L30" i="8" s="1"/>
  <c r="J31" i="8"/>
  <c r="L31" i="8" s="1"/>
  <c r="M31" i="8" s="1"/>
  <c r="J32" i="8"/>
  <c r="L32" i="8" s="1"/>
  <c r="M32" i="8" s="1"/>
  <c r="J33" i="8"/>
  <c r="L33" i="8" s="1"/>
  <c r="M33" i="8" s="1"/>
  <c r="J35" i="8"/>
  <c r="L35" i="8" s="1"/>
  <c r="M35" i="8" s="1"/>
  <c r="J36" i="8"/>
  <c r="L36" i="8" s="1"/>
  <c r="M36" i="8" s="1"/>
  <c r="J37" i="8"/>
  <c r="L37" i="8" s="1"/>
  <c r="M37" i="8" s="1"/>
  <c r="J38" i="8"/>
  <c r="L38" i="8" s="1"/>
  <c r="M38" i="8" s="1"/>
  <c r="J39" i="8"/>
  <c r="J41" i="8"/>
  <c r="J42" i="8"/>
  <c r="J43" i="8"/>
  <c r="J44" i="8"/>
  <c r="L44" i="8" s="1"/>
  <c r="J45" i="8"/>
  <c r="J46" i="8"/>
  <c r="L46" i="8" s="1"/>
  <c r="J47" i="8"/>
  <c r="J49" i="8"/>
  <c r="L49" i="8" s="1"/>
  <c r="J50" i="8"/>
  <c r="L50" i="8" s="1"/>
  <c r="J51" i="8"/>
  <c r="L51" i="8" s="1"/>
  <c r="M51" i="8" s="1"/>
  <c r="J52" i="8"/>
  <c r="L52" i="8" s="1"/>
  <c r="M52" i="8" s="1"/>
  <c r="J53" i="8"/>
  <c r="L53" i="8" s="1"/>
  <c r="J54" i="8"/>
  <c r="L54" i="8" s="1"/>
  <c r="M54" i="8" s="1"/>
  <c r="J55" i="8"/>
  <c r="L55" i="8" s="1"/>
  <c r="J56" i="8"/>
  <c r="L56" i="8" s="1"/>
  <c r="M56" i="8" s="1"/>
  <c r="J58" i="8"/>
  <c r="L58" i="8" s="1"/>
  <c r="M58" i="8" s="1"/>
  <c r="J59" i="8"/>
  <c r="L59" i="8" s="1"/>
  <c r="J60" i="8"/>
  <c r="L60" i="8" s="1"/>
  <c r="M60" i="8" s="1"/>
  <c r="J61" i="8"/>
  <c r="L61" i="8" s="1"/>
  <c r="M61" i="8" s="1"/>
  <c r="J62" i="8"/>
  <c r="L62" i="8" s="1"/>
  <c r="M62" i="8" s="1"/>
  <c r="J63" i="8"/>
  <c r="L63" i="8" s="1"/>
  <c r="J64" i="8"/>
  <c r="L64" i="8" s="1"/>
  <c r="M64" i="8" s="1"/>
  <c r="J66" i="8"/>
  <c r="L66" i="8" s="1"/>
  <c r="M66" i="8" s="1"/>
  <c r="J67" i="8"/>
  <c r="L67" i="8" s="1"/>
  <c r="M67" i="8" s="1"/>
  <c r="J68" i="8"/>
  <c r="L68" i="8" s="1"/>
  <c r="J69" i="8"/>
  <c r="L69" i="8" s="1"/>
  <c r="M69" i="8" s="1"/>
  <c r="J70" i="8"/>
  <c r="L70" i="8" s="1"/>
  <c r="M70" i="8" s="1"/>
  <c r="J71" i="8"/>
  <c r="L71" i="8" s="1"/>
  <c r="M71" i="8" s="1"/>
  <c r="J72" i="8"/>
  <c r="L72" i="8" s="1"/>
  <c r="J73" i="8"/>
  <c r="L73" i="8" s="1"/>
  <c r="M73" i="8" s="1"/>
  <c r="J74" i="8"/>
  <c r="L74" i="8" s="1"/>
  <c r="M74" i="8" s="1"/>
  <c r="J76" i="8"/>
  <c r="L76" i="8" s="1"/>
  <c r="M76" i="8" s="1"/>
  <c r="J77" i="8"/>
  <c r="L77" i="8" s="1"/>
  <c r="M77" i="8" s="1"/>
  <c r="J78" i="8"/>
  <c r="L78" i="8" s="1"/>
  <c r="M78" i="8" s="1"/>
  <c r="J79" i="8"/>
  <c r="L79" i="8" s="1"/>
  <c r="M79" i="8" s="1"/>
  <c r="J80" i="8"/>
  <c r="L80" i="8" s="1"/>
  <c r="M80" i="8" s="1"/>
  <c r="J81" i="8"/>
  <c r="L81" i="8" s="1"/>
  <c r="M81" i="8" s="1"/>
  <c r="J82" i="8"/>
  <c r="L82" i="8" s="1"/>
  <c r="M82" i="8" s="1"/>
  <c r="J83" i="8"/>
  <c r="L83" i="8" s="1"/>
  <c r="M83" i="8" s="1"/>
  <c r="J84" i="8"/>
  <c r="L84" i="8" s="1"/>
  <c r="M84" i="8" s="1"/>
  <c r="J86" i="8"/>
  <c r="L86" i="8" s="1"/>
  <c r="M86" i="8" s="1"/>
  <c r="J87" i="8"/>
  <c r="L87" i="8" s="1"/>
  <c r="M87" i="8" s="1"/>
  <c r="J88" i="8"/>
  <c r="L88" i="8" s="1"/>
  <c r="M88" i="8" s="1"/>
  <c r="J89" i="8"/>
  <c r="L89" i="8" s="1"/>
  <c r="M89" i="8" s="1"/>
  <c r="J90" i="8"/>
  <c r="L90" i="8" s="1"/>
  <c r="M90" i="8" s="1"/>
  <c r="J91" i="8"/>
  <c r="L91" i="8" s="1"/>
  <c r="M91" i="8" s="1"/>
  <c r="J92" i="8"/>
  <c r="L92" i="8" s="1"/>
  <c r="M92" i="8" s="1"/>
  <c r="J93" i="8"/>
  <c r="L93" i="8" s="1"/>
  <c r="J94" i="8"/>
  <c r="J95" i="8"/>
  <c r="J96" i="8"/>
  <c r="L96" i="8" s="1"/>
  <c r="M96" i="8" s="1"/>
  <c r="J97" i="8"/>
  <c r="L97" i="8" s="1"/>
  <c r="M97" i="8" s="1"/>
  <c r="J98" i="8"/>
  <c r="L98" i="8" s="1"/>
  <c r="M98" i="8" s="1"/>
  <c r="J99" i="8"/>
  <c r="L99" i="8" s="1"/>
  <c r="M99" i="8" s="1"/>
  <c r="J100" i="8"/>
  <c r="L100" i="8" s="1"/>
  <c r="J101" i="8"/>
  <c r="L101" i="8" s="1"/>
  <c r="J102" i="8"/>
  <c r="L102" i="8" s="1"/>
  <c r="J103" i="8"/>
  <c r="L103" i="8" s="1"/>
  <c r="M103" i="8" s="1"/>
  <c r="J105" i="8"/>
  <c r="L105" i="8" s="1"/>
  <c r="M105" i="8" s="1"/>
  <c r="J90" i="12"/>
  <c r="P91" i="8" s="1"/>
  <c r="J91" i="12"/>
  <c r="J102" i="12"/>
  <c r="J101" i="12"/>
  <c r="J100" i="12"/>
  <c r="J99" i="12"/>
  <c r="Q100" i="8" s="1"/>
  <c r="J98" i="12"/>
  <c r="J96" i="12"/>
  <c r="J95" i="12"/>
  <c r="J94" i="12"/>
  <c r="J93" i="12"/>
  <c r="J92" i="12"/>
  <c r="J89" i="12"/>
  <c r="J88" i="12"/>
  <c r="J87" i="12"/>
  <c r="J86" i="12"/>
  <c r="Q87" i="8" s="1"/>
  <c r="J85" i="12"/>
  <c r="J83" i="12"/>
  <c r="P84" i="8" s="1"/>
  <c r="I82" i="12"/>
  <c r="I81" i="12"/>
  <c r="J81" i="12" s="1"/>
  <c r="I80" i="12"/>
  <c r="J80" i="12" s="1"/>
  <c r="Q81" i="8" s="1"/>
  <c r="I79" i="12"/>
  <c r="I78" i="12"/>
  <c r="J78" i="12" s="1"/>
  <c r="I77" i="12"/>
  <c r="J77" i="12" s="1"/>
  <c r="I76" i="12"/>
  <c r="J76" i="12" s="1"/>
  <c r="I75" i="12"/>
  <c r="J75" i="12" s="1"/>
  <c r="I70" i="12"/>
  <c r="J70" i="12" s="1"/>
  <c r="I72" i="12"/>
  <c r="J72" i="12" s="1"/>
  <c r="P73" i="8" s="1"/>
  <c r="D72" i="12"/>
  <c r="I71" i="12"/>
  <c r="J71" i="12" s="1"/>
  <c r="I69" i="12"/>
  <c r="J69" i="12" s="1"/>
  <c r="Q70" i="8" s="1"/>
  <c r="I68" i="12"/>
  <c r="J68" i="12" s="1"/>
  <c r="I65" i="12"/>
  <c r="J65" i="12" s="1"/>
  <c r="I55" i="12"/>
  <c r="J55" i="12" s="1"/>
  <c r="P56" i="8" s="1"/>
  <c r="Q56" i="8" s="1"/>
  <c r="I54" i="12"/>
  <c r="J54" i="12" s="1"/>
  <c r="P55" i="8" s="1"/>
  <c r="Q55" i="8" s="1"/>
  <c r="I53" i="12"/>
  <c r="J53" i="12" s="1"/>
  <c r="P54" i="8" s="1"/>
  <c r="Q54" i="8" s="1"/>
  <c r="I52" i="12"/>
  <c r="J52" i="12" s="1"/>
  <c r="P53" i="8" s="1"/>
  <c r="Q53" i="8" s="1"/>
  <c r="I51" i="12"/>
  <c r="J51" i="12" s="1"/>
  <c r="P52" i="8" s="1"/>
  <c r="Q52" i="8" s="1"/>
  <c r="I50" i="12"/>
  <c r="J50" i="12" s="1"/>
  <c r="P51" i="8" s="1"/>
  <c r="Q51" i="8" s="1"/>
  <c r="I49" i="12"/>
  <c r="J49" i="12" s="1"/>
  <c r="P50" i="8" s="1"/>
  <c r="I48" i="12"/>
  <c r="J48" i="12" s="1"/>
  <c r="P49" i="8" s="1"/>
  <c r="Q49" i="8" s="1"/>
  <c r="I45" i="12"/>
  <c r="J45" i="12" s="1"/>
  <c r="I44" i="12"/>
  <c r="J44" i="12" s="1"/>
  <c r="I43" i="12"/>
  <c r="J43" i="12" s="1"/>
  <c r="I42" i="12"/>
  <c r="J42" i="12" s="1"/>
  <c r="I41" i="12"/>
  <c r="J41" i="12" s="1"/>
  <c r="Q42" i="8" s="1"/>
  <c r="I40" i="12"/>
  <c r="J40" i="12" s="1"/>
  <c r="I37" i="12"/>
  <c r="J37" i="12" s="1"/>
  <c r="Q38" i="8" s="1"/>
  <c r="I36" i="12"/>
  <c r="J36" i="12" s="1"/>
  <c r="I35" i="12"/>
  <c r="J35" i="12" s="1"/>
  <c r="I34" i="12"/>
  <c r="J34" i="12" s="1"/>
  <c r="I32" i="12"/>
  <c r="J32" i="12" s="1"/>
  <c r="I31" i="12"/>
  <c r="J31" i="12" s="1"/>
  <c r="P32" i="8" s="1"/>
  <c r="I30" i="12"/>
  <c r="J30" i="12" s="1"/>
  <c r="Q31" i="8" s="1"/>
  <c r="I29" i="12"/>
  <c r="J29" i="12" s="1"/>
  <c r="Q30" i="8" s="1"/>
  <c r="I28" i="12"/>
  <c r="J28" i="12" s="1"/>
  <c r="I21" i="12"/>
  <c r="J21" i="12" s="1"/>
  <c r="I19" i="12"/>
  <c r="J19" i="12" s="1"/>
  <c r="I18" i="12"/>
  <c r="J18" i="12" s="1"/>
  <c r="Q19" i="8" s="1"/>
  <c r="I16" i="12"/>
  <c r="J16" i="12" s="1"/>
  <c r="P17" i="8" s="1"/>
  <c r="I15" i="12"/>
  <c r="J15" i="12" s="1"/>
  <c r="I14" i="12"/>
  <c r="I13" i="12"/>
  <c r="I10" i="12"/>
  <c r="J10" i="12" s="1"/>
  <c r="J9" i="12" s="1"/>
  <c r="H73" i="8"/>
  <c r="H72" i="8"/>
  <c r="O72" i="8" s="1"/>
  <c r="C72" i="8"/>
  <c r="H93" i="8"/>
  <c r="O93" i="8" s="1"/>
  <c r="C93" i="8"/>
  <c r="H55" i="8"/>
  <c r="O55" i="8" s="1"/>
  <c r="C55" i="8"/>
  <c r="C101" i="8"/>
  <c r="C102" i="8"/>
  <c r="C46" i="8"/>
  <c r="H46" i="8"/>
  <c r="O46" i="8" s="1"/>
  <c r="H101" i="8"/>
  <c r="H100" i="8"/>
  <c r="O100" i="8" s="1"/>
  <c r="C100" i="8"/>
  <c r="H32" i="8"/>
  <c r="C54" i="8"/>
  <c r="C73" i="8"/>
  <c r="C63" i="8"/>
  <c r="C32" i="8"/>
  <c r="M30" i="8"/>
  <c r="M44" i="8"/>
  <c r="M47" i="8"/>
  <c r="M49" i="8"/>
  <c r="M50" i="8"/>
  <c r="M53" i="8"/>
  <c r="M59" i="8"/>
  <c r="M68" i="8"/>
  <c r="M94" i="8"/>
  <c r="J82" i="12" l="1"/>
  <c r="Q83" i="8" s="1"/>
  <c r="I84" i="12"/>
  <c r="J79" i="12"/>
  <c r="P80" i="8" s="1"/>
  <c r="I11" i="12"/>
  <c r="P100" i="8"/>
  <c r="Q101" i="8"/>
  <c r="P101" i="8"/>
  <c r="Q102" i="8"/>
  <c r="P102" i="8"/>
  <c r="Q103" i="8"/>
  <c r="P103" i="8"/>
  <c r="P70" i="8"/>
  <c r="P86" i="8"/>
  <c r="I24" i="12"/>
  <c r="P37" i="8"/>
  <c r="Q37" i="8"/>
  <c r="Q15" i="8"/>
  <c r="P45" i="8"/>
  <c r="Q45" i="8"/>
  <c r="P16" i="8"/>
  <c r="Q16" i="8"/>
  <c r="P22" i="8"/>
  <c r="Q22" i="8"/>
  <c r="P44" i="8"/>
  <c r="Q44" i="8"/>
  <c r="P29" i="8"/>
  <c r="Q29" i="8"/>
  <c r="Q36" i="8"/>
  <c r="P41" i="8"/>
  <c r="Q41" i="8"/>
  <c r="P69" i="8"/>
  <c r="P79" i="8"/>
  <c r="Q79" i="8"/>
  <c r="P88" i="8"/>
  <c r="Q96" i="8"/>
  <c r="Q66" i="8"/>
  <c r="Q82" i="8"/>
  <c r="Q93" i="8"/>
  <c r="P20" i="8"/>
  <c r="P38" i="8"/>
  <c r="P19" i="8"/>
  <c r="Q78" i="8"/>
  <c r="Q32" i="8"/>
  <c r="Q71" i="8"/>
  <c r="Q80" i="8"/>
  <c r="Q84" i="8"/>
  <c r="P87" i="8"/>
  <c r="P89" i="8"/>
  <c r="Q89" i="8"/>
  <c r="Q90" i="8"/>
  <c r="P90" i="8"/>
  <c r="Q95" i="8"/>
  <c r="P95" i="8"/>
  <c r="P97" i="8"/>
  <c r="Q97" i="8"/>
  <c r="P92" i="8"/>
  <c r="Q73" i="8"/>
  <c r="Q92" i="8"/>
  <c r="P36" i="8"/>
  <c r="P66" i="8"/>
  <c r="P82" i="8"/>
  <c r="P96" i="8"/>
  <c r="P31" i="8"/>
  <c r="P99" i="8"/>
  <c r="Q99" i="8"/>
  <c r="P42" i="8"/>
  <c r="Q17" i="8"/>
  <c r="P35" i="8"/>
  <c r="Q35" i="8"/>
  <c r="P46" i="8"/>
  <c r="Q46" i="8"/>
  <c r="P30" i="8"/>
  <c r="P72" i="8"/>
  <c r="Q72" i="8"/>
  <c r="P81" i="8"/>
  <c r="P93" i="8"/>
  <c r="Q91" i="8"/>
  <c r="Q20" i="8"/>
  <c r="Q69" i="8"/>
  <c r="Q86" i="8"/>
  <c r="Q88" i="8"/>
  <c r="P33" i="8"/>
  <c r="P71" i="8"/>
  <c r="P78" i="8"/>
  <c r="H10" i="12"/>
  <c r="I9" i="12"/>
  <c r="J74" i="12"/>
  <c r="I20" i="12"/>
  <c r="J20" i="12" s="1"/>
  <c r="I38" i="12"/>
  <c r="I46" i="12"/>
  <c r="I74" i="12"/>
  <c r="J47" i="12"/>
  <c r="I67" i="12"/>
  <c r="J67" i="12" s="1"/>
  <c r="I66" i="12"/>
  <c r="J66" i="12" s="1"/>
  <c r="I26" i="12"/>
  <c r="I57" i="12"/>
  <c r="I59" i="12"/>
  <c r="J59" i="12" s="1"/>
  <c r="I61" i="12"/>
  <c r="J61" i="12" s="1"/>
  <c r="I63" i="12"/>
  <c r="J63" i="12" s="1"/>
  <c r="I17" i="12"/>
  <c r="J17" i="12" s="1"/>
  <c r="I25" i="12"/>
  <c r="J27" i="12"/>
  <c r="I22" i="12"/>
  <c r="J22" i="12" s="1"/>
  <c r="I27" i="12"/>
  <c r="I47" i="12"/>
  <c r="I58" i="12"/>
  <c r="J58" i="12" s="1"/>
  <c r="I60" i="12"/>
  <c r="J60" i="12" s="1"/>
  <c r="I62" i="12"/>
  <c r="J62" i="12" s="1"/>
  <c r="I73" i="12"/>
  <c r="J73" i="12" s="1"/>
  <c r="O32" i="8"/>
  <c r="H102" i="8"/>
  <c r="O102" i="8" s="1"/>
  <c r="O73" i="8"/>
  <c r="H54" i="8"/>
  <c r="O54" i="8" s="1"/>
  <c r="O101" i="8"/>
  <c r="H63" i="8"/>
  <c r="O63" i="8" s="1"/>
  <c r="G45" i="8"/>
  <c r="H45" i="8" s="1"/>
  <c r="E44" i="8"/>
  <c r="G44" i="8"/>
  <c r="H44" i="8" s="1"/>
  <c r="E79" i="8"/>
  <c r="E27" i="8"/>
  <c r="E26" i="8"/>
  <c r="G52" i="8"/>
  <c r="H52" i="8" s="1"/>
  <c r="G51" i="8"/>
  <c r="H51" i="8" s="1"/>
  <c r="G53" i="8"/>
  <c r="H53" i="8" s="1"/>
  <c r="G20" i="8"/>
  <c r="H20" i="8" s="1"/>
  <c r="G19" i="8"/>
  <c r="H19" i="8" s="1"/>
  <c r="G61" i="8"/>
  <c r="H61" i="8" s="1"/>
  <c r="G42" i="8"/>
  <c r="H42" i="8" s="1"/>
  <c r="G62" i="8"/>
  <c r="H62" i="8" s="1"/>
  <c r="G21" i="8"/>
  <c r="H21" i="8" s="1"/>
  <c r="E31" i="8"/>
  <c r="E21" i="8" s="1"/>
  <c r="E35" i="8"/>
  <c r="G71" i="8"/>
  <c r="H71" i="8" s="1"/>
  <c r="E74" i="8"/>
  <c r="E71" i="8" s="1"/>
  <c r="E66" i="8"/>
  <c r="E67" i="8" s="1"/>
  <c r="G69" i="8"/>
  <c r="H69" i="8" s="1"/>
  <c r="E69" i="8"/>
  <c r="G70" i="8"/>
  <c r="H70" i="8" s="1"/>
  <c r="P83" i="8" l="1"/>
  <c r="J97" i="12"/>
  <c r="E10" i="15"/>
  <c r="P25" i="8"/>
  <c r="I23" i="12"/>
  <c r="Q74" i="8"/>
  <c r="P74" i="8"/>
  <c r="Q61" i="8"/>
  <c r="P61" i="8"/>
  <c r="P64" i="8"/>
  <c r="Q64" i="8"/>
  <c r="P67" i="8"/>
  <c r="Q67" i="8"/>
  <c r="J38" i="12"/>
  <c r="J33" i="12" s="1"/>
  <c r="Q18" i="8"/>
  <c r="P18" i="8"/>
  <c r="P27" i="8"/>
  <c r="J46" i="12"/>
  <c r="J39" i="12" s="1"/>
  <c r="Q59" i="8"/>
  <c r="P59" i="8"/>
  <c r="P62" i="8"/>
  <c r="Q62" i="8"/>
  <c r="Q21" i="8"/>
  <c r="P21" i="8"/>
  <c r="P60" i="8"/>
  <c r="Q60" i="8"/>
  <c r="Q63" i="8"/>
  <c r="P63" i="8"/>
  <c r="P23" i="8"/>
  <c r="Q23" i="8"/>
  <c r="P68" i="8"/>
  <c r="Q68" i="8"/>
  <c r="P26" i="8"/>
  <c r="J64" i="12"/>
  <c r="I39" i="12"/>
  <c r="J23" i="12"/>
  <c r="J104" i="12"/>
  <c r="J103" i="12" s="1"/>
  <c r="I56" i="12"/>
  <c r="J57" i="12"/>
  <c r="I64" i="12"/>
  <c r="J11" i="12"/>
  <c r="J105" i="12" s="1"/>
  <c r="I33" i="12"/>
  <c r="I70" i="8"/>
  <c r="O70" i="8"/>
  <c r="I61" i="8"/>
  <c r="O61" i="8"/>
  <c r="I51" i="8"/>
  <c r="O51" i="8"/>
  <c r="I69" i="8"/>
  <c r="O69" i="8"/>
  <c r="I53" i="8"/>
  <c r="O53" i="8"/>
  <c r="I42" i="8"/>
  <c r="O42" i="8"/>
  <c r="I21" i="8"/>
  <c r="O21" i="8"/>
  <c r="I52" i="8"/>
  <c r="O52" i="8"/>
  <c r="I44" i="8"/>
  <c r="O44" i="8"/>
  <c r="I45" i="8"/>
  <c r="O45" i="8"/>
  <c r="I19" i="8"/>
  <c r="O19" i="8"/>
  <c r="I71" i="8"/>
  <c r="O71" i="8"/>
  <c r="I62" i="8"/>
  <c r="O62" i="8"/>
  <c r="I20" i="8"/>
  <c r="O20" i="8"/>
  <c r="G97" i="8"/>
  <c r="H97" i="8" s="1"/>
  <c r="G79" i="8"/>
  <c r="H79" i="8" s="1"/>
  <c r="G80" i="8"/>
  <c r="H80" i="8" s="1"/>
  <c r="G81" i="8"/>
  <c r="H81" i="8" s="1"/>
  <c r="G82" i="8"/>
  <c r="H82" i="8" s="1"/>
  <c r="G83" i="8"/>
  <c r="H83" i="8" s="1"/>
  <c r="G84" i="8"/>
  <c r="H84" i="8" s="1"/>
  <c r="G78" i="8"/>
  <c r="H78" i="8" s="1"/>
  <c r="G77" i="8"/>
  <c r="H77" i="8" s="1"/>
  <c r="P77" i="8" s="1"/>
  <c r="E18" i="8"/>
  <c r="G18" i="8"/>
  <c r="H18" i="8" s="1"/>
  <c r="G99" i="8"/>
  <c r="H99" i="8" s="1"/>
  <c r="G98" i="8"/>
  <c r="H98" i="8" s="1"/>
  <c r="G95" i="8"/>
  <c r="H95" i="8" s="1"/>
  <c r="G96" i="8"/>
  <c r="H96" i="8" s="1"/>
  <c r="G103" i="8"/>
  <c r="H103" i="8" s="1"/>
  <c r="G86" i="8"/>
  <c r="H86" i="8" s="1"/>
  <c r="G87" i="8"/>
  <c r="H87" i="8" s="1"/>
  <c r="G88" i="8"/>
  <c r="H88" i="8" s="1"/>
  <c r="G89" i="8"/>
  <c r="H89" i="8" s="1"/>
  <c r="G90" i="8"/>
  <c r="H90" i="8" s="1"/>
  <c r="G91" i="8"/>
  <c r="H91" i="8" s="1"/>
  <c r="G92" i="8"/>
  <c r="H92" i="8" s="1"/>
  <c r="G94" i="8"/>
  <c r="H94" i="8" s="1"/>
  <c r="G10" i="15" l="1"/>
  <c r="G32" i="15" s="1"/>
  <c r="E32" i="15"/>
  <c r="E11" i="15" s="1"/>
  <c r="P98" i="8"/>
  <c r="J84" i="12"/>
  <c r="Q98" i="8"/>
  <c r="Q77" i="8"/>
  <c r="J56" i="12"/>
  <c r="Q58" i="8"/>
  <c r="P58" i="8"/>
  <c r="I89" i="8"/>
  <c r="O89" i="8"/>
  <c r="I78" i="8"/>
  <c r="O78" i="8"/>
  <c r="I92" i="8"/>
  <c r="O92" i="8"/>
  <c r="I88" i="8"/>
  <c r="O88" i="8"/>
  <c r="I96" i="8"/>
  <c r="O96" i="8"/>
  <c r="I18" i="8"/>
  <c r="O18" i="8"/>
  <c r="I84" i="8"/>
  <c r="O84" i="8"/>
  <c r="I80" i="8"/>
  <c r="O80" i="8"/>
  <c r="I94" i="8"/>
  <c r="O94" i="8"/>
  <c r="I99" i="8"/>
  <c r="O99" i="8"/>
  <c r="I87" i="8"/>
  <c r="O87" i="8"/>
  <c r="I83" i="8"/>
  <c r="O83" i="8"/>
  <c r="I79" i="8"/>
  <c r="O79" i="8"/>
  <c r="I103" i="8"/>
  <c r="O103" i="8"/>
  <c r="I81" i="8"/>
  <c r="O81" i="8"/>
  <c r="I91" i="8"/>
  <c r="O91" i="8"/>
  <c r="I95" i="8"/>
  <c r="O95" i="8"/>
  <c r="I90" i="8"/>
  <c r="O90" i="8"/>
  <c r="I86" i="8"/>
  <c r="O86" i="8"/>
  <c r="I98" i="8"/>
  <c r="O98" i="8"/>
  <c r="I77" i="8"/>
  <c r="O77" i="8"/>
  <c r="I82" i="8"/>
  <c r="O82" i="8"/>
  <c r="I97" i="8"/>
  <c r="O97" i="8"/>
  <c r="G105" i="8"/>
  <c r="H105" i="8" s="1"/>
  <c r="G66" i="8"/>
  <c r="H66" i="8" s="1"/>
  <c r="G67" i="8"/>
  <c r="H67" i="8" s="1"/>
  <c r="G60" i="8"/>
  <c r="H60" i="8" s="1"/>
  <c r="G58" i="8"/>
  <c r="H58" i="8" s="1"/>
  <c r="G59" i="8"/>
  <c r="H59" i="8" s="1"/>
  <c r="G64" i="8"/>
  <c r="H64" i="8" s="1"/>
  <c r="E9" i="15" l="1"/>
  <c r="E13" i="15" s="1"/>
  <c r="F31" i="15" s="1"/>
  <c r="H31" i="15"/>
  <c r="G31" i="15"/>
  <c r="P85" i="8"/>
  <c r="Q85" i="8"/>
  <c r="I64" i="8"/>
  <c r="O64" i="8"/>
  <c r="I67" i="8"/>
  <c r="O67" i="8"/>
  <c r="I59" i="8"/>
  <c r="O59" i="8"/>
  <c r="I60" i="8"/>
  <c r="O60" i="8"/>
  <c r="I66" i="8"/>
  <c r="O66" i="8"/>
  <c r="I58" i="8"/>
  <c r="O58" i="8"/>
  <c r="I105" i="8"/>
  <c r="P105" i="8"/>
  <c r="P104" i="8" s="1"/>
  <c r="O105" i="8"/>
  <c r="Q105" i="8" s="1"/>
  <c r="Q104" i="8" s="1"/>
  <c r="G49" i="8"/>
  <c r="H49" i="8" s="1"/>
  <c r="G50" i="8"/>
  <c r="H50" i="8" s="1"/>
  <c r="G56" i="8"/>
  <c r="H56" i="8" s="1"/>
  <c r="G68" i="8"/>
  <c r="H68" i="8" s="1"/>
  <c r="G74" i="8"/>
  <c r="H74" i="8" s="1"/>
  <c r="G76" i="8"/>
  <c r="H76" i="8" s="1"/>
  <c r="P76" i="8" s="1"/>
  <c r="Q76" i="8" s="1"/>
  <c r="L7" i="8" l="1"/>
  <c r="Q57" i="8"/>
  <c r="I50" i="8"/>
  <c r="O50" i="8"/>
  <c r="I74" i="8"/>
  <c r="O74" i="8"/>
  <c r="I49" i="8"/>
  <c r="O49" i="8"/>
  <c r="I76" i="8"/>
  <c r="O76" i="8"/>
  <c r="Q75" i="8" s="1"/>
  <c r="P75" i="8"/>
  <c r="I68" i="8"/>
  <c r="P65" i="8"/>
  <c r="O68" i="8"/>
  <c r="Q65" i="8" s="1"/>
  <c r="I56" i="8"/>
  <c r="O56" i="8"/>
  <c r="P57" i="8"/>
  <c r="G41" i="8"/>
  <c r="H41" i="8" s="1"/>
  <c r="G43" i="8"/>
  <c r="H43" i="8" s="1"/>
  <c r="G47" i="8"/>
  <c r="H47" i="8" s="1"/>
  <c r="G22" i="8"/>
  <c r="H22" i="8" s="1"/>
  <c r="G17" i="8"/>
  <c r="H17" i="8" s="1"/>
  <c r="G16" i="8"/>
  <c r="H16" i="8" s="1"/>
  <c r="G15" i="8"/>
  <c r="H15" i="8" s="1"/>
  <c r="G23" i="8"/>
  <c r="H23" i="8" s="1"/>
  <c r="G25" i="8"/>
  <c r="H25" i="8" s="1"/>
  <c r="G26" i="8"/>
  <c r="H26" i="8" s="1"/>
  <c r="G27" i="8"/>
  <c r="H27" i="8" s="1"/>
  <c r="G29" i="8"/>
  <c r="H29" i="8" s="1"/>
  <c r="G30" i="8"/>
  <c r="H30" i="8" s="1"/>
  <c r="G31" i="8"/>
  <c r="H31" i="8" s="1"/>
  <c r="G33" i="8"/>
  <c r="H33" i="8" s="1"/>
  <c r="G35" i="8"/>
  <c r="H35" i="8" s="1"/>
  <c r="G36" i="8"/>
  <c r="H36" i="8" s="1"/>
  <c r="G37" i="8"/>
  <c r="H37" i="8" s="1"/>
  <c r="G38" i="8"/>
  <c r="H38" i="8" s="1"/>
  <c r="G39" i="8"/>
  <c r="H39" i="8" s="1"/>
  <c r="P48" i="8" l="1"/>
  <c r="Q48" i="8"/>
  <c r="I38" i="8"/>
  <c r="O38" i="8"/>
  <c r="I37" i="8"/>
  <c r="O37" i="8"/>
  <c r="I31" i="8"/>
  <c r="O31" i="8"/>
  <c r="I26" i="8"/>
  <c r="I22" i="8"/>
  <c r="O22" i="8"/>
  <c r="I33" i="8"/>
  <c r="O33" i="8"/>
  <c r="Q33" i="8" s="1"/>
  <c r="I17" i="8"/>
  <c r="O17" i="8"/>
  <c r="I36" i="8"/>
  <c r="O36" i="8"/>
  <c r="I30" i="8"/>
  <c r="O30" i="8"/>
  <c r="I25" i="8"/>
  <c r="I15" i="8"/>
  <c r="I47" i="8"/>
  <c r="O47" i="8"/>
  <c r="I27" i="8"/>
  <c r="I41" i="8"/>
  <c r="O41" i="8"/>
  <c r="I39" i="8"/>
  <c r="O39" i="8"/>
  <c r="I35" i="8"/>
  <c r="O35" i="8"/>
  <c r="I29" i="8"/>
  <c r="O29" i="8"/>
  <c r="I23" i="8"/>
  <c r="O23" i="8"/>
  <c r="I16" i="8"/>
  <c r="O16" i="8"/>
  <c r="I43" i="8"/>
  <c r="O43" i="8"/>
  <c r="P40" i="8" l="1"/>
  <c r="Q40" i="8"/>
  <c r="Q28" i="8"/>
  <c r="P34" i="8"/>
  <c r="P28" i="8"/>
  <c r="P24" i="8"/>
  <c r="P106" i="8" s="1"/>
  <c r="Q34" i="8"/>
  <c r="Q24" i="8"/>
  <c r="Q106" i="8" l="1"/>
  <c r="P7" i="8" s="1"/>
</calcChain>
</file>

<file path=xl/sharedStrings.xml><?xml version="1.0" encoding="utf-8"?>
<sst xmlns="http://schemas.openxmlformats.org/spreadsheetml/2006/main" count="958" uniqueCount="434">
  <si>
    <t>SERVIÇOS PRELIMINARES</t>
  </si>
  <si>
    <t>ITEM</t>
  </si>
  <si>
    <t>1.0</t>
  </si>
  <si>
    <t xml:space="preserve">PREFEITURA MUNICIPAL DE ORIZÂNIA - ESTADO DE MINAS GERAIS   CNPJ: 01.616.271/0001-39      </t>
  </si>
  <si>
    <t>PREFEITURA MUNICIPAL DE ORIZÂNIA - MG</t>
  </si>
  <si>
    <t>ISS:</t>
  </si>
  <si>
    <t>FORMA DE EXECUÇÃO:</t>
  </si>
  <si>
    <t>(    )</t>
  </si>
  <si>
    <t>DIRETA</t>
  </si>
  <si>
    <t>(  x  )</t>
  </si>
  <si>
    <t>INDIRETA</t>
  </si>
  <si>
    <t>BDI:</t>
  </si>
  <si>
    <t>REFERÊNCIA</t>
  </si>
  <si>
    <t>DESCRIÇÃO</t>
  </si>
  <si>
    <t>UNIDADE</t>
  </si>
  <si>
    <t>QUANT.</t>
  </si>
  <si>
    <r>
      <rPr>
        <b/>
        <sz val="8"/>
        <rFont val="Arial"/>
        <family val="2"/>
      </rPr>
      <t>PREÇO
UNITÁRIO S/ BDI</t>
    </r>
  </si>
  <si>
    <t>PREÇO TOTAL</t>
  </si>
  <si>
    <t>1.1</t>
  </si>
  <si>
    <t>2.1</t>
  </si>
  <si>
    <t>m³</t>
  </si>
  <si>
    <t>2.2</t>
  </si>
  <si>
    <t>2.3</t>
  </si>
  <si>
    <t>m²</t>
  </si>
  <si>
    <t>3.1</t>
  </si>
  <si>
    <t>3.2</t>
  </si>
  <si>
    <t>3.3</t>
  </si>
  <si>
    <t>4.1</t>
  </si>
  <si>
    <t>VALOR TOTAL DA OBRA</t>
  </si>
  <si>
    <t>LIMPEZA FINAL PARA ENTREGA DA OBRA</t>
  </si>
  <si>
    <t>4.2</t>
  </si>
  <si>
    <t>4.3</t>
  </si>
  <si>
    <t>4.4</t>
  </si>
  <si>
    <t>5.1</t>
  </si>
  <si>
    <t>5.2</t>
  </si>
  <si>
    <t>5.3</t>
  </si>
  <si>
    <t>6.1</t>
  </si>
  <si>
    <t>7.1</t>
  </si>
  <si>
    <t>PINTURA</t>
  </si>
  <si>
    <t>6.2</t>
  </si>
  <si>
    <t>PREÇO LICITADO</t>
  </si>
  <si>
    <t>Und</t>
  </si>
  <si>
    <t>M²</t>
  </si>
  <si>
    <t>SETOP ED-48450</t>
  </si>
  <si>
    <t>DEMOLIÇÃO DE DIVISÓRIA DE PEDRAS (MÁRMORE, GRANITO, ARDÓSIA, MARMORITE), INCLUSIVE AFASTAMENTO</t>
  </si>
  <si>
    <t>SETOP ED-48467</t>
  </si>
  <si>
    <t>SETOP ED-48493</t>
  </si>
  <si>
    <t>REMOÇÃO DE PORTA OU JANELA INCLUSIVE MARCO E ALIZAR, INCLUSIVE AFASTAMENTO E EMPILHAMENTO</t>
  </si>
  <si>
    <t>SETOP ED-51133</t>
  </si>
  <si>
    <t>M³</t>
  </si>
  <si>
    <t>SETOPED-51125</t>
  </si>
  <si>
    <t>SETOP RO-43886</t>
  </si>
  <si>
    <t>ALVENARIA</t>
  </si>
  <si>
    <t>ALVENARIA DE VEDAÇÃO COM TIJOLO CERÂMICO FURADO, ESP. 9CM, PARA REVESTIMENTO, INCLUSIVE ARGAMASSA PARA ASSENTAMENTO</t>
  </si>
  <si>
    <t>SETOP ED-48231</t>
  </si>
  <si>
    <t>CHAPISCO COM ARGAMASSA, TRAÇO 1:2:3 (CIMENTO, AREIA E PEDRISCO), APLICADO COM COLHER, ESP. 5MM, PREPARO MECÂNICO</t>
  </si>
  <si>
    <t>SETOP ED-50730</t>
  </si>
  <si>
    <t>SETOP ED-50735</t>
  </si>
  <si>
    <t xml:space="preserve">REBOCO COM ARGAMASSA, TRAÇO 1:2:9 (CIMENTO, CAL E AREIA), COM ADITIVO IMPERMEABILIZANTE, ESP. 20MM, APLICAÇÃO MANUAL, PREPARO MECÂNICO
</t>
  </si>
  <si>
    <t>SETOP ED-50760</t>
  </si>
  <si>
    <t>EMASSAMENTO EM PAREDE COM MASSA ACRÍLICA, DUAS (2) DEMÃOS, INCLUSIVE LIXAMENTO PARA PINTURA</t>
  </si>
  <si>
    <t>SETOP ED-50474</t>
  </si>
  <si>
    <t>ELETRICA</t>
  </si>
  <si>
    <t>CONTRAPISO DESEMPENADO COM ARGAMASSA, TRAÇO 1:3 (CIMENTO E AREIA), ESP. 50MM</t>
  </si>
  <si>
    <t>REVESTIMENTO COM CERÂMICA APLICADO EM PAREDE, ACABAMENTO ESMALTADO, AMBIENTE INTERNO/EXTERNO, PADRÃO EXTRA, DIMENSÃO DA PEÇA ATÉ 2025 CM2, PEI III, ASSENTAMENTO COM ARGAMASSA INDUSTRIALIZADA, INCLUSIVE REJUNTAMENTO</t>
  </si>
  <si>
    <t>SETOP ED-9081</t>
  </si>
  <si>
    <t>SOLEIRA DE GRANITO CINZA ANDORINHA E = 2 CM</t>
  </si>
  <si>
    <t>SETOP ED-51002</t>
  </si>
  <si>
    <t>DIVISÓRIA EM GRANITO CINZA ANDORINHA E = 3 CM, INCLUSIVE FERRAGENS EM LATÃO CROMADO</t>
  </si>
  <si>
    <t>SETOP ED-48533</t>
  </si>
  <si>
    <t xml:space="preserve">SETOP ED-48462 </t>
  </si>
  <si>
    <t xml:space="preserve">DEMOLIÇÃO DE FORRO DE PERFIS EXCLUSIVE ESTRUTURA DE SUSTENTAÇÃO COM AFASTAMENTO E EMPILHAMENTO </t>
  </si>
  <si>
    <t xml:space="preserve">DEMOLIÇÃO DE ALVENARIA DE TIJOLO CERÂMICO SEM APROVEITAMENTO DO MATERIAL, INCLUSIVE AFASTAMENTO </t>
  </si>
  <si>
    <t xml:space="preserve">SETOP ED-48436 </t>
  </si>
  <si>
    <t>ESQUADRIAS</t>
  </si>
  <si>
    <t>FORNECIMENTO E ASSENTAMENTO DE PORTA EM ALUMÍNIO, TIPO VENEZIANA, DE ABRIR, ACABAMENTO ANODIZADO NATURAL, INCLUSIVE FECHADURA E MARCO</t>
  </si>
  <si>
    <t>SETOP ED-7576</t>
  </si>
  <si>
    <t>VIDRO TEMPERADO INCOLOR, ESP. 10MM, INCLUSIVE FIXAÇÃO E VEDAÇÃO COM GUARNIÇÃO/GAXETA DE BORRACHA NEOPRENE, FORNECIMENTO E INSTALAÇÃO, EXCLUSIVE CAIXILHO/PERFIL</t>
  </si>
  <si>
    <t xml:space="preserve">SETOP ED-51160 </t>
  </si>
  <si>
    <t>PONTO DE EMBUTIR PARA ÁGUA FRIA EM TUBO PVC RÍGIDO ROSCÁVEL, DN 1/2" (20MM), EMBUTIDO NA ALVENARIA COM ISTÂNCIA DE ATÉ CINCO (5) METROS DA TOMADA DE ÁGUA, INCLUSIVE CONEXÕES E FIXAÇÃO DO TUBO COM ENCHIMENTO DO RASGO NA ALVENARIA/CONCRETO COM ARGAMASSA</t>
  </si>
  <si>
    <t xml:space="preserve">SETOP ED-50222 </t>
  </si>
  <si>
    <t>PONTO DE EMBUTIR PARA ESGOTO EM TUBO PVC RÍGIDO, PBV - SÉRIE NORMAL, DN 100MM (4"), EMBUTIDO EM PISO COM DISTÂNCIA DE ATÉ CINCO (5) METROS DA RAMAL DE ESGOTO, INCLUSIVE CONEXÕES E FIXAÇÃO DO TUBO COM ENCHIMENTO DO RASGO NO CONCRETO COM ARGAMASSA</t>
  </si>
  <si>
    <t xml:space="preserve">SETOP ED-50225 </t>
  </si>
  <si>
    <t>PONTO DE EMBUTIR PARA ESGOTO EM TUBO PVC RÍGIDO, PBV - SÉRIE NORMAL, DN 50MM (2"), EMBUTIDO EM PISO COM DISTÂNCIA DE ATÉ CINCO (5) METROS DA RAMAL DE ESGOTO,EXCLUSIVE ESCAVAÇÃO, INCLUSIVE CONEXÕES E FIXAÇÃO DO TUBO COM ENCHIMENTO DO RASGO NO CONCRETO COM ARGAMASSA</t>
  </si>
  <si>
    <t>SETOP ED-50224</t>
  </si>
  <si>
    <t>LOUÇAS, METAIS E ACESSÓRIOS</t>
  </si>
  <si>
    <t>9.1</t>
  </si>
  <si>
    <t>unid.</t>
  </si>
  <si>
    <t>9.2</t>
  </si>
  <si>
    <t xml:space="preserve">PAPELEIRA METÁLICA CROMADA, INCLUSIVE FIXAÇÃO </t>
  </si>
  <si>
    <t>9.3</t>
  </si>
  <si>
    <t>SABONETEIRA PLASTICA TIPO DISPENSER PARA SABONETE LIQUIDO COM RESERVATORIO 800 ML</t>
  </si>
  <si>
    <t>CUBA DE LOUÇA BRANCA DE EMBUTIR, FORMATO OVAL, INCLUSIVE VÁLVULA DE ESCOAMENTO DE METAL COM ACABAMENTO CROMADO, SIFÃO DE METAL TIPO COPO COM ACABAMENTO CROMADO, FORNECIMENTO E INSTALAÇÃO</t>
  </si>
  <si>
    <t xml:space="preserve">BANCADA EM GRANITO CINZA ANDORINHA E = 3 CM, APOIADA EM CONSOLE DE METALON 20 X 30 MM </t>
  </si>
  <si>
    <t xml:space="preserve">m </t>
  </si>
  <si>
    <t>ASSENTO BRANCO PARA VASO</t>
  </si>
  <si>
    <t>ESPELHO (40 X 60) CM, E = 4 MM, COLOCADO COM PARAFUSO 
FINESSON</t>
  </si>
  <si>
    <t>6.3</t>
  </si>
  <si>
    <t>PONTO DE EMBUTIR PARA UM (1) INTERRUPTOR SIMPLES (10A-250V), COM PLACA 4"X2" DE UM (1) POSTO, COM ELETRODUTO FLEXÍVEL CORRUGADO, ANTI-CHAMA, DN 25MM 4"), EMBUTIDO NA ALVENARIA E CABO DE COBRE FLEXÍVEL, CLASSE 5, ISOLAMENTO TIPO LSHF/ATOX, NÃO HALOGENADO, SEÇÃO 1,5MM2 (70°C 450/750V), COM DISTÂNCIA DE ATÉ DEZ (10) METROS DO PONTO DE DERIVAÇÃO, INCLUSIVE CAIXA DE LIGAÇÃO, SUPORTE E 
FIXAÇÃO DO ELETRODUTO COM ENCHIMENTO DO RASGO NA ALVENARIA/CONCRETO COM ARGAMASSA</t>
  </si>
  <si>
    <t>SETOP ED-50227</t>
  </si>
  <si>
    <t>SETOP ED-50234</t>
  </si>
  <si>
    <t>PONTO DE EMBUTIR PARA UMA (1) LUMINÁRIA,COM ELETRODUTO DE PVC RÍGIDO ROSCÁVEL, DN 20MM (3/4"), EMBUTIDO NA LAJE E CABO DE COBRE FLEXÍVEL, CLASSE 5, ISOLAMENTO TIPO LSHF/ATOX, NÃO HALOGENADO, SEÇÃO 1,5MM2 (70°C-450/750V), COM DISTÂNCIA DE ATÉ CINCO (5) METROS DO PONTO DE DERIVAÇÃO, EXCLUSIVE LUMINÁRIA, INCLUSIVE CAIXA DE LIGAÇÃO OCTOGONAL, SUPORTE E FIXAÇÃO DO ELETRODUTO</t>
  </si>
  <si>
    <t xml:space="preserve">SETOP ED-50228 </t>
  </si>
  <si>
    <t xml:space="preserve">SETOP ED-17905 </t>
  </si>
  <si>
    <t>PONTO DE EMBUTIR PARA UMA (1) TOMADA PADRÃO, TRÊS (3) POLOS (2P+T/10A-250V), COM PLACA 4"X2" DE UM (1) POSTO, COM ELETRODUTO DE PVC RÍGIDO ROSCÁVEL, DN 20MM (3/4"), EMBUTIDO NO PISO E CABO DE COBRE FLEXÍVEL, CLASSE 5, ISOLAMENTO TIPO LSHF/ATOX, NÃO HALOGENADO, SEÇÃO 2,5MM2 (70°C-450/750V), COM DISTÂNCIA DE ATÉ DEZ (10) METROS DO PONTO DE DERIVAÇÃO, INCLUSIVE CAIXA DE LIGAÇÃO, SUPORTE E FIXAÇÃO DO ELETRODUTO COM ENCHIMENTO DO RASGO NA ALVENARIA/CONCRETO COM ARGAMASSA</t>
  </si>
  <si>
    <t>7.2</t>
  </si>
  <si>
    <t>7.3</t>
  </si>
  <si>
    <t xml:space="preserve">SETOP ED-49391 </t>
  </si>
  <si>
    <t>7.4</t>
  </si>
  <si>
    <t>8.1</t>
  </si>
  <si>
    <t>8.2</t>
  </si>
  <si>
    <t>SETOP ED-50507</t>
  </si>
  <si>
    <t>PINTURA ESMALTE EM ESQUADRIA DE MADEIRA, DUAS (2) DEMÃOS, INCLUSIVE UMA (1) DEMÃO DE FUNDO NIVELADOR, EXCLUSIVE MASSA A ÓLEO</t>
  </si>
  <si>
    <t xml:space="preserve">SETOP ED-50493 </t>
  </si>
  <si>
    <t>8.3</t>
  </si>
  <si>
    <t>8.4</t>
  </si>
  <si>
    <t>FORRO EM PVC BRANCO DE L = 20 CM</t>
  </si>
  <si>
    <t>RODAFORRO</t>
  </si>
  <si>
    <t>SETOP ED-49688</t>
  </si>
  <si>
    <t>m</t>
  </si>
  <si>
    <t>TORNEIRA CROMADA DE MESA, 1/2" OU 3/4", PARA LAVATÓRIO, PADRÃO MÉDIO - FORNECIMENTO E NSTALAÇÃO.TORNEIRA METÁLICA PARA LAVATÓRIO, FECHAMENTO AUTOMÁTICO, ACABAMENTO CROMADO, COM AREJADOR, APLICAÇÃO DE MESA, INCLUSIVE ENGATE FLEXÍVEL METÁLICO, FORNECIMENTO E INSTALAÇÃO</t>
  </si>
  <si>
    <t>SETOP ED-50329</t>
  </si>
  <si>
    <t xml:space="preserve">SETOP ED-48181 </t>
  </si>
  <si>
    <t>SETOP ED-48189</t>
  </si>
  <si>
    <t>DISPENSER EM PLÁSTICO PARA PAPEL TOALHA 2 OU 3 FOLHAS</t>
  </si>
  <si>
    <t xml:space="preserve">SETOP ED-48182 </t>
  </si>
  <si>
    <t xml:space="preserve">SETOP ED-50279 </t>
  </si>
  <si>
    <t>SETOP ED-48343</t>
  </si>
  <si>
    <t>SETOP ED-48348</t>
  </si>
  <si>
    <t>SETOP ED-48156</t>
  </si>
  <si>
    <t>SETOP ED-50301</t>
  </si>
  <si>
    <t xml:space="preserve"> BACIA SANITÁRIA (VASO) DE LOUÇA CONVENCIONAL, COR BRANCA, INCLUSIVE ACESSÓRIOS DE FIXAÇÃO/VEDAÇÃO, VÁLVULA DE DESCARGA METÁLICA COM ACIONAMENTO DUPLO, TUBO DE LIGAÇÃO DE LATÃO COM CANOPLA, FORNECIMENTO,INSTALAÇÃO E REJUNTAMENTO.</t>
  </si>
  <si>
    <t>BACIA SANITÁRIA (VASO) DE LOUÇA CONVENCIONAL INFANTIL, COR BRANCA, INCLUSIVE ACESSÓRIOS DE FIXAÇÃO/VEDAÇÃO, VÁLVULA DE DESCARGA METÁLICA COM ACIONAMENTO DUPLO, TUBO DE LIGAÇÃO DE LATÃO COM CANOPLA, FORNECIMENTO, INSTALAÇÃO E REJUNTAMENTO</t>
  </si>
  <si>
    <t xml:space="preserve">SETOP ED-50299 </t>
  </si>
  <si>
    <t>SETOP ED-51152</t>
  </si>
  <si>
    <t>PISOS, REVESTIMENTOS E DIVISORIAS</t>
  </si>
  <si>
    <t>RODABANCA/FRONTÃO PARA BANCADA EM GRANITO, COR CINZA ANDORINHA, ESP. 2CM, ALTURA DE 10CM, INCLUSIVE REJUNTAMENTO EM MASSA PLÁSTICA NA COR DA PEDRA</t>
  </si>
  <si>
    <t>REGISTRO DE GAVETA, TIPO BASE, ROSCÁVEL 1.1/2" (PARA TUBO SOLDÁVEL OU PPR DN 50MM/CPVC DN 42MM), INCLUSIVE ACABAMENTO (PADRÃO MÉDIO) E CANOPLA CROMADOS</t>
  </si>
  <si>
    <t>SETOP ED-49995</t>
  </si>
  <si>
    <t>REGISTRO DE GAVETA, TIPO BASE, ROSCÁVEL 1/2" (PARA TUBO SOLDÁVEL OU PPR DN 20MM/CPVC DN 15MM), INCLUSIVE ACABAMENTO (PADRÃO MÉDIO) E CANOPLA CROMADOS</t>
  </si>
  <si>
    <t>SETOP ED-49987</t>
  </si>
  <si>
    <t>SETOP ED-48514</t>
  </si>
  <si>
    <t>REMOÇÃO DE TELHA CERÂMICA COLONIAL OU FRANCESA PARA REAPROVEITAMENTO, INCLUSIVE AFASTAMENTO E EMPILHAMENTO</t>
  </si>
  <si>
    <t>COBERTURA E FORROS</t>
  </si>
  <si>
    <t>SETOP ED-49689</t>
  </si>
  <si>
    <t>SETOP ED-48421</t>
  </si>
  <si>
    <t>COBERTURA EM TELHA CERÂMICA COLONIAL CURVA</t>
  </si>
  <si>
    <t>SETOP ED-48400</t>
  </si>
  <si>
    <t>9.4</t>
  </si>
  <si>
    <t>9.5</t>
  </si>
  <si>
    <t>9.6</t>
  </si>
  <si>
    <t>9.7</t>
  </si>
  <si>
    <t>SETOP ED-48339</t>
  </si>
  <si>
    <t>BANCADA EM ARDÓSIA E = 3 CM, L = 55 CM, APOIADA EM CONSOLE DE METALON</t>
  </si>
  <si>
    <t xml:space="preserve"> REVESTIMENTO COM CERÂMICA APLICADO EM PISO, ACABAMENTO ESMALTADO, AMBIENTE INTERNO, PADRÃO EXTRA, DIMENSÃO DA PEÇA ATÉ 2025 CM2, PEI V, ASSENTAMENTO COM ARGAMASSA INDUSTRIALIZADA, INCLUSIVE REJUNTAMENTO</t>
  </si>
  <si>
    <t>SETOP ED-50542</t>
  </si>
  <si>
    <t>PINTURA ACRÍLICA EM TETO, TRÊS (3) DEMÃOS, EXCLUSIVE SELADOR ACRÍLICO E MASSA ACRÍLICA/CORRIDA (PVA)</t>
  </si>
  <si>
    <t>SETOP  ED-50454</t>
  </si>
  <si>
    <t>LIXAMENTO MANUAL EM PAREDE PARA REMOÇÃO DE TINTA</t>
  </si>
  <si>
    <t>SETOP ED-50506</t>
  </si>
  <si>
    <t>LIXAMENTO MANUAL EM TETO PARA REMOÇÃO DE TINTA</t>
  </si>
  <si>
    <t>SETOP ED-50505</t>
  </si>
  <si>
    <t>SETOP ED-50453</t>
  </si>
  <si>
    <t>PINTURA ACRÍLICA EM PAREDE, TRÊS (3) DEMÃOS, EXCLUSIVE SELADOR ACRÍLICO E MASSA ACRÍLICA/CORRIDA (PVA)</t>
  </si>
  <si>
    <t>SETOP  ED-50510</t>
  </si>
  <si>
    <t>PINTURA ESMALTE PREMIUM EM PAREDE/SUPERFÍCIE DE CONCRETO/ALVENARIA, TRÊS (3) DEMÃOS, EXCLUSIVE SELADOR ACRÍLICO E MASSA ACRÍLICA/CORRIDA (PVA)</t>
  </si>
  <si>
    <t>SETOP ED-48501</t>
  </si>
  <si>
    <t>DEMOLIÇÃO DE REBOCO, COM ESPESSURA DE ATÉ 55MM, INCLUSIVE AFASTAMENTO</t>
  </si>
  <si>
    <t>SETOP ED-15744</t>
  </si>
  <si>
    <t>CONJUNTO DE UM (1) INTERRUPTOR BIPOLAR SIMPLES, CORRENTE 10A, TENSÃO 250V, (10A-250V) E UM (1) INTERRUPTOR PARALELO, CORRENTE 10A, TENSÃO 250V, (10A-250V), COM PLACA 4"X2" DE DOIS (2) POSTOS, INCLUSIVE FORNECIMENTO, INSTALAÇÃO, SUPORTE, MÓDULO E PLACA</t>
  </si>
  <si>
    <t>LUMINÁRIA COMERCIAL LED COMPLETA, PARA UMA (1) LÂMPADA TUBULAR FLUORESCENTE 1X32W-ØT8, FORNECIMENTO E INSTALAÇÃO, INCLUSIVE BASE, REATOR E LÂMPADA</t>
  </si>
  <si>
    <t>SETOP ED-49591</t>
  </si>
  <si>
    <t>MARCO EM MADEIRA DE LEI PARA PINTURA, L = 14 CM, 80 X 210 CM</t>
  </si>
  <si>
    <t>SETOP ED-49605</t>
  </si>
  <si>
    <t>PORTA EM MADEIRA DE LEI ESPECIAL COMPLETA 80 X 210 CM</t>
  </si>
  <si>
    <t>SETOP ED-4953</t>
  </si>
  <si>
    <t>TOMADA SIMPLES - 2P + T - 20A COM PLACA</t>
  </si>
  <si>
    <t>SETOP ED-49690</t>
  </si>
  <si>
    <t>FORRO DE MADEIRA DE PINUS</t>
  </si>
  <si>
    <t>SETOP ED-50679</t>
  </si>
  <si>
    <t>RUFO E CONTRA-RUFO DE CHAPA GALVANIZADA Nº. 24, DESENVOLVIMENTO = 50 CM</t>
  </si>
  <si>
    <t>SETOP ED-48457</t>
  </si>
  <si>
    <t>DEMOLIÇÃO DE ENGRADAMENTO DE TELHA CERÂMICA PARA REAPROVEITAMENTO</t>
  </si>
  <si>
    <t>SETOP ED-48438</t>
  </si>
  <si>
    <t>REMOÇÃO DE CALHA GALVANIZADA OU PVC, INCLUSIVE AFASTAMENTO</t>
  </si>
  <si>
    <t>M</t>
  </si>
  <si>
    <t>SETOP ED-50650</t>
  </si>
  <si>
    <t>CALHA DE CHAPA GALVANIZADA Nº. 22 GSG, DESENVOLVIMENTO = 50 CM</t>
  </si>
  <si>
    <t>SETOP ED-50263</t>
  </si>
  <si>
    <t>LIMPEZA (DESOBSTRUÇÃO) DE CALHAS</t>
  </si>
  <si>
    <t>SETOP ED-48414</t>
  </si>
  <si>
    <t>CAIBRO DE MADEIRA EM PARAJU 7 X 4 CM</t>
  </si>
  <si>
    <t>SETOP ED-49936</t>
  </si>
  <si>
    <t>CAIXA D´ÁGUA DE POLIETILENO, CAPACIDADE DE 1.000L, INCLUSIVE TAMPA, TORNEIRA DE BOIA, EXTRAVASOR, TUBO DE LIMPEZA E ACESSÓRIOS, EXCLUSIVE TUBULAÇÃO DE ENTRADA/SAÍDA DE ÁGUA</t>
  </si>
  <si>
    <t>SETOP ED-50018</t>
  </si>
  <si>
    <t>FORNECIMENTO E ASSENTAMENTO DE TUBO PVC RÍGIDO SOLDÁVEL, ÁGUA FRIA, DN 20 MM (1/2"), INCLUSIVE CONEXÕES</t>
  </si>
  <si>
    <t>SETOP ED-50022</t>
  </si>
  <si>
    <t>FORNECIMENTO E ASSENTAMENTO DE TUBO PVC RÍGIDO SOLDÁVEL, ÁGUA FRIA, DN 50 MM (1.1/2"), INCLUSIVE CONEXÕES</t>
  </si>
  <si>
    <t>8.5</t>
  </si>
  <si>
    <t>8.6</t>
  </si>
  <si>
    <t>7.5</t>
  </si>
  <si>
    <t>7.6</t>
  </si>
  <si>
    <t>6.4</t>
  </si>
  <si>
    <t>5.4</t>
  </si>
  <si>
    <t>5.5</t>
  </si>
  <si>
    <t>CUMEEIRA PARA TELHA CERÂMICA, INCLUSIVE ASSENTAMENTO EM ARGAMASSA, TRAÇO 1:2:9 (CIMENTO, CAL E AREIA), PREPARO MECÂNICO (Telhado e Muros)</t>
  </si>
  <si>
    <t>SETOP ED-50986</t>
  </si>
  <si>
    <t>PORTÃO EM TUBO GALVANIZADO 2 1/2" COM TELA FIO 12 # 1/2"</t>
  </si>
  <si>
    <t>SETOP ED-50896</t>
  </si>
  <si>
    <t>GF2 - (340 X 165 CM ) GRADE FIXA PARA PROTEÇÃO DE JANELAS, EM BARRA DE FERRO QUADRADO DE 1/2" E QUADRO DE FERRO CHATO DE 1/2"X 1/8", COLOCADA</t>
  </si>
  <si>
    <t>PREÇO
UNITÁRIO C/ BDI</t>
  </si>
  <si>
    <t>PREÇO
UNITÁRIO LICITADO</t>
  </si>
  <si>
    <t>QUANTIDADES EXECUTADAS</t>
  </si>
  <si>
    <t>UNID.</t>
  </si>
  <si>
    <t>VALOR UNIT.</t>
  </si>
  <si>
    <t>VALORES EXECUTADOS</t>
  </si>
  <si>
    <t>Anterior</t>
  </si>
  <si>
    <t>No período</t>
  </si>
  <si>
    <t>Acumulado</t>
  </si>
  <si>
    <t xml:space="preserve">QUANT. PREVISTA </t>
  </si>
  <si>
    <t>No Periodo</t>
  </si>
  <si>
    <t>BOLETIM DE MEDIÇÃO</t>
  </si>
  <si>
    <t xml:space="preserve">Licitação n°: </t>
  </si>
  <si>
    <t>Saldo:</t>
  </si>
  <si>
    <t>Folha n°:</t>
  </si>
  <si>
    <t>Medição n°:</t>
  </si>
  <si>
    <t>PERÍODO DE EXECUÇÃO: 09/11/2020 a 12/01/2021</t>
  </si>
  <si>
    <t>DATA DE EMISSÃO:</t>
  </si>
  <si>
    <t>Esta medição:</t>
  </si>
  <si>
    <t>Saldo Anterior:</t>
  </si>
  <si>
    <t xml:space="preserve">Valor CT/TA: </t>
  </si>
  <si>
    <t>4.5</t>
  </si>
  <si>
    <t>SETOP ED-50408</t>
  </si>
  <si>
    <t>MURO DIVISÓRIO TIJOLO FURADO E = 10 CM, REBOCADO E PINTADO A LATEX H = 2,20 A 2,50 M, INCLUSIVE SAPATA DE CONCRETO ARMADO FCK = 15 MPA, 50 X 55 CM</t>
  </si>
  <si>
    <t>8.7</t>
  </si>
  <si>
    <t>UND</t>
  </si>
  <si>
    <t>SETOP  ED-50511</t>
  </si>
  <si>
    <t>SETOP  ED-50466</t>
  </si>
  <si>
    <t>PINTURA COM TINTA CERÂMICA EM TELHAS COLONIAL, DUAS (2) DEMÃOS</t>
  </si>
  <si>
    <t>9.8</t>
  </si>
  <si>
    <t>HIDRAULICA E DRENAGEM</t>
  </si>
  <si>
    <t>SETOP ED-48549</t>
  </si>
  <si>
    <t>BOCA DE LOBO SIMPLES (TIPO A - FERRO FUNDIDO), QUADRO, GRELHA E CANTONEIRA, INCLUSIVE ESCAVAÇÃO, REATERRO E BOTA-FORA</t>
  </si>
  <si>
    <t>LIXAMENTO MANUAL EM SUPERFÍCIE DE MADEIRA PARA REMOÇÃO DE TINTA</t>
  </si>
  <si>
    <t>6.5</t>
  </si>
  <si>
    <t>6.6</t>
  </si>
  <si>
    <t>6.7</t>
  </si>
  <si>
    <t>SETOP ED-50798</t>
  </si>
  <si>
    <t>JANELA BASCULANTE METÁLICA EM QUADRO CANTONEIRA 3/4"X 3/4" X 1/8" COM TELA MOSQUITEIRO - PADRÃO SEDS</t>
  </si>
  <si>
    <t>SETOP ED-48551</t>
  </si>
  <si>
    <t>SETOP ED-50812</t>
  </si>
  <si>
    <t>GRELHA METÁLICA 20 X 20 CM - PADRÃO SEDS</t>
  </si>
  <si>
    <t>SETOP ED-15745</t>
  </si>
  <si>
    <t>SETOP ED-49408</t>
  </si>
  <si>
    <t>LUMINÁRIA REFLETORA PARA ILUMINAÇÃO PÚBLICA COM LÂMPADA VAPOR DE MERCÚRIO, 2 REFLETORES DE 250W</t>
  </si>
  <si>
    <t>SETOP  ED-50530</t>
  </si>
  <si>
    <t>PINTURA COM VERNIZ POLIURETANO COM FILTRO SOLAR EM MADEIRA, DUAS (2) DEMÃOS, ACABAMENTO TIPO FOSCO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</si>
  <si>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</si>
  <si>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</si>
  <si>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</si>
  <si>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</si>
  <si>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</si>
  <si>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</si>
  <si>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</si>
  <si>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</si>
  <si>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</si>
  <si>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5.6</t>
  </si>
  <si>
    <t>8.8</t>
  </si>
  <si>
    <t>CODIGO</t>
  </si>
  <si>
    <t>RO-40638</t>
  </si>
  <si>
    <t>ED-51145</t>
  </si>
  <si>
    <t>PASSEIOS DE CONCRETO E = 6 CM, FCK = 10 MPA, JUNTA SECA</t>
  </si>
  <si>
    <t>RO-40624</t>
  </si>
  <si>
    <t>Sarjeta de concreto em aterro, tipo DR.SCA-x/y. Largura = 80 cm tipo 50/30 (Execução, incluindo escavação, ornecimento e transporte de todos os materiais)</t>
  </si>
  <si>
    <t>Meio-fio de concreto, tipo DR.MF-01 (Execução, incluindo escavação, fornecimento e transporte de todos os materiais)</t>
  </si>
  <si>
    <t>MEIO FIO, SARJETAS E PASSEIOS</t>
  </si>
  <si>
    <t>O.F. PARCIAL :</t>
  </si>
  <si>
    <t>ED-51133</t>
  </si>
  <si>
    <t>ED-50362</t>
  </si>
  <si>
    <t>H</t>
  </si>
  <si>
    <t>BDI (CONFORME ACÓRDÃO Nº 2622/13 e LEI Nº 13.161 DE 31/08/15)</t>
  </si>
  <si>
    <t>DISCRIMINAÇÃO DAS PARCELAS</t>
  </si>
  <si>
    <r>
      <t xml:space="preserve">SIG.
</t>
    </r>
    <r>
      <rPr>
        <b/>
        <vertAlign val="superscript"/>
        <sz val="8"/>
        <color theme="0"/>
        <rFont val="Arial"/>
        <family val="2"/>
      </rPr>
      <t>(1)</t>
    </r>
  </si>
  <si>
    <r>
      <t xml:space="preserve">ISS </t>
    </r>
    <r>
      <rPr>
        <b/>
        <vertAlign val="superscript"/>
        <sz val="8"/>
        <color theme="0"/>
        <rFont val="Arial"/>
        <family val="2"/>
      </rPr>
      <t>(2)</t>
    </r>
  </si>
  <si>
    <t>DIFERENCIADO</t>
  </si>
  <si>
    <t>CUSTO DIRETO</t>
  </si>
  <si>
    <t>CD</t>
  </si>
  <si>
    <t>ADMINISTRAÇÃO CENTRAL</t>
  </si>
  <si>
    <t>AC</t>
  </si>
  <si>
    <t>LUCRO BRUTO</t>
  </si>
  <si>
    <t>L</t>
  </si>
  <si>
    <t>DESPESAS FINANCEIRAS</t>
  </si>
  <si>
    <t>DF</t>
  </si>
  <si>
    <t>SEGUROS, GARANTIAS E RISCO</t>
  </si>
  <si>
    <t>SEGUROS + GARANTIAS</t>
  </si>
  <si>
    <t>S</t>
  </si>
  <si>
    <t>RISCO(*)</t>
  </si>
  <si>
    <t>R</t>
  </si>
  <si>
    <t>TRIBUTOS</t>
  </si>
  <si>
    <t>I</t>
  </si>
  <si>
    <t>PV</t>
  </si>
  <si>
    <t>ISS</t>
  </si>
  <si>
    <r>
      <t>ISS</t>
    </r>
    <r>
      <rPr>
        <vertAlign val="superscript"/>
        <sz val="8"/>
        <rFont val="Arial"/>
        <family val="2"/>
      </rPr>
      <t>(2)</t>
    </r>
  </si>
  <si>
    <t>-</t>
  </si>
  <si>
    <t>PIS</t>
  </si>
  <si>
    <t>COFINS</t>
  </si>
  <si>
    <t>CPRB</t>
  </si>
  <si>
    <t>INSS</t>
  </si>
  <si>
    <t>FÓRMULA DO BDI</t>
  </si>
  <si>
    <t>(1 + (AC + S + G + R)) x (1 + DF) x  (1 + L)</t>
  </si>
  <si>
    <t>(1 - (I + CPRB))</t>
  </si>
  <si>
    <t>BDI (NUMERADOR)</t>
  </si>
  <si>
    <t>BDI (DENOMINADOR)</t>
  </si>
  <si>
    <t>BDI</t>
  </si>
  <si>
    <t>OBSERVAÇÕES</t>
  </si>
  <si>
    <t xml:space="preserve">PREFEITURA MUNICIPAL DE ORIZÂNIA - ESTADO DE MINAS GERAIS   CNPJ: 01.616.271/0001-39  </t>
  </si>
  <si>
    <t>FORNECIMENTO E COLOCAÇÃO DE PLACA DE OBRA EM CHAPA
GALVANIZADA #26, ESP. 0,45MM, DIMENSÃO (3X1,5)M, PLOTADA
COM ADESIVO VINÍLICO, AFIXADA COM REBITES 4,8X40MM, EM
ESTRUTURA METÁLICA DE METALON 20X20MM, ESP. 1,25MM,
INCLUSIVE SUPORTE EM EUCALIPTO AUTOCLAVADO PINTADO
COM TINTA PVA DUAS (2) DEMÃOS</t>
  </si>
  <si>
    <t>ED-28427</t>
  </si>
  <si>
    <t>ESTRUTURA (IÇAMENTO DE TRELIÇAS E TRAVESSAS)</t>
  </si>
  <si>
    <t>MAO DE OBRA DE SOLDADOR INDUSTRIAL, INCL USIVE ENCARGOS SOCIAIS DESONERADOS</t>
  </si>
  <si>
    <t>MAO DE OBRA DE AJUDANTE DE SOLDADOR, INC LUSIVE ENCARGOS SOCIAIS DESONERADOS</t>
  </si>
  <si>
    <t>MAO DE OBRA DE MONTADOR A (MONTAGEM DE E STRUTURAS METALICAS), INCLUSIVE ENCARGOS SOCIAIS DESONERADOS</t>
  </si>
  <si>
    <t>MAO DE OBRA DE ENCARREGADO DE MONTAGEM, INCLUSIVE ENCARGOS SOCIAIS DESONERADOS</t>
  </si>
  <si>
    <t>Descrição</t>
  </si>
  <si>
    <t>Data</t>
  </si>
  <si>
    <t>Estado</t>
  </si>
  <si>
    <t>Tipo</t>
  </si>
  <si>
    <t>Unidade</t>
  </si>
  <si>
    <t>Valor sem Desoneração</t>
  </si>
  <si>
    <t>Valor com Desoneração</t>
  </si>
  <si>
    <t>Código</t>
  </si>
  <si>
    <t>Coeficiente</t>
  </si>
  <si>
    <t xml:space="preserve">PREFEITURA MUNICIPAL DE ORIZÂNIA - ESTADO DE MINAS GERAIS   CNPJ: 01.616.271/0001-39    </t>
  </si>
  <si>
    <t>ORIZÂNIA/MG, 07 DE ABRIL DE 2023.</t>
  </si>
  <si>
    <t>|</t>
  </si>
  <si>
    <t>TOTAL GERAL</t>
  </si>
  <si>
    <t xml:space="preserve">                                                  PREFEITURA MUNICIPAL DE ORIZÂNIA - ESTADO DE MINAS GERAIS   CNPJ: 01.616.271/0001-39      </t>
  </si>
  <si>
    <t xml:space="preserve">PAC: </t>
  </si>
  <si>
    <t xml:space="preserve">Pregão Presencial: </t>
  </si>
  <si>
    <t>Ata de registro de preço:</t>
  </si>
  <si>
    <t xml:space="preserve">PERÍODO DE EXECUÇÃO: </t>
  </si>
  <si>
    <t>CÓDIGO</t>
  </si>
  <si>
    <t>ETAPAS/DESCRIÇÃO</t>
  </si>
  <si>
    <t>FÍSICO/ FINANCEIRO</t>
  </si>
  <si>
    <t>TOTAL  ETAPAS</t>
  </si>
  <si>
    <t>MÊS 1</t>
  </si>
  <si>
    <t>MÊS 2</t>
  </si>
  <si>
    <t>MÊS 3</t>
  </si>
  <si>
    <t>MÊS 4</t>
  </si>
  <si>
    <t>MÊS 5</t>
  </si>
  <si>
    <t>MÊS 6</t>
  </si>
  <si>
    <t>Físico %</t>
  </si>
  <si>
    <t>Financeiro</t>
  </si>
  <si>
    <t>TOTAL</t>
  </si>
  <si>
    <t>Observações:</t>
  </si>
  <si>
    <t>CREA</t>
  </si>
  <si>
    <t>PRAZO DA OBRA: 03 meses</t>
  </si>
  <si>
    <t>DATA: 07/04/2023</t>
  </si>
  <si>
    <t xml:space="preserve">                          PREFEITURA MUNICIPAL DE ORIZÂNIA - ESTADO DE MINAS GERAIS   CNPJ: 01.616.271/0001-39      </t>
  </si>
  <si>
    <t xml:space="preserve">CRONOGRAMA FÍSICO-FINANCEIRO </t>
  </si>
  <si>
    <t xml:space="preserve"> ED-9054 </t>
  </si>
  <si>
    <t>FORNECIMENTO DE CONCRETO ESTRUTURAL, USINADO BOMBEADO, AUTO-ADENSÁVEL, COM FCK 30MPA, INCLUSIVE LANÇAMENTO E ACABAMENTO</t>
  </si>
  <si>
    <t xml:space="preserve"> 08/2023 </t>
  </si>
  <si>
    <t>Minas Gerais</t>
  </si>
  <si>
    <t>Região</t>
  </si>
  <si>
    <t>Central</t>
  </si>
  <si>
    <t/>
  </si>
  <si>
    <t>783,63</t>
  </si>
  <si>
    <t>codigo</t>
  </si>
  <si>
    <t>C</t>
  </si>
  <si>
    <t xml:space="preserve"> MATED-11301 </t>
  </si>
  <si>
    <t>CONCRETO DOSADO EM CENTRAL AUTO-ADENSÁVEL (RESISTÊNCIA: 30,0MPA| BRITA: 0|SLUMP FLOW: 660- 750MM|CLASSE: CLASSE SF2)</t>
  </si>
  <si>
    <t>Material</t>
  </si>
  <si>
    <t>679,2</t>
  </si>
  <si>
    <t>1,05</t>
  </si>
  <si>
    <t>713,16</t>
  </si>
  <si>
    <t xml:space="preserve"> MATED-12059 </t>
  </si>
  <si>
    <t>TAXA DE BOMBEAMENTO DE CONCRETO</t>
  </si>
  <si>
    <t>57,38</t>
  </si>
  <si>
    <t>1,0</t>
  </si>
  <si>
    <t xml:space="preserve"> ED-9058 </t>
  </si>
  <si>
    <t>APLICAÇÃO DE CONCRETO AUTO-ADENSÁVEL EM ESTRUTURA, INCLUSIVE ESPALHAMENTO, ADENSAMENTO E ACABAMENTO</t>
  </si>
  <si>
    <t>14,65</t>
  </si>
  <si>
    <t>13,09</t>
  </si>
  <si>
    <t>Composição ORSE - 8411</t>
  </si>
  <si>
    <t xml:space="preserve"> 8411 </t>
  </si>
  <si>
    <t>Polimento de piso cimentado - R1</t>
  </si>
  <si>
    <t xml:space="preserve"> 05/2023 </t>
  </si>
  <si>
    <t>Sergipe</t>
  </si>
  <si>
    <t>Pisos : Cimentados, em Concreto Simples, tipo Tech-Stone e de Alta Resistência</t>
  </si>
  <si>
    <t>28,00</t>
  </si>
  <si>
    <t xml:space="preserve"> 8704 </t>
  </si>
  <si>
    <t>Polimento de piso m2</t>
  </si>
  <si>
    <t>Serviços</t>
  </si>
  <si>
    <t>Composição CPOS-CDHU - 11.20.050</t>
  </si>
  <si>
    <t xml:space="preserve"> 11.20.050 </t>
  </si>
  <si>
    <t>Corte de junta de dilatação, com serra de disco diamantado para pisos</t>
  </si>
  <si>
    <t>São Paulo</t>
  </si>
  <si>
    <t>Reparos, conservações e complementos - GRUPO 11</t>
  </si>
  <si>
    <t>20,01</t>
  </si>
  <si>
    <t xml:space="preserve"> C.01.000.092024 </t>
  </si>
  <si>
    <t>Corte de junta dilatação com serra disco diamantado na largura de 3 mm, profundidade de 3 cm, para piso de concreto ou alta resistência 3,0 mm x 3,0 cm</t>
  </si>
  <si>
    <t>Composição CPOS-CDHU - 54.08.010</t>
  </si>
  <si>
    <t xml:space="preserve"> 54.08.010 </t>
  </si>
  <si>
    <t>Fibra em polipropileno (macrofibra), resistência residual 4,3+-0,3 Mpa</t>
  </si>
  <si>
    <t>KG</t>
  </si>
  <si>
    <t>49,59</t>
  </si>
  <si>
    <t>Servente</t>
  </si>
  <si>
    <t>Mão de Obra</t>
  </si>
  <si>
    <t>20,36</t>
  </si>
  <si>
    <t>17,64</t>
  </si>
  <si>
    <t>0,9756</t>
  </si>
  <si>
    <t>19,86</t>
  </si>
  <si>
    <t>17,20</t>
  </si>
  <si>
    <t xml:space="preserve"> R.03.000.028049 </t>
  </si>
  <si>
    <t>Macrofibra estrutural polipropileno, resistência à tração &gt;= 500MPa, E&gt;=5 Gpa, título até 5dtex, tenacidade mín. 5cN/dtex, deformação até 5cN/dtex e até 40%, perda massa por alcalinidade &lt; 5%; ref. Politex Neomatex ou equivalente</t>
  </si>
  <si>
    <t>32,38</t>
  </si>
  <si>
    <t>Composição - ED-9054</t>
  </si>
  <si>
    <t xml:space="preserve">B.01.000.010146 </t>
  </si>
  <si>
    <t>Orse - 8411</t>
  </si>
  <si>
    <t>REGIÃO/MÊS DE REFERÊNCIA:  SETOP MG 08/2023 - CPOS São Paulo 05/2023 - Orse Sergipe 05/2023 (Desonerado)</t>
  </si>
  <si>
    <t>PLANILHA ORÇAMENTÁRIA DE CUSTOS</t>
  </si>
  <si>
    <t>Endereço: Municipio de Orizânia/MG.</t>
  </si>
  <si>
    <t>PRAZO DE EXECUÇÃO: 365 dias</t>
  </si>
  <si>
    <t>DATA:  27/03/2024</t>
  </si>
  <si>
    <t>SERVIÇO: Fornecimento e aplicação de concreto usinado.</t>
  </si>
  <si>
    <t>DEMONSTRATIVO DO BDI - COM DESONERAÇÃO - OBRA RODOVIÁRIA</t>
  </si>
  <si>
    <t>CONSTRUÇÃO DE RODOVIAS E FERROVIAS</t>
  </si>
  <si>
    <r>
      <t xml:space="preserve">INC.
</t>
    </r>
    <r>
      <rPr>
        <b/>
        <vertAlign val="superscript"/>
        <sz val="8"/>
        <color theme="0"/>
        <rFont val="Arial"/>
        <family val="2"/>
      </rPr>
      <t>(6)</t>
    </r>
  </si>
  <si>
    <r>
      <t xml:space="preserve">MATERIAL
</t>
    </r>
    <r>
      <rPr>
        <b/>
        <vertAlign val="superscript"/>
        <sz val="8"/>
        <color theme="0"/>
        <rFont val="Arial"/>
        <family val="2"/>
      </rPr>
      <t>(5)</t>
    </r>
  </si>
  <si>
    <r>
      <t xml:space="preserve">SERVIÇO TERCEIRIZADO
</t>
    </r>
    <r>
      <rPr>
        <b/>
        <vertAlign val="superscript"/>
        <sz val="8"/>
        <color theme="0"/>
        <rFont val="Arial"/>
        <family val="2"/>
      </rPr>
      <t>(4)</t>
    </r>
    <r>
      <rPr>
        <b/>
        <sz val="8"/>
        <color theme="0"/>
        <rFont val="Arial"/>
        <family val="2"/>
      </rPr>
      <t xml:space="preserve">
(ISS=5%)</t>
    </r>
  </si>
  <si>
    <r>
      <t xml:space="preserve">EQUIPAMENTO
</t>
    </r>
    <r>
      <rPr>
        <b/>
        <vertAlign val="superscript"/>
        <sz val="8"/>
        <color theme="0"/>
        <rFont val="Arial"/>
        <family val="2"/>
      </rPr>
      <t xml:space="preserve">(3)
</t>
    </r>
    <r>
      <rPr>
        <b/>
        <sz val="8"/>
        <color theme="0"/>
        <rFont val="Arial"/>
        <family val="2"/>
      </rPr>
      <t>(ISS=5%)</t>
    </r>
  </si>
  <si>
    <r>
      <rPr>
        <vertAlign val="superscript"/>
        <sz val="8"/>
        <rFont val="Arial"/>
        <family val="2"/>
      </rPr>
      <t>(1)</t>
    </r>
    <r>
      <rPr>
        <sz val="8"/>
        <rFont val="Arial"/>
        <family val="2"/>
      </rPr>
      <t xml:space="preserve"> SIGLA.
</t>
    </r>
    <r>
      <rPr>
        <vertAlign val="superscript"/>
        <sz val="8"/>
        <rFont val="Arial"/>
        <family val="2"/>
      </rPr>
      <t xml:space="preserve">(2) </t>
    </r>
    <r>
      <rPr>
        <sz val="8"/>
        <rFont val="Arial"/>
        <family val="2"/>
      </rPr>
      <t xml:space="preserve">INCIDÊNCIA DE ISS EM 70% DO PREÇO DE VENDA, COM PERCENTUAIS DE 2%, 3%, 4% E 5%.
</t>
    </r>
    <r>
      <rPr>
        <vertAlign val="superscript"/>
        <sz val="8"/>
        <rFont val="Arial"/>
        <family val="2"/>
      </rPr>
      <t xml:space="preserve">(3) </t>
    </r>
    <r>
      <rPr>
        <sz val="8"/>
        <rFont val="Arial"/>
        <family val="2"/>
      </rPr>
      <t xml:space="preserve">BDI DIFERENCIADO A SER APLICADO EM LOCAÇÃO DE CUSTO HORÁRIO DE EQUIPAMENTO.
</t>
    </r>
    <r>
      <rPr>
        <vertAlign val="superscript"/>
        <sz val="8"/>
        <rFont val="Arial"/>
        <family val="2"/>
      </rPr>
      <t xml:space="preserve">(4) </t>
    </r>
    <r>
      <rPr>
        <sz val="8"/>
        <rFont val="Arial"/>
        <family val="2"/>
      </rPr>
      <t xml:space="preserve">BDI DIFERENCIADO A SER APLICADO PARA SERVIÇOS TERCEIRIZADOS.
</t>
    </r>
    <r>
      <rPr>
        <vertAlign val="superscript"/>
        <sz val="8"/>
        <rFont val="Arial"/>
        <family val="2"/>
      </rPr>
      <t xml:space="preserve">(5) </t>
    </r>
    <r>
      <rPr>
        <sz val="8"/>
        <rFont val="Arial"/>
        <family val="2"/>
      </rPr>
      <t xml:space="preserve">BDI DIFERENCIADO A SER APLICADO PARA FORNECIMENTO DE MATERIAL BETUMINOSO E MATERIAL DE JAZIDA.
</t>
    </r>
    <r>
      <rPr>
        <vertAlign val="superscript"/>
        <sz val="8"/>
        <rFont val="Arial"/>
        <family val="2"/>
      </rPr>
      <t xml:space="preserve">(6) </t>
    </r>
    <r>
      <rPr>
        <sz val="8"/>
        <rFont val="Arial"/>
        <family val="2"/>
      </rPr>
      <t>INCIDÊNCIA.</t>
    </r>
  </si>
  <si>
    <t>Orizânia/MG, 27 de março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</si>
</sst>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  <numFmt numFmtId="165" formatCode="_(&quot;R$&quot;* #,##0.00_);_(&quot;R$&quot;* \(#,##0.00\);_(&quot;R$&quot;* &quot;-&quot;??_);_(@_)"/>
    <numFmt numFmtId="166" formatCode="_(* #,##0.00_);_(* \(#,##0.00\);_(* \-??_);_(@_)"/>
    <numFmt numFmtId="167" formatCode="0.000%"/>
    <numFmt numFmtId="168" formatCode="_(* #,##0.00_);_(* \(#,##0.00\);_(* &quot;-&quot;??_);_(@_)"/>
    <numFmt numFmtId="169" formatCode="&quot;R$&quot;\ #,##0.00"/>
    <numFmt numFmtId="170" formatCode="&quot;R$ &quot;#,##0.00"/>
  </numFmts>
  <fonts count="3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name val="Times New Roman"/>
      <family val="1"/>
    </font>
    <font>
      <sz val="10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7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indexed="8"/>
      <name val="Arial"/>
      <family val="2"/>
    </font>
    <font>
      <sz val="9"/>
      <color rgb="FF00000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2"/>
      <name val="Arial Black"/>
      <family val="2"/>
    </font>
    <font>
      <b/>
      <sz val="8"/>
      <color theme="0"/>
      <name val="Arial"/>
      <family val="2"/>
    </font>
    <font>
      <b/>
      <vertAlign val="superscript"/>
      <sz val="8"/>
      <color theme="0"/>
      <name val="Arial"/>
      <family val="2"/>
    </font>
    <font>
      <vertAlign val="superscript"/>
      <sz val="8"/>
      <name val="Arial"/>
      <family val="2"/>
    </font>
    <font>
      <b/>
      <u/>
      <sz val="8"/>
      <name val="Arial"/>
      <family val="2"/>
    </font>
    <font>
      <sz val="10"/>
      <color rgb="FF000000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7"/>
      <color rgb="FF000000"/>
      <name val="Arial Black"/>
      <family val="2"/>
    </font>
    <font>
      <b/>
      <sz val="13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7F3D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CDB"/>
        <bgColor indexed="64"/>
      </patternFill>
    </fill>
  </fills>
  <borders count="1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1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/>
      <right style="medium">
        <color indexed="64"/>
      </right>
      <top style="thin">
        <color rgb="FFCCCCCC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/>
      <right style="medium">
        <color indexed="64"/>
      </right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/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hair">
        <color theme="1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8" fillId="0" borderId="0"/>
    <xf numFmtId="166" fontId="8" fillId="0" borderId="0" applyBorder="0" applyProtection="0"/>
    <xf numFmtId="165" fontId="1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8" fillId="0" borderId="0"/>
    <xf numFmtId="9" fontId="8" fillId="0" borderId="0"/>
    <xf numFmtId="168" fontId="8" fillId="0" borderId="0" applyFont="0" applyFill="0" applyBorder="0" applyAlignment="0" applyProtection="0"/>
  </cellStyleXfs>
  <cellXfs count="566">
    <xf numFmtId="0" fontId="0" fillId="0" borderId="0" xfId="0" applyFill="1" applyBorder="1" applyAlignment="1">
      <alignment horizontal="left" vertical="top"/>
    </xf>
    <xf numFmtId="0" fontId="3" fillId="0" borderId="12" xfId="0" applyFont="1" applyFill="1" applyBorder="1" applyAlignment="1">
      <alignment horizontal="center" vertical="top" wrapText="1"/>
    </xf>
    <xf numFmtId="0" fontId="3" fillId="3" borderId="12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4" borderId="12" xfId="0" applyFont="1" applyFill="1" applyBorder="1" applyAlignment="1">
      <alignment horizontal="center" vertical="top" wrapText="1"/>
    </xf>
    <xf numFmtId="0" fontId="4" fillId="4" borderId="12" xfId="0" applyFont="1" applyFill="1" applyBorder="1" applyAlignment="1">
      <alignment horizontal="left" vertical="top" wrapText="1"/>
    </xf>
    <xf numFmtId="0" fontId="3" fillId="0" borderId="26" xfId="0" applyFont="1" applyFill="1" applyBorder="1" applyAlignment="1">
      <alignment horizontal="center" vertical="top" wrapText="1"/>
    </xf>
    <xf numFmtId="0" fontId="4" fillId="4" borderId="26" xfId="0" applyFont="1" applyFill="1" applyBorder="1" applyAlignment="1">
      <alignment horizontal="center" vertical="top" wrapText="1"/>
    </xf>
    <xf numFmtId="0" fontId="3" fillId="3" borderId="26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vertical="top"/>
    </xf>
    <xf numFmtId="0" fontId="0" fillId="0" borderId="7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/>
    </xf>
    <xf numFmtId="0" fontId="0" fillId="0" borderId="10" xfId="0" applyFill="1" applyBorder="1" applyAlignment="1">
      <alignment horizontal="left" vertical="top"/>
    </xf>
    <xf numFmtId="0" fontId="3" fillId="3" borderId="12" xfId="0" applyFont="1" applyFill="1" applyBorder="1" applyAlignment="1">
      <alignment horizontal="left" vertical="top" wrapText="1"/>
    </xf>
    <xf numFmtId="2" fontId="6" fillId="4" borderId="12" xfId="0" applyNumberFormat="1" applyFont="1" applyFill="1" applyBorder="1" applyAlignment="1">
      <alignment horizontal="center" vertical="center" shrinkToFit="1"/>
    </xf>
    <xf numFmtId="2" fontId="6" fillId="3" borderId="12" xfId="0" applyNumberFormat="1" applyFont="1" applyFill="1" applyBorder="1" applyAlignment="1">
      <alignment horizontal="center" vertical="center" shrinkToFit="1"/>
    </xf>
    <xf numFmtId="2" fontId="6" fillId="0" borderId="12" xfId="0" applyNumberFormat="1" applyFont="1" applyFill="1" applyBorder="1" applyAlignment="1">
      <alignment horizontal="center" vertical="center" shrinkToFit="1"/>
    </xf>
    <xf numFmtId="2" fontId="6" fillId="0" borderId="25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top" wrapText="1"/>
    </xf>
    <xf numFmtId="0" fontId="3" fillId="3" borderId="12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top" wrapText="1"/>
    </xf>
    <xf numFmtId="0" fontId="4" fillId="5" borderId="12" xfId="0" applyFont="1" applyFill="1" applyBorder="1" applyAlignment="1">
      <alignment horizontal="left" vertical="top" wrapText="1"/>
    </xf>
    <xf numFmtId="2" fontId="5" fillId="5" borderId="12" xfId="0" applyNumberFormat="1" applyFont="1" applyFill="1" applyBorder="1" applyAlignment="1">
      <alignment horizontal="center" vertical="center" shrinkToFit="1"/>
    </xf>
    <xf numFmtId="0" fontId="3" fillId="5" borderId="12" xfId="0" applyFont="1" applyFill="1" applyBorder="1" applyAlignment="1">
      <alignment horizontal="center" vertical="top" wrapText="1"/>
    </xf>
    <xf numFmtId="2" fontId="6" fillId="5" borderId="12" xfId="0" applyNumberFormat="1" applyFont="1" applyFill="1" applyBorder="1" applyAlignment="1">
      <alignment horizontal="center" vertical="center" shrinkToFit="1"/>
    </xf>
    <xf numFmtId="0" fontId="4" fillId="5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vertical="top" wrapText="1"/>
    </xf>
    <xf numFmtId="0" fontId="4" fillId="2" borderId="1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top" wrapText="1"/>
    </xf>
    <xf numFmtId="0" fontId="3" fillId="3" borderId="12" xfId="0" applyFont="1" applyFill="1" applyBorder="1" applyAlignment="1">
      <alignment vertical="top" wrapText="1"/>
    </xf>
    <xf numFmtId="0" fontId="3" fillId="0" borderId="12" xfId="0" applyFont="1" applyFill="1" applyBorder="1" applyAlignment="1">
      <alignment vertical="top" wrapText="1"/>
    </xf>
    <xf numFmtId="0" fontId="10" fillId="3" borderId="12" xfId="3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vertical="top" wrapText="1"/>
    </xf>
    <xf numFmtId="0" fontId="4" fillId="4" borderId="12" xfId="0" applyFont="1" applyFill="1" applyBorder="1" applyAlignment="1">
      <alignment vertical="center" wrapText="1"/>
    </xf>
    <xf numFmtId="0" fontId="3" fillId="3" borderId="12" xfId="3" applyFont="1" applyFill="1" applyBorder="1" applyAlignment="1">
      <alignment vertical="center" wrapText="1"/>
    </xf>
    <xf numFmtId="0" fontId="3" fillId="0" borderId="12" xfId="0" applyFont="1" applyBorder="1" applyAlignment="1">
      <alignment horizontal="left" vertical="center" wrapText="1"/>
    </xf>
    <xf numFmtId="2" fontId="3" fillId="3" borderId="12" xfId="3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2" fontId="6" fillId="0" borderId="12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2" fontId="10" fillId="0" borderId="12" xfId="0" applyNumberFormat="1" applyFont="1" applyBorder="1" applyAlignment="1">
      <alignment horizontal="center" vertical="center" wrapText="1"/>
    </xf>
    <xf numFmtId="2" fontId="5" fillId="4" borderId="12" xfId="0" applyNumberFormat="1" applyFont="1" applyFill="1" applyBorder="1" applyAlignment="1">
      <alignment horizontal="center" vertical="center" shrinkToFit="1"/>
    </xf>
    <xf numFmtId="10" fontId="5" fillId="0" borderId="17" xfId="0" applyNumberFormat="1" applyFont="1" applyFill="1" applyBorder="1" applyAlignment="1">
      <alignment horizontal="left" vertical="top" shrinkToFit="1"/>
    </xf>
    <xf numFmtId="0" fontId="4" fillId="0" borderId="46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left" wrapText="1"/>
    </xf>
    <xf numFmtId="0" fontId="4" fillId="5" borderId="12" xfId="0" applyFont="1" applyFill="1" applyBorder="1" applyAlignment="1">
      <alignment vertical="top" wrapText="1"/>
    </xf>
    <xf numFmtId="0" fontId="3" fillId="0" borderId="12" xfId="0" applyFont="1" applyBorder="1" applyAlignment="1">
      <alignment horizontal="left" vertical="top" wrapText="1"/>
    </xf>
    <xf numFmtId="0" fontId="10" fillId="0" borderId="12" xfId="0" applyFont="1" applyBorder="1" applyAlignment="1">
      <alignment vertical="center" wrapText="1"/>
    </xf>
    <xf numFmtId="2" fontId="5" fillId="2" borderId="25" xfId="0" applyNumberFormat="1" applyFont="1" applyFill="1" applyBorder="1" applyAlignment="1">
      <alignment horizontal="left" vertical="top" indent="2" shrinkToFit="1"/>
    </xf>
    <xf numFmtId="0" fontId="3" fillId="0" borderId="26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top" wrapText="1"/>
    </xf>
    <xf numFmtId="0" fontId="4" fillId="5" borderId="26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4" fillId="2" borderId="26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right" vertical="top" wrapText="1"/>
    </xf>
    <xf numFmtId="0" fontId="6" fillId="0" borderId="12" xfId="0" applyFont="1" applyFill="1" applyBorder="1" applyAlignment="1">
      <alignment vertical="top"/>
    </xf>
    <xf numFmtId="0" fontId="6" fillId="0" borderId="12" xfId="0" applyFont="1" applyFill="1" applyBorder="1" applyAlignment="1">
      <alignment horizontal="left" vertical="top"/>
    </xf>
    <xf numFmtId="0" fontId="6" fillId="0" borderId="12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vertical="top" wrapText="1"/>
    </xf>
    <xf numFmtId="0" fontId="15" fillId="0" borderId="51" xfId="0" applyFont="1" applyFill="1" applyBorder="1" applyAlignment="1">
      <alignment vertical="top" wrapText="1"/>
    </xf>
    <xf numFmtId="10" fontId="16" fillId="0" borderId="17" xfId="0" applyNumberFormat="1" applyFont="1" applyFill="1" applyBorder="1" applyAlignment="1">
      <alignment vertical="top" shrinkToFit="1"/>
    </xf>
    <xf numFmtId="0" fontId="15" fillId="0" borderId="44" xfId="0" applyFont="1" applyFill="1" applyBorder="1" applyAlignment="1">
      <alignment vertical="top" wrapText="1"/>
    </xf>
    <xf numFmtId="0" fontId="4" fillId="0" borderId="29" xfId="0" applyFont="1" applyFill="1" applyBorder="1" applyAlignment="1">
      <alignment horizontal="left" vertical="top" wrapText="1"/>
    </xf>
    <xf numFmtId="0" fontId="4" fillId="4" borderId="52" xfId="0" applyFont="1" applyFill="1" applyBorder="1" applyAlignment="1">
      <alignment horizontal="left" vertical="top" wrapText="1"/>
    </xf>
    <xf numFmtId="0" fontId="4" fillId="4" borderId="53" xfId="0" applyFont="1" applyFill="1" applyBorder="1" applyAlignment="1">
      <alignment horizontal="left" vertical="top" wrapText="1"/>
    </xf>
    <xf numFmtId="10" fontId="5" fillId="4" borderId="55" xfId="0" applyNumberFormat="1" applyFont="1" applyFill="1" applyBorder="1" applyAlignment="1">
      <alignment horizontal="center" vertical="top" shrinkToFit="1"/>
    </xf>
    <xf numFmtId="0" fontId="4" fillId="2" borderId="39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48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right" vertical="center" wrapText="1" indent="1"/>
    </xf>
    <xf numFmtId="0" fontId="6" fillId="2" borderId="20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 applyAlignment="1">
      <alignment horizontal="left" vertical="center" wrapText="1"/>
    </xf>
    <xf numFmtId="2" fontId="16" fillId="2" borderId="15" xfId="0" applyNumberFormat="1" applyFont="1" applyFill="1" applyBorder="1" applyAlignment="1">
      <alignment horizontal="left" vertical="top" indent="2" shrinkToFit="1"/>
    </xf>
    <xf numFmtId="2" fontId="16" fillId="2" borderId="27" xfId="0" applyNumberFormat="1" applyFont="1" applyFill="1" applyBorder="1" applyAlignment="1">
      <alignment horizontal="left" vertical="top" indent="2" shrinkToFit="1"/>
    </xf>
    <xf numFmtId="2" fontId="17" fillId="4" borderId="15" xfId="3" applyNumberFormat="1" applyFont="1" applyFill="1" applyBorder="1" applyAlignment="1">
      <alignment horizontal="center" vertical="center"/>
    </xf>
    <xf numFmtId="0" fontId="17" fillId="4" borderId="15" xfId="3" applyFont="1" applyFill="1" applyBorder="1" applyAlignment="1">
      <alignment horizontal="center" vertical="center"/>
    </xf>
    <xf numFmtId="44" fontId="17" fillId="4" borderId="15" xfId="3" applyNumberFormat="1" applyFont="1" applyFill="1" applyBorder="1" applyAlignment="1">
      <alignment horizontal="center" vertical="center"/>
    </xf>
    <xf numFmtId="2" fontId="18" fillId="0" borderId="12" xfId="0" applyNumberFormat="1" applyFont="1" applyFill="1" applyBorder="1" applyAlignment="1">
      <alignment horizontal="center" vertical="center" shrinkToFit="1"/>
    </xf>
    <xf numFmtId="2" fontId="18" fillId="0" borderId="25" xfId="0" applyNumberFormat="1" applyFont="1" applyFill="1" applyBorder="1" applyAlignment="1">
      <alignment horizontal="center" vertical="center" shrinkToFit="1"/>
    </xf>
    <xf numFmtId="2" fontId="18" fillId="0" borderId="13" xfId="0" applyNumberFormat="1" applyFont="1" applyFill="1" applyBorder="1" applyAlignment="1">
      <alignment horizontal="center" vertical="center" shrinkToFit="1"/>
    </xf>
    <xf numFmtId="2" fontId="19" fillId="3" borderId="12" xfId="3" applyNumberFormat="1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 wrapText="1"/>
    </xf>
    <xf numFmtId="44" fontId="19" fillId="3" borderId="12" xfId="3" applyNumberFormat="1" applyFont="1" applyFill="1" applyBorder="1" applyAlignment="1">
      <alignment horizontal="center" vertical="center"/>
    </xf>
    <xf numFmtId="44" fontId="19" fillId="3" borderId="41" xfId="3" applyNumberFormat="1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top" wrapText="1"/>
    </xf>
    <xf numFmtId="0" fontId="20" fillId="0" borderId="12" xfId="0" applyFont="1" applyFill="1" applyBorder="1" applyAlignment="1">
      <alignment horizontal="center" vertical="top" wrapText="1"/>
    </xf>
    <xf numFmtId="0" fontId="15" fillId="2" borderId="12" xfId="0" applyFont="1" applyFill="1" applyBorder="1" applyAlignment="1">
      <alignment vertical="top" wrapText="1"/>
    </xf>
    <xf numFmtId="0" fontId="20" fillId="5" borderId="12" xfId="0" applyFont="1" applyFill="1" applyBorder="1" applyAlignment="1">
      <alignment horizontal="center" vertical="top" wrapText="1"/>
    </xf>
    <xf numFmtId="0" fontId="17" fillId="3" borderId="12" xfId="3" applyFont="1" applyFill="1" applyBorder="1" applyAlignment="1">
      <alignment horizontal="center" vertical="center"/>
    </xf>
    <xf numFmtId="0" fontId="15" fillId="5" borderId="12" xfId="0" applyFont="1" applyFill="1" applyBorder="1" applyAlignment="1">
      <alignment vertical="top" wrapText="1"/>
    </xf>
    <xf numFmtId="0" fontId="15" fillId="5" borderId="12" xfId="0" applyFont="1" applyFill="1" applyBorder="1" applyAlignment="1">
      <alignment horizontal="center" vertical="top" wrapText="1"/>
    </xf>
    <xf numFmtId="0" fontId="15" fillId="2" borderId="13" xfId="0" applyFont="1" applyFill="1" applyBorder="1" applyAlignment="1">
      <alignment horizontal="center" vertical="center" wrapText="1"/>
    </xf>
    <xf numFmtId="2" fontId="18" fillId="4" borderId="13" xfId="0" applyNumberFormat="1" applyFont="1" applyFill="1" applyBorder="1" applyAlignment="1">
      <alignment horizontal="center" vertical="center" shrinkToFit="1"/>
    </xf>
    <xf numFmtId="0" fontId="20" fillId="3" borderId="12" xfId="0" applyFont="1" applyFill="1" applyBorder="1" applyAlignment="1">
      <alignment horizontal="center" vertical="top" wrapText="1"/>
    </xf>
    <xf numFmtId="0" fontId="18" fillId="3" borderId="12" xfId="0" applyFont="1" applyFill="1" applyBorder="1" applyAlignment="1">
      <alignment horizontal="left" vertical="top"/>
    </xf>
    <xf numFmtId="0" fontId="18" fillId="0" borderId="12" xfId="0" applyFont="1" applyFill="1" applyBorder="1" applyAlignment="1">
      <alignment horizontal="left" vertical="top"/>
    </xf>
    <xf numFmtId="0" fontId="15" fillId="4" borderId="13" xfId="0" applyFont="1" applyFill="1" applyBorder="1" applyAlignment="1">
      <alignment vertical="center" wrapText="1"/>
    </xf>
    <xf numFmtId="0" fontId="19" fillId="3" borderId="12" xfId="3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4" fontId="16" fillId="2" borderId="12" xfId="0" applyNumberFormat="1" applyFont="1" applyFill="1" applyBorder="1" applyAlignment="1">
      <alignment horizontal="left" vertical="top" indent="1" shrinkToFit="1"/>
    </xf>
    <xf numFmtId="44" fontId="17" fillId="4" borderId="27" xfId="3" applyNumberFormat="1" applyFont="1" applyFill="1" applyBorder="1" applyAlignment="1">
      <alignment horizontal="center" vertical="center"/>
    </xf>
    <xf numFmtId="164" fontId="15" fillId="4" borderId="12" xfId="0" applyNumberFormat="1" applyFont="1" applyFill="1" applyBorder="1" applyAlignment="1">
      <alignment horizontal="center" vertical="top" wrapText="1"/>
    </xf>
    <xf numFmtId="164" fontId="15" fillId="2" borderId="12" xfId="0" applyNumberFormat="1" applyFont="1" applyFill="1" applyBorder="1" applyAlignment="1">
      <alignment vertical="top" wrapText="1"/>
    </xf>
    <xf numFmtId="164" fontId="15" fillId="4" borderId="25" xfId="0" applyNumberFormat="1" applyFont="1" applyFill="1" applyBorder="1" applyAlignment="1">
      <alignment horizontal="center" vertical="top" wrapText="1"/>
    </xf>
    <xf numFmtId="164" fontId="15" fillId="2" borderId="25" xfId="0" applyNumberFormat="1" applyFont="1" applyFill="1" applyBorder="1" applyAlignment="1">
      <alignment vertical="top" wrapText="1"/>
    </xf>
    <xf numFmtId="164" fontId="15" fillId="5" borderId="12" xfId="0" applyNumberFormat="1" applyFont="1" applyFill="1" applyBorder="1" applyAlignment="1">
      <alignment vertical="top" wrapText="1"/>
    </xf>
    <xf numFmtId="164" fontId="15" fillId="5" borderId="12" xfId="0" applyNumberFormat="1" applyFont="1" applyFill="1" applyBorder="1" applyAlignment="1">
      <alignment horizontal="center" vertical="top" wrapText="1"/>
    </xf>
    <xf numFmtId="164" fontId="15" fillId="2" borderId="13" xfId="0" applyNumberFormat="1" applyFont="1" applyFill="1" applyBorder="1" applyAlignment="1">
      <alignment horizontal="center" vertical="center" wrapText="1"/>
    </xf>
    <xf numFmtId="165" fontId="16" fillId="4" borderId="13" xfId="5" applyFont="1" applyFill="1" applyBorder="1" applyAlignment="1">
      <alignment horizontal="center" vertical="center" shrinkToFit="1"/>
    </xf>
    <xf numFmtId="164" fontId="15" fillId="4" borderId="13" xfId="0" applyNumberFormat="1" applyFont="1" applyFill="1" applyBorder="1" applyAlignment="1">
      <alignment vertical="center" wrapText="1"/>
    </xf>
    <xf numFmtId="164" fontId="15" fillId="5" borderId="25" xfId="0" applyNumberFormat="1" applyFont="1" applyFill="1" applyBorder="1" applyAlignment="1">
      <alignment horizontal="center" vertical="top" wrapText="1"/>
    </xf>
    <xf numFmtId="164" fontId="15" fillId="5" borderId="25" xfId="0" applyNumberFormat="1" applyFont="1" applyFill="1" applyBorder="1" applyAlignment="1">
      <alignment vertical="top" wrapText="1"/>
    </xf>
    <xf numFmtId="164" fontId="15" fillId="2" borderId="25" xfId="0" applyNumberFormat="1" applyFont="1" applyFill="1" applyBorder="1" applyAlignment="1">
      <alignment horizontal="center" vertical="center" wrapText="1"/>
    </xf>
    <xf numFmtId="165" fontId="16" fillId="4" borderId="25" xfId="5" applyFont="1" applyFill="1" applyBorder="1" applyAlignment="1">
      <alignment horizontal="center" vertical="center" shrinkToFit="1"/>
    </xf>
    <xf numFmtId="164" fontId="15" fillId="4" borderId="25" xfId="0" applyNumberFormat="1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44" xfId="0" applyFont="1" applyFill="1" applyBorder="1" applyAlignment="1">
      <alignment horizontal="left" vertical="top" wrapText="1"/>
    </xf>
    <xf numFmtId="0" fontId="0" fillId="0" borderId="30" xfId="0" applyFill="1" applyBorder="1" applyAlignment="1">
      <alignment horizontal="left" vertical="top"/>
    </xf>
    <xf numFmtId="0" fontId="0" fillId="0" borderId="41" xfId="0" applyFill="1" applyBorder="1" applyAlignment="1">
      <alignment horizontal="left" vertical="top"/>
    </xf>
    <xf numFmtId="0" fontId="4" fillId="0" borderId="41" xfId="0" applyFont="1" applyFill="1" applyBorder="1" applyAlignment="1">
      <alignment vertical="top" wrapText="1"/>
    </xf>
    <xf numFmtId="0" fontId="0" fillId="0" borderId="47" xfId="0" applyFill="1" applyBorder="1" applyAlignment="1">
      <alignment horizontal="left" vertical="top"/>
    </xf>
    <xf numFmtId="0" fontId="4" fillId="4" borderId="41" xfId="0" applyFont="1" applyFill="1" applyBorder="1" applyAlignment="1">
      <alignment vertical="top" wrapText="1"/>
    </xf>
    <xf numFmtId="0" fontId="15" fillId="0" borderId="40" xfId="0" applyFont="1" applyFill="1" applyBorder="1" applyAlignment="1">
      <alignment vertical="top" wrapText="1"/>
    </xf>
    <xf numFmtId="0" fontId="15" fillId="0" borderId="46" xfId="0" applyFont="1" applyFill="1" applyBorder="1" applyAlignment="1">
      <alignment vertical="top" wrapText="1"/>
    </xf>
    <xf numFmtId="0" fontId="15" fillId="0" borderId="35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6" fillId="0" borderId="34" xfId="0" applyFont="1" applyFill="1" applyBorder="1" applyAlignment="1">
      <alignment vertical="top"/>
    </xf>
    <xf numFmtId="0" fontId="16" fillId="0" borderId="7" xfId="0" applyFont="1" applyFill="1" applyBorder="1" applyAlignment="1">
      <alignment vertical="top"/>
    </xf>
    <xf numFmtId="4" fontId="16" fillId="2" borderId="57" xfId="0" applyNumberFormat="1" applyFont="1" applyFill="1" applyBorder="1" applyAlignment="1">
      <alignment horizontal="left" vertical="top" indent="1" shrinkToFit="1"/>
    </xf>
    <xf numFmtId="4" fontId="16" fillId="2" borderId="58" xfId="0" applyNumberFormat="1" applyFont="1" applyFill="1" applyBorder="1" applyAlignment="1">
      <alignment horizontal="left" vertical="top" indent="1" shrinkToFit="1"/>
    </xf>
    <xf numFmtId="165" fontId="0" fillId="0" borderId="0" xfId="0" applyNumberFormat="1" applyFill="1" applyBorder="1" applyAlignment="1">
      <alignment horizontal="left" vertical="top"/>
    </xf>
    <xf numFmtId="2" fontId="6" fillId="0" borderId="12" xfId="0" applyNumberFormat="1" applyFont="1" applyFill="1" applyBorder="1" applyAlignment="1">
      <alignment horizontal="center" vertical="center"/>
    </xf>
    <xf numFmtId="2" fontId="19" fillId="4" borderId="12" xfId="3" applyNumberFormat="1" applyFont="1" applyFill="1" applyBorder="1" applyAlignment="1">
      <alignment horizontal="center" vertical="center"/>
    </xf>
    <xf numFmtId="0" fontId="9" fillId="4" borderId="20" xfId="3" applyFont="1" applyFill="1" applyBorder="1" applyAlignment="1">
      <alignment horizontal="center" vertical="center"/>
    </xf>
    <xf numFmtId="0" fontId="9" fillId="4" borderId="20" xfId="3" applyFont="1" applyFill="1" applyBorder="1" applyAlignment="1">
      <alignment horizontal="center" vertical="center" wrapText="1"/>
    </xf>
    <xf numFmtId="0" fontId="9" fillId="4" borderId="20" xfId="3" applyFont="1" applyFill="1" applyBorder="1" applyAlignment="1">
      <alignment vertical="center" wrapText="1"/>
    </xf>
    <xf numFmtId="0" fontId="9" fillId="4" borderId="21" xfId="3" applyFont="1" applyFill="1" applyBorder="1" applyAlignment="1">
      <alignment horizontal="center" vertical="center" wrapText="1"/>
    </xf>
    <xf numFmtId="10" fontId="4" fillId="0" borderId="60" xfId="7" applyNumberFormat="1" applyFont="1" applyBorder="1" applyAlignment="1">
      <alignment horizontal="center" vertical="center"/>
    </xf>
    <xf numFmtId="9" fontId="3" fillId="0" borderId="62" xfId="8" applyNumberFormat="1" applyFont="1" applyBorder="1" applyAlignment="1">
      <alignment horizontal="center" vertical="center"/>
    </xf>
    <xf numFmtId="10" fontId="3" fillId="0" borderId="62" xfId="8" applyNumberFormat="1" applyFont="1" applyBorder="1" applyAlignment="1">
      <alignment horizontal="center" vertical="center"/>
    </xf>
    <xf numFmtId="10" fontId="3" fillId="0" borderId="62" xfId="8" applyNumberFormat="1" applyFont="1" applyFill="1" applyBorder="1" applyAlignment="1">
      <alignment horizontal="center" vertical="center"/>
    </xf>
    <xf numFmtId="10" fontId="3" fillId="0" borderId="62" xfId="7" applyNumberFormat="1" applyFont="1" applyFill="1" applyBorder="1" applyAlignment="1">
      <alignment horizontal="center" vertical="center"/>
    </xf>
    <xf numFmtId="10" fontId="3" fillId="0" borderId="60" xfId="7" applyNumberFormat="1" applyFont="1" applyBorder="1" applyAlignment="1">
      <alignment horizontal="center" vertical="center"/>
    </xf>
    <xf numFmtId="10" fontId="4" fillId="0" borderId="62" xfId="8" applyNumberFormat="1" applyFont="1" applyBorder="1" applyAlignment="1">
      <alignment horizontal="center" vertical="center"/>
    </xf>
    <xf numFmtId="10" fontId="3" fillId="0" borderId="62" xfId="6" applyNumberFormat="1" applyFont="1" applyBorder="1" applyAlignment="1">
      <alignment horizontal="center" vertical="center"/>
    </xf>
    <xf numFmtId="10" fontId="11" fillId="0" borderId="62" xfId="8" applyNumberFormat="1" applyFont="1" applyBorder="1" applyAlignment="1">
      <alignment horizontal="center" vertical="center"/>
    </xf>
    <xf numFmtId="0" fontId="0" fillId="0" borderId="0" xfId="0" applyFill="1" applyBorder="1" applyAlignment="1">
      <alignment vertical="top"/>
    </xf>
    <xf numFmtId="0" fontId="0" fillId="0" borderId="6" xfId="0" applyFill="1" applyBorder="1" applyAlignment="1">
      <alignment vertical="top"/>
    </xf>
    <xf numFmtId="0" fontId="0" fillId="0" borderId="7" xfId="0" applyFill="1" applyBorder="1" applyAlignment="1">
      <alignment vertical="top"/>
    </xf>
    <xf numFmtId="10" fontId="11" fillId="0" borderId="69" xfId="8" applyNumberFormat="1" applyFont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top" wrapText="1"/>
    </xf>
    <xf numFmtId="0" fontId="4" fillId="8" borderId="26" xfId="0" applyFont="1" applyFill="1" applyBorder="1" applyAlignment="1">
      <alignment horizontal="center" vertical="top" wrapText="1"/>
    </xf>
    <xf numFmtId="0" fontId="4" fillId="8" borderId="12" xfId="0" applyFont="1" applyFill="1" applyBorder="1" applyAlignment="1">
      <alignment horizontal="center" vertical="top" wrapText="1"/>
    </xf>
    <xf numFmtId="0" fontId="4" fillId="8" borderId="12" xfId="0" applyFont="1" applyFill="1" applyBorder="1" applyAlignment="1">
      <alignment horizontal="left" vertical="top" wrapText="1"/>
    </xf>
    <xf numFmtId="2" fontId="5" fillId="8" borderId="12" xfId="0" applyNumberFormat="1" applyFont="1" applyFill="1" applyBorder="1" applyAlignment="1">
      <alignment horizontal="center" vertical="center" shrinkToFit="1"/>
    </xf>
    <xf numFmtId="0" fontId="4" fillId="8" borderId="26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right" vertical="center" wrapText="1" indent="1"/>
    </xf>
    <xf numFmtId="0" fontId="6" fillId="8" borderId="12" xfId="0" applyFont="1" applyFill="1" applyBorder="1" applyAlignment="1">
      <alignment horizontal="center" vertical="top" wrapText="1"/>
    </xf>
    <xf numFmtId="0" fontId="4" fillId="8" borderId="15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left" vertical="top" wrapText="1"/>
    </xf>
    <xf numFmtId="0" fontId="29" fillId="3" borderId="0" xfId="0" applyFont="1" applyFill="1" applyBorder="1" applyAlignment="1">
      <alignment horizontal="left" vertical="top" wrapText="1"/>
    </xf>
    <xf numFmtId="0" fontId="29" fillId="3" borderId="0" xfId="0" applyFont="1" applyFill="1" applyBorder="1" applyAlignment="1">
      <alignment horizontal="center" vertical="top" wrapText="1"/>
    </xf>
    <xf numFmtId="0" fontId="29" fillId="3" borderId="0" xfId="0" applyFont="1" applyFill="1" applyBorder="1" applyAlignment="1">
      <alignment horizontal="right" vertical="top" wrapText="1"/>
    </xf>
    <xf numFmtId="165" fontId="29" fillId="3" borderId="0" xfId="5" applyFont="1" applyFill="1" applyBorder="1" applyAlignment="1">
      <alignment horizontal="right" vertical="top" wrapText="1"/>
    </xf>
    <xf numFmtId="0" fontId="6" fillId="9" borderId="73" xfId="0" applyFont="1" applyFill="1" applyBorder="1" applyAlignment="1">
      <alignment horizontal="left" vertical="top" wrapText="1"/>
    </xf>
    <xf numFmtId="2" fontId="6" fillId="0" borderId="41" xfId="0" applyNumberFormat="1" applyFont="1" applyFill="1" applyBorder="1" applyAlignment="1">
      <alignment vertical="center" shrinkToFit="1"/>
    </xf>
    <xf numFmtId="2" fontId="5" fillId="4" borderId="41" xfId="0" applyNumberFormat="1" applyFont="1" applyFill="1" applyBorder="1" applyAlignment="1">
      <alignment vertical="center" shrinkToFit="1"/>
    </xf>
    <xf numFmtId="165" fontId="5" fillId="4" borderId="47" xfId="5" applyFont="1" applyFill="1" applyBorder="1" applyAlignment="1">
      <alignment vertical="center" shrinkToFit="1"/>
    </xf>
    <xf numFmtId="0" fontId="3" fillId="0" borderId="39" xfId="0" applyFont="1" applyFill="1" applyBorder="1" applyAlignment="1">
      <alignment horizontal="center" vertical="top" wrapText="1"/>
    </xf>
    <xf numFmtId="0" fontId="3" fillId="3" borderId="15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center" vertical="top" wrapText="1"/>
    </xf>
    <xf numFmtId="2" fontId="6" fillId="0" borderId="15" xfId="0" applyNumberFormat="1" applyFont="1" applyFill="1" applyBorder="1" applyAlignment="1">
      <alignment horizontal="center" vertical="center" shrinkToFit="1"/>
    </xf>
    <xf numFmtId="0" fontId="3" fillId="3" borderId="0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left" vertical="top" wrapText="1"/>
    </xf>
    <xf numFmtId="2" fontId="6" fillId="3" borderId="0" xfId="0" applyNumberFormat="1" applyFont="1" applyFill="1" applyBorder="1" applyAlignment="1">
      <alignment horizontal="center" vertical="center" shrinkToFi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left" vertical="top" wrapText="1"/>
    </xf>
    <xf numFmtId="2" fontId="5" fillId="3" borderId="0" xfId="0" applyNumberFormat="1" applyFont="1" applyFill="1" applyBorder="1" applyAlignment="1">
      <alignment horizontal="center" vertical="center" shrinkToFit="1"/>
    </xf>
    <xf numFmtId="0" fontId="4" fillId="3" borderId="0" xfId="0" applyFont="1" applyFill="1" applyBorder="1" applyAlignment="1">
      <alignment horizontal="center" vertical="center" wrapText="1"/>
    </xf>
    <xf numFmtId="4" fontId="5" fillId="3" borderId="0" xfId="0" applyNumberFormat="1" applyFont="1" applyFill="1" applyBorder="1" applyAlignment="1">
      <alignment horizontal="center" vertical="center" shrinkToFit="1"/>
    </xf>
    <xf numFmtId="0" fontId="3" fillId="3" borderId="0" xfId="0" applyFont="1" applyFill="1" applyBorder="1" applyAlignment="1">
      <alignment horizontal="center" vertical="center" wrapText="1"/>
    </xf>
    <xf numFmtId="2" fontId="4" fillId="3" borderId="0" xfId="0" applyNumberFormat="1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4" fillId="2" borderId="82" xfId="0" applyFont="1" applyFill="1" applyBorder="1" applyAlignment="1">
      <alignment horizontal="left" vertical="center" wrapText="1"/>
    </xf>
    <xf numFmtId="2" fontId="5" fillId="2" borderId="41" xfId="0" applyNumberFormat="1" applyFont="1" applyFill="1" applyBorder="1" applyAlignment="1">
      <alignment horizontal="left" vertical="top" indent="2" shrinkToFit="1"/>
    </xf>
    <xf numFmtId="2" fontId="6" fillId="0" borderId="41" xfId="0" applyNumberFormat="1" applyFont="1" applyFill="1" applyBorder="1" applyAlignment="1">
      <alignment horizontal="center" vertical="center" shrinkToFit="1"/>
    </xf>
    <xf numFmtId="4" fontId="5" fillId="2" borderId="41" xfId="0" applyNumberFormat="1" applyFont="1" applyFill="1" applyBorder="1" applyAlignment="1">
      <alignment vertical="center" shrinkToFit="1"/>
    </xf>
    <xf numFmtId="2" fontId="5" fillId="5" borderId="41" xfId="0" applyNumberFormat="1" applyFont="1" applyFill="1" applyBorder="1" applyAlignment="1">
      <alignment vertical="center" shrinkToFit="1"/>
    </xf>
    <xf numFmtId="2" fontId="4" fillId="2" borderId="41" xfId="0" applyNumberFormat="1" applyFont="1" applyFill="1" applyBorder="1" applyAlignment="1">
      <alignment vertical="center" wrapText="1"/>
    </xf>
    <xf numFmtId="165" fontId="5" fillId="4" borderId="41" xfId="5" applyFont="1" applyFill="1" applyBorder="1" applyAlignment="1">
      <alignment vertical="center" shrinkToFit="1"/>
    </xf>
    <xf numFmtId="2" fontId="6" fillId="3" borderId="41" xfId="0" applyNumberFormat="1" applyFont="1" applyFill="1" applyBorder="1" applyAlignment="1">
      <alignment vertical="center" shrinkToFit="1"/>
    </xf>
    <xf numFmtId="0" fontId="4" fillId="8" borderId="27" xfId="0" applyFont="1" applyFill="1" applyBorder="1" applyAlignment="1">
      <alignment horizontal="center" vertical="center" wrapText="1"/>
    </xf>
    <xf numFmtId="2" fontId="6" fillId="4" borderId="25" xfId="0" applyNumberFormat="1" applyFont="1" applyFill="1" applyBorder="1" applyAlignment="1">
      <alignment horizontal="center" vertical="center" shrinkToFit="1"/>
    </xf>
    <xf numFmtId="4" fontId="5" fillId="2" borderId="25" xfId="0" applyNumberFormat="1" applyFont="1" applyFill="1" applyBorder="1" applyAlignment="1">
      <alignment horizontal="center" vertical="center" shrinkToFit="1"/>
    </xf>
    <xf numFmtId="2" fontId="5" fillId="5" borderId="25" xfId="0" applyNumberFormat="1" applyFont="1" applyFill="1" applyBorder="1" applyAlignment="1">
      <alignment horizontal="center" vertical="center" shrinkToFit="1"/>
    </xf>
    <xf numFmtId="4" fontId="5" fillId="5" borderId="25" xfId="0" applyNumberFormat="1" applyFont="1" applyFill="1" applyBorder="1" applyAlignment="1">
      <alignment horizontal="center" vertical="center" shrinkToFit="1"/>
    </xf>
    <xf numFmtId="2" fontId="4" fillId="2" borderId="25" xfId="0" applyNumberFormat="1" applyFont="1" applyFill="1" applyBorder="1" applyAlignment="1">
      <alignment horizontal="center" vertical="center" wrapText="1"/>
    </xf>
    <xf numFmtId="2" fontId="5" fillId="4" borderId="25" xfId="0" applyNumberFormat="1" applyFont="1" applyFill="1" applyBorder="1" applyAlignment="1">
      <alignment horizontal="center" vertical="center" shrinkToFit="1"/>
    </xf>
    <xf numFmtId="2" fontId="6" fillId="3" borderId="25" xfId="0" applyNumberFormat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top" wrapText="1"/>
    </xf>
    <xf numFmtId="2" fontId="6" fillId="3" borderId="7" xfId="0" applyNumberFormat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top" wrapText="1"/>
    </xf>
    <xf numFmtId="2" fontId="5" fillId="3" borderId="7" xfId="0" applyNumberFormat="1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top" wrapText="1"/>
    </xf>
    <xf numFmtId="0" fontId="3" fillId="3" borderId="9" xfId="0" applyFont="1" applyFill="1" applyBorder="1" applyAlignment="1">
      <alignment horizontal="center" vertical="top" wrapText="1"/>
    </xf>
    <xf numFmtId="0" fontId="3" fillId="3" borderId="9" xfId="0" applyFont="1" applyFill="1" applyBorder="1" applyAlignment="1">
      <alignment horizontal="left" vertical="top" wrapText="1"/>
    </xf>
    <xf numFmtId="2" fontId="6" fillId="3" borderId="9" xfId="0" applyNumberFormat="1" applyFont="1" applyFill="1" applyBorder="1" applyAlignment="1">
      <alignment horizontal="center" vertical="center" shrinkToFit="1"/>
    </xf>
    <xf numFmtId="2" fontId="6" fillId="3" borderId="10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left" vertical="top"/>
    </xf>
    <xf numFmtId="0" fontId="0" fillId="0" borderId="29" xfId="0" applyFill="1" applyBorder="1" applyAlignment="1">
      <alignment horizontal="left" vertical="top"/>
    </xf>
    <xf numFmtId="165" fontId="5" fillId="8" borderId="25" xfId="5" applyFont="1" applyFill="1" applyBorder="1" applyAlignment="1">
      <alignment horizontal="center" vertical="center" shrinkToFit="1"/>
    </xf>
    <xf numFmtId="0" fontId="3" fillId="8" borderId="22" xfId="0" applyFont="1" applyFill="1" applyBorder="1" applyAlignment="1">
      <alignment horizontal="center" vertical="top" wrapText="1"/>
    </xf>
    <xf numFmtId="0" fontId="3" fillId="8" borderId="23" xfId="0" applyFont="1" applyFill="1" applyBorder="1" applyAlignment="1">
      <alignment horizontal="center" vertical="top" wrapText="1"/>
    </xf>
    <xf numFmtId="0" fontId="3" fillId="8" borderId="23" xfId="0" applyFont="1" applyFill="1" applyBorder="1" applyAlignment="1">
      <alignment horizontal="left" vertical="top" wrapText="1"/>
    </xf>
    <xf numFmtId="2" fontId="6" fillId="8" borderId="23" xfId="0" applyNumberFormat="1" applyFont="1" applyFill="1" applyBorder="1" applyAlignment="1">
      <alignment horizontal="center" vertical="center" shrinkToFit="1"/>
    </xf>
    <xf numFmtId="165" fontId="5" fillId="8" borderId="74" xfId="5" applyFont="1" applyFill="1" applyBorder="1" applyAlignment="1">
      <alignment horizontal="center" vertical="center" shrinkToFit="1"/>
    </xf>
    <xf numFmtId="0" fontId="8" fillId="11" borderId="0" xfId="3" applyFill="1" applyBorder="1" applyAlignment="1">
      <alignment wrapText="1"/>
    </xf>
    <xf numFmtId="0" fontId="8" fillId="11" borderId="6" xfId="3" applyFill="1" applyBorder="1"/>
    <xf numFmtId="0" fontId="8" fillId="11" borderId="0" xfId="3" applyFill="1" applyBorder="1"/>
    <xf numFmtId="0" fontId="8" fillId="11" borderId="7" xfId="3" applyFill="1" applyBorder="1"/>
    <xf numFmtId="0" fontId="33" fillId="11" borderId="95" xfId="3" applyFont="1" applyFill="1" applyBorder="1" applyAlignment="1">
      <alignment horizontal="center" vertical="center"/>
    </xf>
    <xf numFmtId="0" fontId="33" fillId="11" borderId="18" xfId="3" applyFont="1" applyFill="1" applyBorder="1" applyAlignment="1">
      <alignment horizontal="center" vertical="center"/>
    </xf>
    <xf numFmtId="0" fontId="33" fillId="11" borderId="18" xfId="3" applyFont="1" applyFill="1" applyBorder="1" applyAlignment="1">
      <alignment horizontal="center" vertical="center" wrapText="1"/>
    </xf>
    <xf numFmtId="0" fontId="33" fillId="11" borderId="19" xfId="3" applyFont="1" applyFill="1" applyBorder="1" applyAlignment="1">
      <alignment horizontal="center" vertical="center"/>
    </xf>
    <xf numFmtId="49" fontId="19" fillId="11" borderId="97" xfId="3" applyNumberFormat="1" applyFont="1" applyFill="1" applyBorder="1" applyAlignment="1">
      <alignment horizontal="center" vertical="center" wrapText="1"/>
    </xf>
    <xf numFmtId="10" fontId="19" fillId="11" borderId="97" xfId="3" applyNumberFormat="1" applyFont="1" applyFill="1" applyBorder="1" applyAlignment="1">
      <alignment vertical="center" wrapText="1"/>
    </xf>
    <xf numFmtId="10" fontId="20" fillId="11" borderId="97" xfId="9" applyNumberFormat="1" applyFont="1" applyFill="1" applyBorder="1" applyAlignment="1">
      <alignment vertical="top" wrapText="1"/>
    </xf>
    <xf numFmtId="10" fontId="20" fillId="11" borderId="97" xfId="3" applyNumberFormat="1" applyFont="1" applyFill="1" applyBorder="1" applyAlignment="1">
      <alignment vertical="top" wrapText="1"/>
    </xf>
    <xf numFmtId="10" fontId="20" fillId="11" borderId="98" xfId="3" applyNumberFormat="1" applyFont="1" applyFill="1" applyBorder="1" applyAlignment="1">
      <alignment vertical="top" wrapText="1"/>
    </xf>
    <xf numFmtId="49" fontId="19" fillId="10" borderId="100" xfId="3" applyNumberFormat="1" applyFont="1" applyFill="1" applyBorder="1" applyAlignment="1">
      <alignment horizontal="center" vertical="center" wrapText="1"/>
    </xf>
    <xf numFmtId="169" fontId="17" fillId="10" borderId="100" xfId="3" applyNumberFormat="1" applyFont="1" applyFill="1" applyBorder="1" applyAlignment="1">
      <alignment vertical="center" wrapText="1"/>
    </xf>
    <xf numFmtId="4" fontId="17" fillId="10" borderId="100" xfId="3" applyNumberFormat="1" applyFont="1" applyFill="1" applyBorder="1" applyAlignment="1">
      <alignment vertical="center" wrapText="1"/>
    </xf>
    <xf numFmtId="4" fontId="19" fillId="10" borderId="100" xfId="3" applyNumberFormat="1" applyFont="1" applyFill="1" applyBorder="1" applyAlignment="1">
      <alignment vertical="center" wrapText="1"/>
    </xf>
    <xf numFmtId="4" fontId="19" fillId="10" borderId="100" xfId="3" applyNumberFormat="1" applyFont="1" applyFill="1" applyBorder="1" applyAlignment="1">
      <alignment vertical="top" wrapText="1"/>
    </xf>
    <xf numFmtId="4" fontId="19" fillId="10" borderId="101" xfId="3" applyNumberFormat="1" applyFont="1" applyFill="1" applyBorder="1" applyAlignment="1">
      <alignment vertical="top" wrapText="1"/>
    </xf>
    <xf numFmtId="49" fontId="19" fillId="11" borderId="100" xfId="3" applyNumberFormat="1" applyFont="1" applyFill="1" applyBorder="1" applyAlignment="1">
      <alignment horizontal="center" vertical="center" wrapText="1"/>
    </xf>
    <xf numFmtId="4" fontId="17" fillId="10" borderId="100" xfId="3" applyNumberFormat="1" applyFont="1" applyFill="1" applyBorder="1" applyAlignment="1">
      <alignment vertical="top" wrapText="1"/>
    </xf>
    <xf numFmtId="4" fontId="17" fillId="10" borderId="101" xfId="3" applyNumberFormat="1" applyFont="1" applyFill="1" applyBorder="1" applyAlignment="1">
      <alignment vertical="top" wrapText="1"/>
    </xf>
    <xf numFmtId="4" fontId="19" fillId="11" borderId="100" xfId="3" applyNumberFormat="1" applyFont="1" applyFill="1" applyBorder="1" applyAlignment="1">
      <alignment vertical="center" wrapText="1"/>
    </xf>
    <xf numFmtId="4" fontId="19" fillId="11" borderId="100" xfId="3" applyNumberFormat="1" applyFont="1" applyFill="1" applyBorder="1" applyAlignment="1">
      <alignment vertical="top" wrapText="1"/>
    </xf>
    <xf numFmtId="4" fontId="19" fillId="11" borderId="101" xfId="3" applyNumberFormat="1" applyFont="1" applyFill="1" applyBorder="1" applyAlignment="1">
      <alignment vertical="top" wrapText="1"/>
    </xf>
    <xf numFmtId="49" fontId="19" fillId="11" borderId="100" xfId="3" applyNumberFormat="1" applyFont="1" applyFill="1" applyBorder="1" applyAlignment="1">
      <alignment horizontal="center" vertical="top" wrapText="1"/>
    </xf>
    <xf numFmtId="10" fontId="19" fillId="11" borderId="97" xfId="3" applyNumberFormat="1" applyFont="1" applyFill="1" applyBorder="1" applyAlignment="1">
      <alignment vertical="top" wrapText="1"/>
    </xf>
    <xf numFmtId="49" fontId="19" fillId="11" borderId="103" xfId="3" applyNumberFormat="1" applyFont="1" applyFill="1" applyBorder="1" applyAlignment="1">
      <alignment horizontal="center" vertical="top" wrapText="1"/>
    </xf>
    <xf numFmtId="49" fontId="17" fillId="11" borderId="105" xfId="3" applyNumberFormat="1" applyFont="1" applyFill="1" applyBorder="1" applyAlignment="1">
      <alignment horizontal="center" vertical="top" wrapText="1"/>
    </xf>
    <xf numFmtId="10" fontId="17" fillId="11" borderId="105" xfId="3" applyNumberFormat="1" applyFont="1" applyFill="1" applyBorder="1" applyAlignment="1">
      <alignment vertical="top" wrapText="1"/>
    </xf>
    <xf numFmtId="10" fontId="17" fillId="11" borderId="106" xfId="3" applyNumberFormat="1" applyFont="1" applyFill="1" applyBorder="1" applyAlignment="1">
      <alignment vertical="top" wrapText="1"/>
    </xf>
    <xf numFmtId="49" fontId="17" fillId="11" borderId="107" xfId="3" applyNumberFormat="1" applyFont="1" applyFill="1" applyBorder="1" applyAlignment="1">
      <alignment horizontal="center" vertical="top" wrapText="1"/>
    </xf>
    <xf numFmtId="170" fontId="17" fillId="11" borderId="107" xfId="3" applyNumberFormat="1" applyFont="1" applyFill="1" applyBorder="1" applyAlignment="1">
      <alignment vertical="top" wrapText="1"/>
    </xf>
    <xf numFmtId="170" fontId="17" fillId="11" borderId="108" xfId="3" applyNumberFormat="1" applyFont="1" applyFill="1" applyBorder="1" applyAlignment="1">
      <alignment vertical="top" wrapText="1"/>
    </xf>
    <xf numFmtId="0" fontId="8" fillId="11" borderId="6" xfId="3" applyFill="1" applyBorder="1" applyAlignment="1">
      <alignment vertical="center"/>
    </xf>
    <xf numFmtId="0" fontId="8" fillId="11" borderId="0" xfId="3" applyFill="1" applyBorder="1" applyAlignment="1">
      <alignment vertical="center"/>
    </xf>
    <xf numFmtId="0" fontId="8" fillId="11" borderId="0" xfId="3" applyFill="1" applyBorder="1" applyAlignment="1">
      <alignment vertical="center" wrapText="1"/>
    </xf>
    <xf numFmtId="0" fontId="8" fillId="11" borderId="7" xfId="3" applyFill="1" applyBorder="1" applyAlignment="1">
      <alignment vertical="center"/>
    </xf>
    <xf numFmtId="0" fontId="33" fillId="11" borderId="28" xfId="3" applyFont="1" applyFill="1" applyBorder="1" applyAlignment="1">
      <alignment wrapText="1"/>
    </xf>
    <xf numFmtId="0" fontId="33" fillId="11" borderId="29" xfId="3" applyFont="1" applyFill="1" applyBorder="1" applyAlignment="1">
      <alignment wrapText="1"/>
    </xf>
    <xf numFmtId="0" fontId="33" fillId="11" borderId="89" xfId="3" applyFont="1" applyFill="1" applyBorder="1" applyAlignment="1">
      <alignment wrapText="1"/>
    </xf>
    <xf numFmtId="0" fontId="8" fillId="11" borderId="88" xfId="3" applyFill="1" applyBorder="1"/>
    <xf numFmtId="0" fontId="8" fillId="11" borderId="29" xfId="3" applyFill="1" applyBorder="1"/>
    <xf numFmtId="0" fontId="8" fillId="11" borderId="30" xfId="3" applyFill="1" applyBorder="1"/>
    <xf numFmtId="0" fontId="33" fillId="11" borderId="6" xfId="3" applyFont="1" applyFill="1" applyBorder="1" applyAlignment="1">
      <alignment wrapText="1"/>
    </xf>
    <xf numFmtId="0" fontId="8" fillId="0" borderId="35" xfId="3" applyBorder="1" applyAlignment="1">
      <alignment vertical="center"/>
    </xf>
    <xf numFmtId="0" fontId="33" fillId="11" borderId="0" xfId="3" applyFont="1" applyFill="1" applyBorder="1" applyAlignment="1">
      <alignment wrapText="1"/>
    </xf>
    <xf numFmtId="0" fontId="8" fillId="0" borderId="33" xfId="3" applyBorder="1" applyAlignment="1">
      <alignment vertical="center"/>
    </xf>
    <xf numFmtId="0" fontId="33" fillId="11" borderId="34" xfId="3" applyFont="1" applyFill="1" applyBorder="1"/>
    <xf numFmtId="0" fontId="20" fillId="11" borderId="7" xfId="3" applyFont="1" applyFill="1" applyBorder="1"/>
    <xf numFmtId="0" fontId="33" fillId="11" borderId="6" xfId="3" applyFont="1" applyFill="1" applyBorder="1"/>
    <xf numFmtId="0" fontId="3" fillId="0" borderId="33" xfId="3" applyFont="1" applyBorder="1" applyAlignment="1">
      <alignment vertical="center"/>
    </xf>
    <xf numFmtId="0" fontId="8" fillId="11" borderId="34" xfId="3" applyFill="1" applyBorder="1"/>
    <xf numFmtId="0" fontId="8" fillId="11" borderId="6" xfId="3" applyFont="1" applyFill="1" applyBorder="1"/>
    <xf numFmtId="0" fontId="8" fillId="11" borderId="0" xfId="3" applyFont="1" applyFill="1" applyBorder="1"/>
    <xf numFmtId="0" fontId="8" fillId="11" borderId="33" xfId="3" applyFill="1" applyBorder="1"/>
    <xf numFmtId="0" fontId="15" fillId="11" borderId="6" xfId="3" applyFont="1" applyFill="1" applyBorder="1"/>
    <xf numFmtId="0" fontId="15" fillId="11" borderId="0" xfId="3" applyFont="1" applyFill="1" applyBorder="1" applyAlignment="1">
      <alignment wrapText="1"/>
    </xf>
    <xf numFmtId="0" fontId="33" fillId="11" borderId="0" xfId="3" applyFont="1" applyFill="1" applyBorder="1" applyAlignment="1">
      <alignment horizontal="right"/>
    </xf>
    <xf numFmtId="0" fontId="20" fillId="11" borderId="6" xfId="3" applyFont="1" applyFill="1" applyBorder="1"/>
    <xf numFmtId="0" fontId="20" fillId="11" borderId="0" xfId="3" applyFont="1" applyFill="1" applyBorder="1" applyAlignment="1">
      <alignment wrapText="1"/>
    </xf>
    <xf numFmtId="0" fontId="8" fillId="11" borderId="8" xfId="3" applyFill="1" applyBorder="1"/>
    <xf numFmtId="0" fontId="8" fillId="11" borderId="9" xfId="3" applyFill="1" applyBorder="1"/>
    <xf numFmtId="0" fontId="8" fillId="11" borderId="9" xfId="3" applyFill="1" applyBorder="1" applyAlignment="1">
      <alignment wrapText="1"/>
    </xf>
    <xf numFmtId="0" fontId="8" fillId="11" borderId="92" xfId="3" applyFill="1" applyBorder="1"/>
    <xf numFmtId="0" fontId="8" fillId="11" borderId="10" xfId="3" applyFill="1" applyBorder="1"/>
    <xf numFmtId="0" fontId="3" fillId="3" borderId="6" xfId="0" applyFont="1" applyFill="1" applyBorder="1" applyAlignment="1">
      <alignment vertical="top" wrapText="1"/>
    </xf>
    <xf numFmtId="0" fontId="3" fillId="3" borderId="0" xfId="0" applyFont="1" applyFill="1" applyBorder="1" applyAlignment="1">
      <alignment vertical="top" wrapText="1"/>
    </xf>
    <xf numFmtId="0" fontId="3" fillId="3" borderId="0" xfId="0" applyFont="1" applyFill="1" applyBorder="1" applyAlignment="1">
      <alignment horizontal="left" vertical="top" wrapText="1"/>
    </xf>
    <xf numFmtId="0" fontId="31" fillId="3" borderId="24" xfId="0" applyFont="1" applyFill="1" applyBorder="1" applyAlignment="1">
      <alignment vertical="top" wrapText="1"/>
    </xf>
    <xf numFmtId="0" fontId="0" fillId="3" borderId="7" xfId="0" applyFill="1" applyBorder="1" applyAlignment="1"/>
    <xf numFmtId="0" fontId="0" fillId="3" borderId="41" xfId="0" applyFill="1" applyBorder="1" applyAlignment="1"/>
    <xf numFmtId="0" fontId="30" fillId="3" borderId="75" xfId="0" applyFont="1" applyFill="1" applyBorder="1" applyAlignment="1">
      <alignment horizontal="right" vertical="top" wrapText="1"/>
    </xf>
    <xf numFmtId="0" fontId="30" fillId="3" borderId="73" xfId="0" applyFont="1" applyFill="1" applyBorder="1" applyAlignment="1">
      <alignment horizontal="left" vertical="top" wrapText="1"/>
    </xf>
    <xf numFmtId="0" fontId="30" fillId="3" borderId="73" xfId="0" applyFont="1" applyFill="1" applyBorder="1" applyAlignment="1">
      <alignment horizontal="center" vertical="top" wrapText="1"/>
    </xf>
    <xf numFmtId="0" fontId="30" fillId="3" borderId="73" xfId="0" applyFont="1" applyFill="1" applyBorder="1" applyAlignment="1">
      <alignment horizontal="right" vertical="top" wrapText="1"/>
    </xf>
    <xf numFmtId="165" fontId="29" fillId="3" borderId="77" xfId="5" applyFont="1" applyFill="1" applyBorder="1" applyAlignment="1">
      <alignment horizontal="right" vertical="top" wrapText="1"/>
    </xf>
    <xf numFmtId="0" fontId="29" fillId="3" borderId="73" xfId="0" applyFont="1" applyFill="1" applyBorder="1" applyAlignment="1">
      <alignment horizontal="left" vertical="top" wrapText="1"/>
    </xf>
    <xf numFmtId="0" fontId="29" fillId="3" borderId="73" xfId="0" applyFont="1" applyFill="1" applyBorder="1" applyAlignment="1">
      <alignment horizontal="center" vertical="top" wrapText="1"/>
    </xf>
    <xf numFmtId="0" fontId="29" fillId="3" borderId="73" xfId="0" applyFont="1" applyFill="1" applyBorder="1" applyAlignment="1">
      <alignment horizontal="right" vertical="top" wrapText="1"/>
    </xf>
    <xf numFmtId="165" fontId="29" fillId="3" borderId="80" xfId="5" applyFont="1" applyFill="1" applyBorder="1" applyAlignment="1">
      <alignment horizontal="right" vertical="top" wrapText="1"/>
    </xf>
    <xf numFmtId="0" fontId="0" fillId="3" borderId="0" xfId="0" applyFill="1"/>
    <xf numFmtId="0" fontId="34" fillId="3" borderId="24" xfId="0" applyFont="1" applyFill="1" applyBorder="1" applyAlignment="1"/>
    <xf numFmtId="0" fontId="33" fillId="3" borderId="24" xfId="0" applyFont="1" applyFill="1" applyBorder="1" applyAlignment="1">
      <alignment vertical="top" wrapText="1"/>
    </xf>
    <xf numFmtId="0" fontId="0" fillId="3" borderId="7" xfId="0" applyFill="1" applyBorder="1"/>
    <xf numFmtId="0" fontId="12" fillId="3" borderId="41" xfId="0" applyFont="1" applyFill="1" applyBorder="1" applyAlignment="1"/>
    <xf numFmtId="0" fontId="31" fillId="3" borderId="6" xfId="0" applyFont="1" applyFill="1" applyBorder="1" applyAlignment="1">
      <alignment vertical="top" wrapText="1"/>
    </xf>
    <xf numFmtId="0" fontId="32" fillId="3" borderId="0" xfId="0" applyFont="1" applyFill="1" applyBorder="1" applyAlignment="1">
      <alignment vertical="top" wrapText="1"/>
    </xf>
    <xf numFmtId="44" fontId="32" fillId="3" borderId="0" xfId="0" applyNumberFormat="1" applyFont="1" applyFill="1" applyBorder="1" applyAlignment="1">
      <alignment vertical="top" wrapText="1"/>
    </xf>
    <xf numFmtId="0" fontId="0" fillId="3" borderId="0" xfId="0" applyFill="1" applyBorder="1" applyAlignment="1"/>
    <xf numFmtId="0" fontId="29" fillId="3" borderId="76" xfId="0" applyFont="1" applyFill="1" applyBorder="1" applyAlignment="1">
      <alignment horizontal="left" vertical="top" wrapText="1"/>
    </xf>
    <xf numFmtId="0" fontId="29" fillId="3" borderId="78" xfId="0" applyFont="1" applyFill="1" applyBorder="1" applyAlignment="1">
      <alignment horizontal="left" vertical="top" wrapText="1"/>
    </xf>
    <xf numFmtId="0" fontId="29" fillId="3" borderId="79" xfId="0" applyFont="1" applyFill="1" applyBorder="1" applyAlignment="1">
      <alignment horizontal="left" vertical="top" wrapText="1"/>
    </xf>
    <xf numFmtId="0" fontId="29" fillId="3" borderId="79" xfId="0" applyFont="1" applyFill="1" applyBorder="1" applyAlignment="1">
      <alignment horizontal="center" vertical="top" wrapText="1"/>
    </xf>
    <xf numFmtId="0" fontId="29" fillId="3" borderId="79" xfId="0" applyFont="1" applyFill="1" applyBorder="1" applyAlignment="1">
      <alignment horizontal="right" vertical="top" wrapText="1"/>
    </xf>
    <xf numFmtId="0" fontId="0" fillId="3" borderId="0" xfId="0" applyFill="1" applyBorder="1" applyAlignment="1">
      <alignment horizontal="left" vertical="top"/>
    </xf>
    <xf numFmtId="0" fontId="29" fillId="3" borderId="109" xfId="0" applyFont="1" applyFill="1" applyBorder="1" applyAlignment="1">
      <alignment horizontal="left" vertical="top" wrapText="1"/>
    </xf>
    <xf numFmtId="0" fontId="29" fillId="3" borderId="109" xfId="0" applyFont="1" applyFill="1" applyBorder="1" applyAlignment="1">
      <alignment horizontal="center" vertical="top" wrapText="1"/>
    </xf>
    <xf numFmtId="0" fontId="29" fillId="3" borderId="109" xfId="0" applyFont="1" applyFill="1" applyBorder="1" applyAlignment="1">
      <alignment horizontal="right" vertical="top" wrapText="1"/>
    </xf>
    <xf numFmtId="165" fontId="29" fillId="3" borderId="110" xfId="5" applyFont="1" applyFill="1" applyBorder="1" applyAlignment="1">
      <alignment horizontal="right" vertical="top" wrapText="1"/>
    </xf>
    <xf numFmtId="0" fontId="30" fillId="3" borderId="111" xfId="0" applyFont="1" applyFill="1" applyBorder="1" applyAlignment="1">
      <alignment horizontal="right" vertical="top" wrapText="1"/>
    </xf>
    <xf numFmtId="0" fontId="29" fillId="3" borderId="112" xfId="0" applyFont="1" applyFill="1" applyBorder="1" applyAlignment="1">
      <alignment horizontal="left" vertical="top" wrapText="1"/>
    </xf>
    <xf numFmtId="2" fontId="29" fillId="3" borderId="109" xfId="0" applyNumberFormat="1" applyFont="1" applyFill="1" applyBorder="1" applyAlignment="1">
      <alignment horizontal="right" vertical="top" wrapText="1"/>
    </xf>
    <xf numFmtId="165" fontId="29" fillId="3" borderId="113" xfId="5" applyFont="1" applyFill="1" applyBorder="1" applyAlignment="1">
      <alignment horizontal="right" vertical="top" wrapText="1"/>
    </xf>
    <xf numFmtId="0" fontId="30" fillId="3" borderId="76" xfId="0" applyFont="1" applyFill="1" applyBorder="1" applyAlignment="1">
      <alignment horizontal="left" vertical="top" wrapText="1"/>
    </xf>
    <xf numFmtId="0" fontId="30" fillId="3" borderId="77" xfId="0" applyFont="1" applyFill="1" applyBorder="1" applyAlignment="1">
      <alignment horizontal="right" vertical="top" wrapText="1"/>
    </xf>
    <xf numFmtId="0" fontId="29" fillId="3" borderId="80" xfId="0" applyFont="1" applyFill="1" applyBorder="1" applyAlignment="1">
      <alignment horizontal="right" vertical="top" wrapText="1"/>
    </xf>
    <xf numFmtId="165" fontId="32" fillId="3" borderId="114" xfId="5" applyFont="1" applyFill="1" applyBorder="1" applyAlignment="1">
      <alignment horizontal="right" vertical="top" wrapText="1"/>
    </xf>
    <xf numFmtId="0" fontId="29" fillId="3" borderId="81" xfId="0" applyFont="1" applyFill="1" applyBorder="1" applyAlignment="1">
      <alignment horizontal="left" vertical="top" wrapText="1"/>
    </xf>
    <xf numFmtId="0" fontId="29" fillId="3" borderId="81" xfId="0" applyFont="1" applyFill="1" applyBorder="1" applyAlignment="1">
      <alignment horizontal="center" vertical="top" wrapText="1"/>
    </xf>
    <xf numFmtId="0" fontId="29" fillId="3" borderId="81" xfId="0" applyFont="1" applyFill="1" applyBorder="1" applyAlignment="1">
      <alignment horizontal="right" vertical="top" wrapText="1"/>
    </xf>
    <xf numFmtId="0" fontId="29" fillId="3" borderId="77" xfId="0" applyFont="1" applyFill="1" applyBorder="1" applyAlignment="1">
      <alignment horizontal="right" vertical="top" wrapText="1"/>
    </xf>
    <xf numFmtId="0" fontId="13" fillId="0" borderId="28" xfId="0" applyFont="1" applyFill="1" applyBorder="1" applyAlignment="1">
      <alignment horizontal="left" vertical="top"/>
    </xf>
    <xf numFmtId="0" fontId="0" fillId="0" borderId="0" xfId="0"/>
    <xf numFmtId="9" fontId="25" fillId="12" borderId="62" xfId="7" applyNumberFormat="1" applyFont="1" applyFill="1" applyBorder="1" applyAlignment="1">
      <alignment horizontal="center" vertical="center" wrapText="1"/>
    </xf>
    <xf numFmtId="0" fontId="25" fillId="12" borderId="62" xfId="7" applyFont="1" applyFill="1" applyBorder="1" applyAlignment="1">
      <alignment horizontal="center" vertical="center" wrapText="1"/>
    </xf>
    <xf numFmtId="10" fontId="3" fillId="0" borderId="62" xfId="7" applyNumberFormat="1" applyFont="1" applyBorder="1" applyAlignment="1">
      <alignment horizontal="left" vertical="center" wrapText="1"/>
    </xf>
    <xf numFmtId="167" fontId="3" fillId="0" borderId="62" xfId="8" applyNumberFormat="1" applyFont="1" applyBorder="1" applyAlignment="1">
      <alignment horizontal="center" vertical="center"/>
    </xf>
    <xf numFmtId="167" fontId="4" fillId="0" borderId="62" xfId="8" applyNumberFormat="1" applyFont="1" applyBorder="1" applyAlignment="1">
      <alignment horizontal="center" vertical="center"/>
    </xf>
    <xf numFmtId="10" fontId="3" fillId="13" borderId="62" xfId="8" applyNumberFormat="1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left" vertical="center" wrapText="1"/>
    </xf>
    <xf numFmtId="0" fontId="33" fillId="0" borderId="29" xfId="0" applyFont="1" applyFill="1" applyBorder="1" applyAlignment="1">
      <alignment horizontal="left" vertical="center" wrapText="1"/>
    </xf>
    <xf numFmtId="0" fontId="33" fillId="0" borderId="30" xfId="0" applyFont="1" applyFill="1" applyBorder="1" applyAlignment="1">
      <alignment horizontal="left" vertical="center" wrapText="1"/>
    </xf>
    <xf numFmtId="0" fontId="4" fillId="8" borderId="43" xfId="0" applyFont="1" applyFill="1" applyBorder="1" applyAlignment="1">
      <alignment horizontal="center" vertical="top" wrapText="1"/>
    </xf>
    <xf numFmtId="0" fontId="4" fillId="8" borderId="40" xfId="0" applyFont="1" applyFill="1" applyBorder="1" applyAlignment="1">
      <alignment horizontal="center" vertical="top" wrapText="1"/>
    </xf>
    <xf numFmtId="0" fontId="4" fillId="8" borderId="41" xfId="0" applyFont="1" applyFill="1" applyBorder="1" applyAlignment="1">
      <alignment horizontal="center" vertical="top" wrapText="1"/>
    </xf>
    <xf numFmtId="0" fontId="4" fillId="0" borderId="38" xfId="0" applyFont="1" applyFill="1" applyBorder="1" applyAlignment="1">
      <alignment horizontal="center" vertical="top" wrapText="1"/>
    </xf>
    <xf numFmtId="0" fontId="4" fillId="0" borderId="35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42" xfId="0" applyFont="1" applyFill="1" applyBorder="1" applyAlignment="1">
      <alignment horizontal="left" vertical="top" wrapText="1"/>
    </xf>
    <xf numFmtId="0" fontId="4" fillId="0" borderId="17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40" xfId="0" applyFont="1" applyFill="1" applyBorder="1" applyAlignment="1">
      <alignment horizontal="center" vertical="top" wrapText="1"/>
    </xf>
    <xf numFmtId="0" fontId="4" fillId="0" borderId="41" xfId="0" applyFont="1" applyFill="1" applyBorder="1" applyAlignment="1">
      <alignment horizontal="center" vertical="top" wrapText="1"/>
    </xf>
    <xf numFmtId="0" fontId="4" fillId="0" borderId="45" xfId="0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10" fontId="5" fillId="0" borderId="13" xfId="0" applyNumberFormat="1" applyFont="1" applyFill="1" applyBorder="1" applyAlignment="1">
      <alignment horizontal="center" vertical="top" shrinkToFit="1"/>
    </xf>
    <xf numFmtId="10" fontId="5" fillId="0" borderId="41" xfId="0" applyNumberFormat="1" applyFont="1" applyFill="1" applyBorder="1" applyAlignment="1">
      <alignment horizontal="center" vertical="top" shrinkToFit="1"/>
    </xf>
    <xf numFmtId="0" fontId="4" fillId="0" borderId="1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2" fontId="5" fillId="8" borderId="22" xfId="0" applyNumberFormat="1" applyFont="1" applyFill="1" applyBorder="1" applyAlignment="1">
      <alignment horizontal="center" vertical="center" shrinkToFit="1"/>
    </xf>
    <xf numFmtId="2" fontId="5" fillId="8" borderId="24" xfId="0" applyNumberFormat="1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14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31" fillId="3" borderId="6" xfId="0" applyFont="1" applyFill="1" applyBorder="1" applyAlignment="1">
      <alignment horizontal="left" vertical="top" wrapText="1"/>
    </xf>
    <xf numFmtId="0" fontId="32" fillId="3" borderId="0" xfId="0" applyFont="1" applyFill="1" applyBorder="1" applyAlignment="1">
      <alignment horizontal="left" vertical="top" wrapText="1"/>
    </xf>
    <xf numFmtId="0" fontId="0" fillId="3" borderId="0" xfId="0" applyFill="1" applyBorder="1"/>
    <xf numFmtId="0" fontId="0" fillId="3" borderId="7" xfId="0" applyFill="1" applyBorder="1"/>
    <xf numFmtId="0" fontId="30" fillId="5" borderId="22" xfId="0" applyFont="1" applyFill="1" applyBorder="1" applyAlignment="1">
      <alignment horizontal="center" wrapText="1"/>
    </xf>
    <xf numFmtId="0" fontId="0" fillId="5" borderId="23" xfId="0" applyFill="1" applyBorder="1"/>
    <xf numFmtId="0" fontId="0" fillId="5" borderId="24" xfId="0" applyFill="1" applyBorder="1"/>
    <xf numFmtId="0" fontId="31" fillId="3" borderId="28" xfId="0" applyFont="1" applyFill="1" applyBorder="1" applyAlignment="1">
      <alignment horizontal="left" vertical="top" wrapText="1"/>
    </xf>
    <xf numFmtId="0" fontId="32" fillId="3" borderId="29" xfId="0" applyFont="1" applyFill="1" applyBorder="1" applyAlignment="1">
      <alignment horizontal="left" vertical="top" wrapText="1"/>
    </xf>
    <xf numFmtId="0" fontId="0" fillId="3" borderId="29" xfId="0" applyFill="1" applyBorder="1"/>
    <xf numFmtId="0" fontId="0" fillId="3" borderId="30" xfId="0" applyFill="1" applyBorder="1"/>
    <xf numFmtId="0" fontId="30" fillId="3" borderId="22" xfId="0" applyFont="1" applyFill="1" applyBorder="1" applyAlignment="1">
      <alignment horizontal="center" vertical="center" wrapText="1"/>
    </xf>
    <xf numFmtId="0" fontId="0" fillId="3" borderId="23" xfId="0" applyFill="1" applyBorder="1" applyAlignment="1">
      <alignment vertical="center"/>
    </xf>
    <xf numFmtId="0" fontId="0" fillId="3" borderId="24" xfId="0" applyFill="1" applyBorder="1" applyAlignment="1">
      <alignment vertical="center"/>
    </xf>
    <xf numFmtId="0" fontId="12" fillId="5" borderId="23" xfId="0" applyFont="1" applyFill="1" applyBorder="1"/>
    <xf numFmtId="0" fontId="12" fillId="5" borderId="24" xfId="0" applyFont="1" applyFill="1" applyBorder="1"/>
    <xf numFmtId="0" fontId="4" fillId="6" borderId="59" xfId="7" applyFont="1" applyFill="1" applyBorder="1" applyAlignment="1">
      <alignment horizontal="center" vertical="center"/>
    </xf>
    <xf numFmtId="0" fontId="4" fillId="6" borderId="60" xfId="7" applyFont="1" applyFill="1" applyBorder="1" applyAlignment="1">
      <alignment horizontal="center" vertical="center"/>
    </xf>
    <xf numFmtId="0" fontId="4" fillId="6" borderId="71" xfId="7" applyFont="1" applyFill="1" applyBorder="1" applyAlignment="1">
      <alignment horizontal="center" vertical="center"/>
    </xf>
    <xf numFmtId="0" fontId="4" fillId="6" borderId="61" xfId="7" applyFont="1" applyFill="1" applyBorder="1" applyAlignment="1">
      <alignment horizontal="center" vertical="center"/>
    </xf>
    <xf numFmtId="0" fontId="3" fillId="13" borderId="59" xfId="7" applyFont="1" applyFill="1" applyBorder="1" applyAlignment="1">
      <alignment horizontal="justify" vertical="center" wrapText="1"/>
    </xf>
    <xf numFmtId="0" fontId="3" fillId="13" borderId="60" xfId="7" applyFont="1" applyFill="1" applyBorder="1" applyAlignment="1">
      <alignment horizontal="justify" vertical="center" wrapText="1"/>
    </xf>
    <xf numFmtId="0" fontId="3" fillId="13" borderId="61" xfId="7" applyFont="1" applyFill="1" applyBorder="1" applyAlignment="1">
      <alignment horizontal="justify" vertical="center" wrapText="1"/>
    </xf>
    <xf numFmtId="0" fontId="35" fillId="0" borderId="28" xfId="0" applyFont="1" applyFill="1" applyBorder="1" applyAlignment="1">
      <alignment horizontal="right" vertical="center"/>
    </xf>
    <xf numFmtId="0" fontId="35" fillId="0" borderId="29" xfId="0" applyFont="1" applyFill="1" applyBorder="1" applyAlignment="1">
      <alignment horizontal="right" vertical="center"/>
    </xf>
    <xf numFmtId="0" fontId="35" fillId="0" borderId="30" xfId="0" applyFont="1" applyFill="1" applyBorder="1" applyAlignment="1">
      <alignment horizontal="right" vertical="center"/>
    </xf>
    <xf numFmtId="0" fontId="35" fillId="0" borderId="8" xfId="0" applyFont="1" applyFill="1" applyBorder="1" applyAlignment="1">
      <alignment horizontal="right" vertical="center"/>
    </xf>
    <xf numFmtId="0" fontId="35" fillId="0" borderId="9" xfId="0" applyFont="1" applyFill="1" applyBorder="1" applyAlignment="1">
      <alignment horizontal="right" vertical="center"/>
    </xf>
    <xf numFmtId="0" fontId="35" fillId="0" borderId="10" xfId="0" applyFont="1" applyFill="1" applyBorder="1" applyAlignment="1">
      <alignment horizontal="right" vertical="center"/>
    </xf>
    <xf numFmtId="10" fontId="4" fillId="13" borderId="70" xfId="8" applyNumberFormat="1" applyFont="1" applyFill="1" applyBorder="1" applyAlignment="1">
      <alignment horizontal="center" vertical="center"/>
    </xf>
    <xf numFmtId="10" fontId="4" fillId="7" borderId="72" xfId="8" applyNumberFormat="1" applyFont="1" applyFill="1" applyBorder="1" applyAlignment="1">
      <alignment horizontal="center" vertical="center"/>
    </xf>
    <xf numFmtId="10" fontId="4" fillId="7" borderId="117" xfId="8" applyNumberFormat="1" applyFont="1" applyFill="1" applyBorder="1" applyAlignment="1">
      <alignment horizontal="center" vertical="center"/>
    </xf>
    <xf numFmtId="10" fontId="4" fillId="13" borderId="61" xfId="8" applyNumberFormat="1" applyFont="1" applyFill="1" applyBorder="1" applyAlignment="1">
      <alignment horizontal="center" vertical="center"/>
    </xf>
    <xf numFmtId="10" fontId="4" fillId="13" borderId="62" xfId="8" applyNumberFormat="1" applyFont="1" applyFill="1" applyBorder="1" applyAlignment="1">
      <alignment horizontal="center" vertical="center"/>
    </xf>
    <xf numFmtId="0" fontId="3" fillId="0" borderId="59" xfId="7" applyFont="1" applyBorder="1" applyAlignment="1">
      <alignment horizontal="left" vertical="center"/>
    </xf>
    <xf numFmtId="0" fontId="3" fillId="0" borderId="60" xfId="7" applyFont="1" applyBorder="1" applyAlignment="1">
      <alignment horizontal="left" vertical="center"/>
    </xf>
    <xf numFmtId="0" fontId="3" fillId="0" borderId="61" xfId="7" applyFont="1" applyBorder="1" applyAlignment="1">
      <alignment horizontal="left" vertical="center"/>
    </xf>
    <xf numFmtId="0" fontId="4" fillId="0" borderId="63" xfId="7" applyFont="1" applyBorder="1" applyAlignment="1">
      <alignment horizontal="center" vertical="center"/>
    </xf>
    <xf numFmtId="0" fontId="4" fillId="0" borderId="64" xfId="7" applyFont="1" applyBorder="1" applyAlignment="1">
      <alignment horizontal="center" vertical="center"/>
    </xf>
    <xf numFmtId="0" fontId="4" fillId="0" borderId="66" xfId="7" applyFont="1" applyBorder="1" applyAlignment="1">
      <alignment horizontal="center" vertical="center"/>
    </xf>
    <xf numFmtId="0" fontId="4" fillId="0" borderId="67" xfId="7" applyFont="1" applyBorder="1" applyAlignment="1">
      <alignment horizontal="center" vertical="center"/>
    </xf>
    <xf numFmtId="0" fontId="28" fillId="6" borderId="63" xfId="7" applyFont="1" applyFill="1" applyBorder="1" applyAlignment="1">
      <alignment horizontal="center" vertical="center"/>
    </xf>
    <xf numFmtId="0" fontId="28" fillId="6" borderId="65" xfId="7" applyFont="1" applyFill="1" applyBorder="1" applyAlignment="1">
      <alignment horizontal="center" vertical="center"/>
    </xf>
    <xf numFmtId="0" fontId="28" fillId="6" borderId="64" xfId="7" applyFont="1" applyFill="1" applyBorder="1" applyAlignment="1">
      <alignment horizontal="center" vertical="center"/>
    </xf>
    <xf numFmtId="0" fontId="4" fillId="6" borderId="66" xfId="7" applyFont="1" applyFill="1" applyBorder="1" applyAlignment="1">
      <alignment horizontal="center" vertical="center"/>
    </xf>
    <xf numFmtId="0" fontId="4" fillId="6" borderId="68" xfId="7" applyFont="1" applyFill="1" applyBorder="1" applyAlignment="1">
      <alignment horizontal="center" vertical="center"/>
    </xf>
    <xf numFmtId="0" fontId="4" fillId="6" borderId="67" xfId="7" applyFont="1" applyFill="1" applyBorder="1" applyAlignment="1">
      <alignment horizontal="center" vertical="center"/>
    </xf>
    <xf numFmtId="0" fontId="3" fillId="0" borderId="59" xfId="7" applyFont="1" applyBorder="1" applyAlignment="1">
      <alignment horizontal="right" vertical="center"/>
    </xf>
    <xf numFmtId="0" fontId="3" fillId="0" borderId="61" xfId="7" applyFont="1" applyBorder="1" applyAlignment="1">
      <alignment horizontal="right" vertical="center"/>
    </xf>
    <xf numFmtId="167" fontId="4" fillId="0" borderId="69" xfId="8" applyNumberFormat="1" applyFont="1" applyBorder="1" applyAlignment="1">
      <alignment horizontal="center" vertical="center"/>
    </xf>
    <xf numFmtId="167" fontId="4" fillId="0" borderId="115" xfId="8" applyNumberFormat="1" applyFont="1" applyBorder="1" applyAlignment="1">
      <alignment horizontal="center" vertical="center"/>
    </xf>
    <xf numFmtId="167" fontId="4" fillId="0" borderId="116" xfId="8" applyNumberFormat="1" applyFont="1" applyBorder="1" applyAlignment="1">
      <alignment horizontal="center" vertical="center"/>
    </xf>
    <xf numFmtId="10" fontId="4" fillId="13" borderId="63" xfId="8" applyNumberFormat="1" applyFont="1" applyFill="1" applyBorder="1" applyAlignment="1">
      <alignment horizontal="center" vertical="center"/>
    </xf>
    <xf numFmtId="10" fontId="4" fillId="13" borderId="64" xfId="8" applyNumberFormat="1" applyFont="1" applyFill="1" applyBorder="1" applyAlignment="1">
      <alignment horizontal="center" vertical="center"/>
    </xf>
    <xf numFmtId="10" fontId="4" fillId="13" borderId="66" xfId="8" applyNumberFormat="1" applyFont="1" applyFill="1" applyBorder="1" applyAlignment="1">
      <alignment horizontal="center" vertical="center"/>
    </xf>
    <xf numFmtId="10" fontId="4" fillId="13" borderId="67" xfId="8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center"/>
    </xf>
    <xf numFmtId="0" fontId="24" fillId="6" borderId="59" xfId="7" applyFont="1" applyFill="1" applyBorder="1" applyAlignment="1">
      <alignment horizontal="center" vertical="center" wrapText="1"/>
    </xf>
    <xf numFmtId="0" fontId="24" fillId="6" borderId="60" xfId="7" applyFont="1" applyFill="1" applyBorder="1" applyAlignment="1">
      <alignment horizontal="center" vertical="center" wrapText="1"/>
    </xf>
    <xf numFmtId="0" fontId="24" fillId="6" borderId="61" xfId="7" applyFont="1" applyFill="1" applyBorder="1" applyAlignment="1">
      <alignment horizontal="center" vertical="center" wrapText="1"/>
    </xf>
    <xf numFmtId="0" fontId="25" fillId="12" borderId="62" xfId="7" applyFont="1" applyFill="1" applyBorder="1" applyAlignment="1">
      <alignment horizontal="center" vertical="center" wrapText="1"/>
    </xf>
    <xf numFmtId="0" fontId="25" fillId="12" borderId="62" xfId="7" applyFont="1" applyFill="1" applyBorder="1" applyAlignment="1">
      <alignment horizontal="center" vertical="center"/>
    </xf>
    <xf numFmtId="0" fontId="25" fillId="12" borderId="69" xfId="7" applyFont="1" applyFill="1" applyBorder="1" applyAlignment="1">
      <alignment horizontal="center" vertical="center" wrapText="1"/>
    </xf>
    <xf numFmtId="0" fontId="25" fillId="12" borderId="115" xfId="7" applyFont="1" applyFill="1" applyBorder="1" applyAlignment="1">
      <alignment horizontal="center" vertical="center" wrapText="1"/>
    </xf>
    <xf numFmtId="0" fontId="25" fillId="12" borderId="116" xfId="7" applyFont="1" applyFill="1" applyBorder="1" applyAlignment="1">
      <alignment horizontal="center" vertical="center" wrapText="1"/>
    </xf>
    <xf numFmtId="0" fontId="25" fillId="12" borderId="59" xfId="7" applyFont="1" applyFill="1" applyBorder="1" applyAlignment="1">
      <alignment horizontal="center" vertical="center"/>
    </xf>
    <xf numFmtId="0" fontId="25" fillId="12" borderId="60" xfId="7" applyFont="1" applyFill="1" applyBorder="1" applyAlignment="1">
      <alignment horizontal="center" vertical="center"/>
    </xf>
    <xf numFmtId="0" fontId="25" fillId="12" borderId="61" xfId="7" applyFont="1" applyFill="1" applyBorder="1" applyAlignment="1">
      <alignment horizontal="center" vertical="center"/>
    </xf>
    <xf numFmtId="0" fontId="9" fillId="4" borderId="18" xfId="3" applyFont="1" applyFill="1" applyBorder="1" applyAlignment="1">
      <alignment horizontal="center" vertical="center" wrapText="1"/>
    </xf>
    <xf numFmtId="0" fontId="16" fillId="0" borderId="46" xfId="0" applyFont="1" applyFill="1" applyBorder="1" applyAlignment="1">
      <alignment vertical="top"/>
    </xf>
    <xf numFmtId="0" fontId="16" fillId="0" borderId="32" xfId="0" applyFont="1" applyFill="1" applyBorder="1" applyAlignment="1">
      <alignment vertical="top"/>
    </xf>
    <xf numFmtId="0" fontId="16" fillId="0" borderId="34" xfId="0" applyFont="1" applyFill="1" applyBorder="1" applyAlignment="1">
      <alignment vertical="top"/>
    </xf>
    <xf numFmtId="0" fontId="16" fillId="0" borderId="7" xfId="0" applyFont="1" applyFill="1" applyBorder="1" applyAlignment="1">
      <alignment vertical="top"/>
    </xf>
    <xf numFmtId="0" fontId="16" fillId="0" borderId="0" xfId="0" applyFont="1" applyFill="1" applyBorder="1" applyAlignment="1">
      <alignment vertical="top"/>
    </xf>
    <xf numFmtId="0" fontId="16" fillId="0" borderId="33" xfId="0" applyFont="1" applyFill="1" applyBorder="1" applyAlignment="1">
      <alignment vertical="top"/>
    </xf>
    <xf numFmtId="0" fontId="16" fillId="0" borderId="0" xfId="0" applyFont="1" applyFill="1" applyBorder="1" applyAlignment="1">
      <alignment horizontal="center" vertical="top"/>
    </xf>
    <xf numFmtId="0" fontId="16" fillId="0" borderId="33" xfId="0" applyFont="1" applyFill="1" applyBorder="1" applyAlignment="1">
      <alignment horizontal="center" vertical="top"/>
    </xf>
    <xf numFmtId="4" fontId="16" fillId="0" borderId="34" xfId="0" applyNumberFormat="1" applyFont="1" applyFill="1" applyBorder="1" applyAlignment="1">
      <alignment vertical="top"/>
    </xf>
    <xf numFmtId="165" fontId="16" fillId="0" borderId="34" xfId="0" applyNumberFormat="1" applyFont="1" applyFill="1" applyBorder="1" applyAlignment="1">
      <alignment vertical="top"/>
    </xf>
    <xf numFmtId="14" fontId="15" fillId="0" borderId="44" xfId="0" applyNumberFormat="1" applyFont="1" applyFill="1" applyBorder="1" applyAlignment="1">
      <alignment horizontal="center" vertical="top" wrapText="1"/>
    </xf>
    <xf numFmtId="0" fontId="15" fillId="0" borderId="37" xfId="0" applyFont="1" applyFill="1" applyBorder="1" applyAlignment="1">
      <alignment horizontal="center" vertical="top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4" borderId="18" xfId="3" applyFont="1" applyFill="1" applyBorder="1" applyAlignment="1">
      <alignment horizontal="center" vertical="center"/>
    </xf>
    <xf numFmtId="0" fontId="9" fillId="4" borderId="20" xfId="3" applyFont="1" applyFill="1" applyBorder="1" applyAlignment="1">
      <alignment horizontal="center" vertical="center"/>
    </xf>
    <xf numFmtId="0" fontId="9" fillId="4" borderId="20" xfId="3" applyFont="1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top"/>
    </xf>
    <xf numFmtId="0" fontId="0" fillId="0" borderId="29" xfId="0" applyFill="1" applyBorder="1" applyAlignment="1">
      <alignment horizontal="center" vertical="top"/>
    </xf>
    <xf numFmtId="0" fontId="0" fillId="0" borderId="30" xfId="0" applyFill="1" applyBorder="1" applyAlignment="1">
      <alignment horizontal="center" vertical="top"/>
    </xf>
    <xf numFmtId="0" fontId="0" fillId="0" borderId="6" xfId="0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0" fillId="0" borderId="7" xfId="0" applyFill="1" applyBorder="1" applyAlignment="1">
      <alignment horizontal="center" vertical="top"/>
    </xf>
    <xf numFmtId="0" fontId="0" fillId="0" borderId="8" xfId="0" applyFill="1" applyBorder="1" applyAlignment="1">
      <alignment horizontal="center" vertical="top"/>
    </xf>
    <xf numFmtId="0" fontId="0" fillId="0" borderId="9" xfId="0" applyFill="1" applyBorder="1" applyAlignment="1">
      <alignment horizontal="center" vertical="top"/>
    </xf>
    <xf numFmtId="0" fontId="0" fillId="0" borderId="10" xfId="0" applyFill="1" applyBorder="1" applyAlignment="1">
      <alignment horizontal="center" vertical="top"/>
    </xf>
    <xf numFmtId="0" fontId="16" fillId="0" borderId="12" xfId="0" applyFont="1" applyFill="1" applyBorder="1" applyAlignment="1">
      <alignment horizontal="left" vertical="top"/>
    </xf>
    <xf numFmtId="0" fontId="16" fillId="0" borderId="25" xfId="0" applyFont="1" applyFill="1" applyBorder="1" applyAlignment="1">
      <alignment horizontal="left" vertical="top"/>
    </xf>
    <xf numFmtId="0" fontId="16" fillId="0" borderId="13" xfId="0" applyFont="1" applyFill="1" applyBorder="1" applyAlignment="1">
      <alignment horizontal="left" vertical="top"/>
    </xf>
    <xf numFmtId="0" fontId="16" fillId="0" borderId="49" xfId="0" applyFont="1" applyFill="1" applyBorder="1" applyAlignment="1">
      <alignment horizontal="left" vertical="top"/>
    </xf>
    <xf numFmtId="0" fontId="9" fillId="4" borderId="19" xfId="3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top" wrapText="1"/>
    </xf>
    <xf numFmtId="164" fontId="16" fillId="0" borderId="0" xfId="0" applyNumberFormat="1" applyFont="1" applyFill="1" applyBorder="1" applyAlignment="1">
      <alignment vertical="top"/>
    </xf>
    <xf numFmtId="0" fontId="16" fillId="0" borderId="36" xfId="0" applyFont="1" applyFill="1" applyBorder="1" applyAlignment="1">
      <alignment vertical="top"/>
    </xf>
    <xf numFmtId="0" fontId="16" fillId="0" borderId="47" xfId="0" applyFont="1" applyFill="1" applyBorder="1" applyAlignment="1">
      <alignment vertical="top"/>
    </xf>
    <xf numFmtId="165" fontId="16" fillId="0" borderId="34" xfId="5" applyFont="1" applyFill="1" applyBorder="1" applyAlignment="1">
      <alignment vertical="top" shrinkToFit="1"/>
    </xf>
    <xf numFmtId="165" fontId="16" fillId="0" borderId="0" xfId="5" applyFont="1" applyFill="1" applyBorder="1" applyAlignment="1">
      <alignment vertical="top" shrinkToFit="1"/>
    </xf>
    <xf numFmtId="165" fontId="16" fillId="0" borderId="33" xfId="5" applyFont="1" applyFill="1" applyBorder="1" applyAlignment="1">
      <alignment vertical="top" shrinkToFi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15" fillId="0" borderId="43" xfId="0" applyFont="1" applyFill="1" applyBorder="1" applyAlignment="1">
      <alignment vertical="top" wrapText="1"/>
    </xf>
    <xf numFmtId="0" fontId="15" fillId="0" borderId="40" xfId="0" applyFont="1" applyFill="1" applyBorder="1" applyAlignment="1">
      <alignment vertical="top" wrapText="1"/>
    </xf>
    <xf numFmtId="0" fontId="15" fillId="0" borderId="49" xfId="0" applyFont="1" applyFill="1" applyBorder="1" applyAlignment="1">
      <alignment vertical="top" wrapText="1"/>
    </xf>
    <xf numFmtId="0" fontId="15" fillId="0" borderId="12" xfId="0" applyFont="1" applyFill="1" applyBorder="1" applyAlignment="1">
      <alignment vertical="top" wrapText="1"/>
    </xf>
    <xf numFmtId="0" fontId="15" fillId="0" borderId="46" xfId="0" applyFont="1" applyFill="1" applyBorder="1" applyAlignment="1">
      <alignment vertical="top" wrapText="1"/>
    </xf>
    <xf numFmtId="0" fontId="15" fillId="0" borderId="36" xfId="0" applyFont="1" applyFill="1" applyBorder="1" applyAlignment="1">
      <alignment vertical="top" wrapText="1"/>
    </xf>
    <xf numFmtId="0" fontId="15" fillId="0" borderId="32" xfId="0" applyFont="1" applyFill="1" applyBorder="1" applyAlignment="1">
      <alignment vertical="top" wrapText="1"/>
    </xf>
    <xf numFmtId="0" fontId="15" fillId="0" borderId="38" xfId="0" applyFont="1" applyFill="1" applyBorder="1" applyAlignment="1">
      <alignment vertical="top" wrapText="1"/>
    </xf>
    <xf numFmtId="0" fontId="15" fillId="0" borderId="35" xfId="0" applyFont="1" applyFill="1" applyBorder="1" applyAlignment="1">
      <alignment vertical="top" wrapText="1"/>
    </xf>
    <xf numFmtId="0" fontId="15" fillId="0" borderId="42" xfId="0" applyFont="1" applyFill="1" applyBorder="1" applyAlignment="1">
      <alignment vertical="top" wrapText="1"/>
    </xf>
    <xf numFmtId="0" fontId="15" fillId="0" borderId="17" xfId="0" applyFont="1" applyFill="1" applyBorder="1" applyAlignment="1">
      <alignment vertical="top" wrapText="1"/>
    </xf>
    <xf numFmtId="0" fontId="15" fillId="0" borderId="50" xfId="0" applyFont="1" applyFill="1" applyBorder="1" applyAlignment="1">
      <alignment vertical="top" wrapText="1"/>
    </xf>
    <xf numFmtId="0" fontId="15" fillId="0" borderId="11" xfId="0" applyFont="1" applyFill="1" applyBorder="1" applyAlignment="1">
      <alignment vertical="top" wrapText="1"/>
    </xf>
    <xf numFmtId="0" fontId="15" fillId="0" borderId="2" xfId="0" applyFont="1" applyFill="1" applyBorder="1" applyAlignment="1">
      <alignment vertical="top" wrapText="1"/>
    </xf>
    <xf numFmtId="0" fontId="15" fillId="0" borderId="3" xfId="0" applyFont="1" applyFill="1" applyBorder="1" applyAlignment="1">
      <alignment vertical="top" wrapText="1"/>
    </xf>
    <xf numFmtId="0" fontId="15" fillId="0" borderId="4" xfId="0" applyFont="1" applyFill="1" applyBorder="1" applyAlignment="1">
      <alignment vertical="top" wrapText="1"/>
    </xf>
    <xf numFmtId="0" fontId="15" fillId="0" borderId="14" xfId="0" applyFont="1" applyFill="1" applyBorder="1" applyAlignment="1">
      <alignment vertical="top" wrapText="1"/>
    </xf>
    <xf numFmtId="0" fontId="15" fillId="0" borderId="16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5" fillId="0" borderId="45" xfId="0" applyFont="1" applyFill="1" applyBorder="1" applyAlignment="1">
      <alignment vertical="top" wrapText="1"/>
    </xf>
    <xf numFmtId="0" fontId="15" fillId="0" borderId="5" xfId="0" applyFont="1" applyFill="1" applyBorder="1" applyAlignment="1">
      <alignment vertical="top" wrapText="1"/>
    </xf>
    <xf numFmtId="0" fontId="15" fillId="0" borderId="15" xfId="0" applyFont="1" applyFill="1" applyBorder="1" applyAlignment="1">
      <alignment vertical="top" wrapText="1"/>
    </xf>
    <xf numFmtId="0" fontId="8" fillId="0" borderId="35" xfId="3" applyBorder="1" applyAlignment="1">
      <alignment horizontal="center" vertical="center"/>
    </xf>
    <xf numFmtId="0" fontId="4" fillId="0" borderId="36" xfId="3" applyFont="1" applyBorder="1" applyAlignment="1">
      <alignment horizontal="center" vertical="center"/>
    </xf>
    <xf numFmtId="0" fontId="2" fillId="11" borderId="28" xfId="3" applyFont="1" applyFill="1" applyBorder="1" applyAlignment="1">
      <alignment horizontal="center" vertical="center"/>
    </xf>
    <xf numFmtId="0" fontId="2" fillId="11" borderId="29" xfId="3" applyFont="1" applyFill="1" applyBorder="1" applyAlignment="1">
      <alignment horizontal="center" vertical="center"/>
    </xf>
    <xf numFmtId="0" fontId="2" fillId="11" borderId="30" xfId="3" applyFont="1" applyFill="1" applyBorder="1" applyAlignment="1">
      <alignment horizontal="center" vertical="center"/>
    </xf>
    <xf numFmtId="0" fontId="2" fillId="11" borderId="6" xfId="3" applyFont="1" applyFill="1" applyBorder="1" applyAlignment="1">
      <alignment horizontal="center" vertical="center"/>
    </xf>
    <xf numFmtId="0" fontId="2" fillId="11" borderId="0" xfId="3" applyFont="1" applyFill="1" applyBorder="1" applyAlignment="1">
      <alignment horizontal="center" vertical="center"/>
    </xf>
    <xf numFmtId="0" fontId="2" fillId="11" borderId="7" xfId="3" applyFont="1" applyFill="1" applyBorder="1" applyAlignment="1">
      <alignment horizontal="center" vertical="center"/>
    </xf>
    <xf numFmtId="0" fontId="2" fillId="11" borderId="8" xfId="3" applyFont="1" applyFill="1" applyBorder="1" applyAlignment="1">
      <alignment horizontal="center" vertical="center"/>
    </xf>
    <xf numFmtId="0" fontId="2" fillId="11" borderId="9" xfId="3" applyFont="1" applyFill="1" applyBorder="1" applyAlignment="1">
      <alignment horizontal="center" vertical="center"/>
    </xf>
    <xf numFmtId="0" fontId="2" fillId="11" borderId="10" xfId="3" applyFont="1" applyFill="1" applyBorder="1" applyAlignment="1">
      <alignment horizontal="center" vertical="center"/>
    </xf>
    <xf numFmtId="0" fontId="8" fillId="11" borderId="99" xfId="3" applyFill="1" applyBorder="1" applyAlignment="1">
      <alignment vertical="top" wrapText="1"/>
    </xf>
    <xf numFmtId="0" fontId="8" fillId="11" borderId="102" xfId="3" applyFill="1" applyBorder="1" applyAlignment="1">
      <alignment vertical="top" wrapText="1"/>
    </xf>
    <xf numFmtId="0" fontId="8" fillId="11" borderId="100" xfId="3" applyFill="1" applyBorder="1" applyAlignment="1">
      <alignment vertical="top" wrapText="1"/>
    </xf>
    <xf numFmtId="0" fontId="8" fillId="11" borderId="103" xfId="3" applyFill="1" applyBorder="1" applyAlignment="1">
      <alignment vertical="top" wrapText="1"/>
    </xf>
    <xf numFmtId="0" fontId="33" fillId="11" borderId="104" xfId="3" applyFont="1" applyFill="1" applyBorder="1" applyAlignment="1">
      <alignment horizontal="center" vertical="center" wrapText="1"/>
    </xf>
    <xf numFmtId="0" fontId="33" fillId="11" borderId="36" xfId="3" applyFont="1" applyFill="1" applyBorder="1" applyAlignment="1">
      <alignment horizontal="center" vertical="center" wrapText="1"/>
    </xf>
    <xf numFmtId="0" fontId="33" fillId="11" borderId="32" xfId="3" applyFont="1" applyFill="1" applyBorder="1" applyAlignment="1">
      <alignment horizontal="center" vertical="center" wrapText="1"/>
    </xf>
    <xf numFmtId="0" fontId="33" fillId="11" borderId="8" xfId="3" applyFont="1" applyFill="1" applyBorder="1" applyAlignment="1">
      <alignment horizontal="center" vertical="center" wrapText="1"/>
    </xf>
    <xf numFmtId="0" fontId="33" fillId="11" borderId="9" xfId="3" applyFont="1" applyFill="1" applyBorder="1" applyAlignment="1">
      <alignment horizontal="center" vertical="center" wrapText="1"/>
    </xf>
    <xf numFmtId="0" fontId="33" fillId="11" borderId="93" xfId="3" applyFont="1" applyFill="1" applyBorder="1" applyAlignment="1">
      <alignment horizontal="center" vertical="center" wrapText="1"/>
    </xf>
    <xf numFmtId="0" fontId="33" fillId="11" borderId="35" xfId="3" applyFont="1" applyFill="1" applyBorder="1" applyAlignment="1">
      <alignment horizontal="center" wrapText="1"/>
    </xf>
    <xf numFmtId="0" fontId="3" fillId="0" borderId="0" xfId="3" applyFont="1" applyBorder="1" applyAlignment="1">
      <alignment horizontal="center" vertical="center"/>
    </xf>
    <xf numFmtId="49" fontId="19" fillId="11" borderId="99" xfId="3" applyNumberFormat="1" applyFont="1" applyFill="1" applyBorder="1" applyAlignment="1">
      <alignment vertical="top" wrapText="1"/>
    </xf>
    <xf numFmtId="49" fontId="19" fillId="11" borderId="100" xfId="3" applyNumberFormat="1" applyFont="1" applyFill="1" applyBorder="1" applyAlignment="1">
      <alignment vertical="top" wrapText="1"/>
    </xf>
    <xf numFmtId="0" fontId="8" fillId="11" borderId="100" xfId="3" applyFill="1" applyBorder="1" applyAlignment="1">
      <alignment vertical="center" wrapText="1"/>
    </xf>
    <xf numFmtId="0" fontId="8" fillId="11" borderId="99" xfId="3" applyFill="1" applyBorder="1" applyAlignment="1">
      <alignment horizontal="center" vertical="center" wrapText="1"/>
    </xf>
    <xf numFmtId="0" fontId="8" fillId="11" borderId="99" xfId="3" applyFill="1" applyBorder="1" applyAlignment="1">
      <alignment vertical="center" wrapText="1"/>
    </xf>
    <xf numFmtId="0" fontId="8" fillId="11" borderId="96" xfId="3" applyFill="1" applyBorder="1" applyAlignment="1">
      <alignment horizontal="center" vertical="center" wrapText="1"/>
    </xf>
    <xf numFmtId="0" fontId="8" fillId="11" borderId="97" xfId="3" applyFill="1" applyBorder="1" applyAlignment="1">
      <alignment vertical="center" wrapText="1"/>
    </xf>
    <xf numFmtId="0" fontId="33" fillId="11" borderId="83" xfId="3" applyFont="1" applyFill="1" applyBorder="1" applyAlignment="1">
      <alignment horizontal="center" vertical="center"/>
    </xf>
    <xf numFmtId="0" fontId="33" fillId="11" borderId="84" xfId="3" applyFont="1" applyFill="1" applyBorder="1" applyAlignment="1">
      <alignment horizontal="center" vertical="center"/>
    </xf>
    <xf numFmtId="0" fontId="33" fillId="11" borderId="85" xfId="3" applyFont="1" applyFill="1" applyBorder="1" applyAlignment="1">
      <alignment horizontal="center" vertical="center"/>
    </xf>
    <xf numFmtId="0" fontId="33" fillId="11" borderId="86" xfId="3" applyFont="1" applyFill="1" applyBorder="1" applyAlignment="1">
      <alignment horizontal="left" vertical="center"/>
    </xf>
    <xf numFmtId="0" fontId="33" fillId="11" borderId="52" xfId="3" applyFont="1" applyFill="1" applyBorder="1" applyAlignment="1">
      <alignment horizontal="left" vertical="center"/>
    </xf>
    <xf numFmtId="0" fontId="33" fillId="11" borderId="87" xfId="3" applyFont="1" applyFill="1" applyBorder="1" applyAlignment="1">
      <alignment horizontal="left" vertical="center"/>
    </xf>
    <xf numFmtId="0" fontId="33" fillId="11" borderId="88" xfId="3" applyFont="1" applyFill="1" applyBorder="1" applyAlignment="1">
      <alignment horizontal="left" vertical="center" wrapText="1"/>
    </xf>
    <xf numFmtId="0" fontId="33" fillId="11" borderId="29" xfId="3" applyFont="1" applyFill="1" applyBorder="1" applyAlignment="1">
      <alignment horizontal="left" vertical="center" wrapText="1"/>
    </xf>
    <xf numFmtId="0" fontId="33" fillId="11" borderId="89" xfId="3" applyFont="1" applyFill="1" applyBorder="1" applyAlignment="1">
      <alignment horizontal="left" vertical="center" wrapText="1"/>
    </xf>
    <xf numFmtId="0" fontId="33" fillId="11" borderId="92" xfId="3" applyFont="1" applyFill="1" applyBorder="1" applyAlignment="1">
      <alignment horizontal="left" vertical="center" wrapText="1"/>
    </xf>
    <xf numFmtId="0" fontId="33" fillId="11" borderId="9" xfId="3" applyFont="1" applyFill="1" applyBorder="1" applyAlignment="1">
      <alignment horizontal="left" vertical="center" wrapText="1"/>
    </xf>
    <xf numFmtId="0" fontId="33" fillId="11" borderId="93" xfId="3" applyFont="1" applyFill="1" applyBorder="1" applyAlignment="1">
      <alignment horizontal="left" vertical="center" wrapText="1"/>
    </xf>
    <xf numFmtId="0" fontId="33" fillId="11" borderId="18" xfId="3" applyFont="1" applyFill="1" applyBorder="1" applyAlignment="1">
      <alignment horizontal="left" vertical="center"/>
    </xf>
    <xf numFmtId="0" fontId="33" fillId="11" borderId="19" xfId="3" applyFont="1" applyFill="1" applyBorder="1" applyAlignment="1">
      <alignment horizontal="left" vertical="center"/>
    </xf>
    <xf numFmtId="0" fontId="33" fillId="11" borderId="90" xfId="3" applyFont="1" applyFill="1" applyBorder="1" applyAlignment="1">
      <alignment horizontal="left" vertical="center"/>
    </xf>
    <xf numFmtId="0" fontId="33" fillId="11" borderId="91" xfId="3" applyFont="1" applyFill="1" applyBorder="1" applyAlignment="1">
      <alignment horizontal="left" vertical="center"/>
    </xf>
    <xf numFmtId="0" fontId="33" fillId="11" borderId="54" xfId="3" applyFont="1" applyFill="1" applyBorder="1" applyAlignment="1">
      <alignment horizontal="left" vertical="center"/>
    </xf>
    <xf numFmtId="0" fontId="33" fillId="11" borderId="48" xfId="3" applyFont="1" applyFill="1" applyBorder="1" applyAlignment="1">
      <alignment horizontal="left" vertical="center"/>
    </xf>
    <xf numFmtId="0" fontId="33" fillId="11" borderId="94" xfId="3" applyFont="1" applyFill="1" applyBorder="1" applyAlignment="1">
      <alignment horizontal="left" vertical="center"/>
    </xf>
  </cellXfs>
  <cellStyles count="10">
    <cellStyle name="Moeda" xfId="5" builtinId="4"/>
    <cellStyle name="Normal" xfId="0" builtinId="0"/>
    <cellStyle name="Normal 10" xfId="7"/>
    <cellStyle name="Normal 3" xfId="3"/>
    <cellStyle name="Normal 5" xfId="1"/>
    <cellStyle name="Porcentagem" xfId="6" builtinId="5"/>
    <cellStyle name="Porcentagem 2" xfId="2"/>
    <cellStyle name="Porcentagem 2 2" xfId="8"/>
    <cellStyle name="Vírgula 2" xfId="4"/>
    <cellStyle name="Vírgula 3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132521</xdr:colOff>
      <xdr:row>0</xdr:row>
      <xdr:rowOff>49696</xdr:rowOff>
    </xdr:from>
    <xdr:to>
      <xdr:col>1</xdr:col>
      <xdr:colOff>572707</xdr:colOff>
      <xdr:row>0</xdr:row>
      <xdr:rowOff>752818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637BAE5D-EFE2-4E11-87ED-0CA9221A7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21" y="49696"/>
          <a:ext cx="783086" cy="7031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215349</xdr:colOff>
      <xdr:row>85</xdr:row>
      <xdr:rowOff>726831</xdr:rowOff>
    </xdr:from>
    <xdr:to>
      <xdr:col>2</xdr:col>
      <xdr:colOff>3250454</xdr:colOff>
      <xdr:row>86</xdr:row>
      <xdr:rowOff>515816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8EA15293-C980-4D73-AD9C-5BF82C9D3782}"/>
            </a:ext>
          </a:extLst>
        </xdr:cNvPr>
        <xdr:cNvSpPr txBox="1">
          <a:spLocks noChangeArrowheads="1"/>
        </xdr:cNvSpPr>
      </xdr:nvSpPr>
      <xdr:spPr bwMode="auto">
        <a:xfrm>
          <a:off x="625657" y="4220308"/>
          <a:ext cx="4131212" cy="6213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/>
          <a:r>
            <a:rPr lang="pt-BR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Geovane Cardoso</a:t>
          </a:r>
          <a:r>
            <a:rPr lang="pt-BR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Oliveira</a:t>
          </a:r>
        </a:p>
        <a:p>
          <a:pPr algn="ctr"/>
          <a:r>
            <a:rPr lang="pt-BR" sz="900" b="0" i="0" strike="noStrike" baseline="0">
              <a:solidFill>
                <a:srgbClr val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</a:t>
          </a:r>
        </a:p>
        <a:p>
          <a:pPr algn="ctr"/>
          <a:r>
            <a:rPr lang="pt-BR" sz="900" b="0" i="0" strike="noStrike" baseline="0">
              <a:solidFill>
                <a:srgbClr val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CREA MG 212.406/D</a:t>
          </a:r>
          <a:endParaRPr lang="pt-BR" sz="9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1817</xdr:colOff>
      <xdr:row>85</xdr:row>
      <xdr:rowOff>369277</xdr:rowOff>
    </xdr:from>
    <xdr:to>
      <xdr:col>7</xdr:col>
      <xdr:colOff>0</xdr:colOff>
      <xdr:row>86</xdr:row>
      <xdr:rowOff>427892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0BF3AAD7-25AB-45B8-A02B-F86071FE778D}"/>
            </a:ext>
          </a:extLst>
        </xdr:cNvPr>
        <xdr:cNvSpPr txBox="1">
          <a:spLocks noChangeArrowheads="1"/>
        </xdr:cNvSpPr>
      </xdr:nvSpPr>
      <xdr:spPr bwMode="auto">
        <a:xfrm>
          <a:off x="4913786" y="3862754"/>
          <a:ext cx="2694491" cy="463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/>
          <a:r>
            <a:rPr lang="pt-BR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Jonia Leite Filho</a:t>
          </a:r>
        </a:p>
        <a:p>
          <a:pPr algn="ctr"/>
          <a:r>
            <a:rPr lang="pt-BR" sz="900" b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Prefeito Municipal</a:t>
          </a:r>
          <a:endParaRPr lang="pt-BR" sz="9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55157</xdr:colOff>
      <xdr:row>218</xdr:row>
      <xdr:rowOff>52763</xdr:rowOff>
    </xdr:from>
    <xdr:to>
      <xdr:col>11</xdr:col>
      <xdr:colOff>19402</xdr:colOff>
      <xdr:row>221</xdr:row>
      <xdr:rowOff>127304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8EA15293-C980-4D73-AD9C-5BF82C9D3782}"/>
            </a:ext>
          </a:extLst>
        </xdr:cNvPr>
        <xdr:cNvSpPr txBox="1">
          <a:spLocks noChangeArrowheads="1"/>
        </xdr:cNvSpPr>
      </xdr:nvSpPr>
      <xdr:spPr bwMode="auto">
        <a:xfrm>
          <a:off x="6181637" y="25701683"/>
          <a:ext cx="4688645" cy="577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/>
          <a:r>
            <a:rPr lang="pt-BR" sz="11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Geovane Cardoso</a:t>
          </a:r>
          <a:r>
            <a:rPr lang="pt-BR" sz="11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Oliveira</a:t>
          </a:r>
        </a:p>
        <a:p>
          <a:pPr algn="ctr"/>
          <a:r>
            <a:rPr lang="pt-BR" sz="1100" b="0" i="0" strike="noStrike" baseline="0">
              <a:solidFill>
                <a:srgbClr val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</a:t>
          </a:r>
        </a:p>
        <a:p>
          <a:pPr algn="ctr"/>
          <a:r>
            <a:rPr lang="pt-BR" sz="1100" b="0" i="0" strike="noStrike" baseline="0">
              <a:solidFill>
                <a:srgbClr val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CREA MG 212.406/D</a:t>
          </a:r>
          <a:endParaRPr lang="pt-BR" sz="11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</xdr:colOff>
      <xdr:row>0</xdr:row>
      <xdr:rowOff>53340</xdr:rowOff>
    </xdr:from>
    <xdr:to>
      <xdr:col>1</xdr:col>
      <xdr:colOff>5846</xdr:colOff>
      <xdr:row>0</xdr:row>
      <xdr:rowOff>756462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637BAE5D-EFE2-4E11-87ED-0CA9221A7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53340"/>
          <a:ext cx="851666" cy="7031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228601</xdr:colOff>
      <xdr:row>58</xdr:row>
      <xdr:rowOff>60960</xdr:rowOff>
    </xdr:from>
    <xdr:to>
      <xdr:col>2</xdr:col>
      <xdr:colOff>2522221</xdr:colOff>
      <xdr:row>61</xdr:row>
      <xdr:rowOff>114300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8EA15293-C980-4D73-AD9C-5BF82C9D3782}"/>
            </a:ext>
          </a:extLst>
        </xdr:cNvPr>
        <xdr:cNvSpPr txBox="1">
          <a:spLocks noChangeArrowheads="1"/>
        </xdr:cNvSpPr>
      </xdr:nvSpPr>
      <xdr:spPr bwMode="auto">
        <a:xfrm>
          <a:off x="1135381" y="14859000"/>
          <a:ext cx="2956560" cy="556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/>
          <a:r>
            <a:rPr lang="pt-BR" sz="11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Geovane Cardoso</a:t>
          </a:r>
          <a:r>
            <a:rPr lang="pt-BR" sz="11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Oliveira</a:t>
          </a:r>
        </a:p>
        <a:p>
          <a:pPr algn="ctr"/>
          <a:r>
            <a:rPr lang="pt-BR" sz="1100" b="0" i="0" strike="noStrike" baseline="0">
              <a:solidFill>
                <a:srgbClr val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</a:t>
          </a:r>
        </a:p>
        <a:p>
          <a:pPr algn="ctr"/>
          <a:r>
            <a:rPr lang="pt-BR" sz="1100" b="0" i="0" strike="noStrike" baseline="0">
              <a:solidFill>
                <a:srgbClr val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CREA MG 212.406/D</a:t>
          </a:r>
          <a:endParaRPr lang="pt-BR" sz="11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0</xdr:colOff>
      <xdr:row>57</xdr:row>
      <xdr:rowOff>121920</xdr:rowOff>
    </xdr:from>
    <xdr:to>
      <xdr:col>7</xdr:col>
      <xdr:colOff>257263</xdr:colOff>
      <xdr:row>61</xdr:row>
      <xdr:rowOff>144780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0BF3AAD7-25AB-45B8-A02B-F86071FE778D}"/>
            </a:ext>
          </a:extLst>
        </xdr:cNvPr>
        <xdr:cNvSpPr txBox="1">
          <a:spLocks noChangeArrowheads="1"/>
        </xdr:cNvSpPr>
      </xdr:nvSpPr>
      <xdr:spPr bwMode="auto">
        <a:xfrm>
          <a:off x="4998720" y="14752320"/>
          <a:ext cx="2695663" cy="693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/>
          <a:r>
            <a:rPr lang="pt-BR" sz="11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Jonia Leite Filho</a:t>
          </a:r>
        </a:p>
        <a:p>
          <a:pPr algn="ctr"/>
          <a:r>
            <a:rPr lang="pt-BR" sz="1100" b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Prefeito Municipal</a:t>
          </a:r>
          <a:endParaRPr lang="pt-BR" sz="11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106680</xdr:rowOff>
    </xdr:from>
    <xdr:to>
      <xdr:col>0</xdr:col>
      <xdr:colOff>822635</xdr:colOff>
      <xdr:row>1</xdr:row>
      <xdr:rowOff>220980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637BAE5D-EFE2-4E11-87ED-0CA9221A7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06680"/>
          <a:ext cx="78453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167639</xdr:colOff>
      <xdr:row>46</xdr:row>
      <xdr:rowOff>0</xdr:rowOff>
    </xdr:from>
    <xdr:to>
      <xdr:col>2</xdr:col>
      <xdr:colOff>449580</xdr:colOff>
      <xdr:row>49</xdr:row>
      <xdr:rowOff>74541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8EA15293-C980-4D73-AD9C-5BF82C9D3782}"/>
            </a:ext>
          </a:extLst>
        </xdr:cNvPr>
        <xdr:cNvSpPr txBox="1">
          <a:spLocks noChangeArrowheads="1"/>
        </xdr:cNvSpPr>
      </xdr:nvSpPr>
      <xdr:spPr bwMode="auto">
        <a:xfrm>
          <a:off x="167639" y="7117080"/>
          <a:ext cx="2529841" cy="577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/>
          <a:r>
            <a:rPr lang="pt-BR" sz="11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Geovane Cardoso</a:t>
          </a:r>
          <a:r>
            <a:rPr lang="pt-BR" sz="11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Oliveira</a:t>
          </a:r>
        </a:p>
        <a:p>
          <a:pPr algn="ctr"/>
          <a:r>
            <a:rPr lang="pt-BR" sz="1100" b="0" i="0" strike="noStrike" baseline="0">
              <a:solidFill>
                <a:srgbClr val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</a:t>
          </a:r>
        </a:p>
        <a:p>
          <a:pPr algn="ctr"/>
          <a:r>
            <a:rPr lang="pt-BR" sz="1100" b="0" i="0" strike="noStrike" baseline="0">
              <a:solidFill>
                <a:srgbClr val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CREA MG 212.406/D</a:t>
          </a:r>
          <a:endParaRPr lang="pt-BR" sz="11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0</xdr:colOff>
      <xdr:row>45</xdr:row>
      <xdr:rowOff>68580</xdr:rowOff>
    </xdr:from>
    <xdr:to>
      <xdr:col>9</xdr:col>
      <xdr:colOff>137720</xdr:colOff>
      <xdr:row>49</xdr:row>
      <xdr:rowOff>114300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BF3AAD7-25AB-45B8-A02B-F86071FE778D}"/>
            </a:ext>
          </a:extLst>
        </xdr:cNvPr>
        <xdr:cNvSpPr txBox="1">
          <a:spLocks noChangeArrowheads="1"/>
        </xdr:cNvSpPr>
      </xdr:nvSpPr>
      <xdr:spPr bwMode="auto">
        <a:xfrm>
          <a:off x="2735580" y="7018020"/>
          <a:ext cx="3079040" cy="716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/>
          <a:r>
            <a:rPr lang="pt-BR" sz="11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Jonia Leite Filho</a:t>
          </a:r>
        </a:p>
        <a:p>
          <a:pPr algn="ctr"/>
          <a:r>
            <a:rPr lang="pt-BR" sz="1100" b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Prefeito Municipal</a:t>
          </a:r>
          <a:endParaRPr lang="pt-BR" sz="11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132521</xdr:colOff>
      <xdr:row>0</xdr:row>
      <xdr:rowOff>49696</xdr:rowOff>
    </xdr:from>
    <xdr:to>
      <xdr:col>2</xdr:col>
      <xdr:colOff>468493</xdr:colOff>
      <xdr:row>0</xdr:row>
      <xdr:rowOff>752818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EB3D0972-A499-4FCE-BB71-E3A6314FAD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521" y="49696"/>
          <a:ext cx="776795" cy="7031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33619</xdr:colOff>
      <xdr:row>108</xdr:row>
      <xdr:rowOff>100853</xdr:rowOff>
    </xdr:from>
    <xdr:to>
      <xdr:col>2</xdr:col>
      <xdr:colOff>2140324</xdr:colOff>
      <xdr:row>112</xdr:row>
      <xdr:rowOff>74541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9AADA358-47E3-4659-BAB6-9D01A246E197}"/>
            </a:ext>
          </a:extLst>
        </xdr:cNvPr>
        <xdr:cNvSpPr txBox="1">
          <a:spLocks noChangeArrowheads="1"/>
        </xdr:cNvSpPr>
      </xdr:nvSpPr>
      <xdr:spPr bwMode="auto">
        <a:xfrm>
          <a:off x="33619" y="26367441"/>
          <a:ext cx="2554940" cy="6012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/>
          <a:r>
            <a:rPr lang="pt-BR" sz="11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Geovane Cardoso</a:t>
          </a:r>
          <a:r>
            <a:rPr lang="pt-BR" sz="11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Oliveira</a:t>
          </a:r>
        </a:p>
        <a:p>
          <a:pPr algn="ctr"/>
          <a:r>
            <a:rPr lang="pt-BR" sz="1100" b="0" i="0" strike="noStrike" baseline="0">
              <a:solidFill>
                <a:srgbClr val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Civil- Fiscalização</a:t>
          </a:r>
        </a:p>
        <a:p>
          <a:pPr algn="ctr"/>
          <a:r>
            <a:rPr lang="pt-BR" sz="1000" b="0" i="0" strike="noStrike" baseline="0">
              <a:solidFill>
                <a:srgbClr val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CREA MG 212.406/D</a:t>
          </a:r>
          <a:endParaRPr lang="pt-BR" sz="10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2498912</xdr:colOff>
      <xdr:row>107</xdr:row>
      <xdr:rowOff>78441</xdr:rowOff>
    </xdr:from>
    <xdr:to>
      <xdr:col>2</xdr:col>
      <xdr:colOff>4101353</xdr:colOff>
      <xdr:row>112</xdr:row>
      <xdr:rowOff>96124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97A0500C-1D1F-4FC7-839E-C2B4300AC79D}"/>
            </a:ext>
          </a:extLst>
        </xdr:cNvPr>
        <xdr:cNvSpPr txBox="1">
          <a:spLocks noChangeArrowheads="1"/>
        </xdr:cNvSpPr>
      </xdr:nvSpPr>
      <xdr:spPr bwMode="auto">
        <a:xfrm>
          <a:off x="2947147" y="26188147"/>
          <a:ext cx="1602441" cy="80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ctr" upright="1"/>
        <a:lstStyle/>
        <a:p>
          <a:pPr algn="ctr"/>
          <a:r>
            <a:rPr lang="pt-BR" sz="11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Jonia Leite Filho</a:t>
          </a:r>
        </a:p>
        <a:p>
          <a:pPr algn="ctr"/>
          <a:r>
            <a:rPr lang="pt-BR" sz="1100" b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Prefeito Municipal</a:t>
          </a:r>
          <a:endParaRPr lang="pt-BR" sz="11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14</xdr:col>
      <xdr:colOff>0</xdr:colOff>
      <xdr:row>106</xdr:row>
      <xdr:rowOff>11205</xdr:rowOff>
    </xdr:from>
    <xdr:to>
      <xdr:col>16</xdr:col>
      <xdr:colOff>930088</xdr:colOff>
      <xdr:row>112</xdr:row>
      <xdr:rowOff>134471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9925D6D1-CCD5-400A-90E2-16D453F2F3EA}"/>
            </a:ext>
          </a:extLst>
        </xdr:cNvPr>
        <xdr:cNvSpPr txBox="1">
          <a:spLocks noChangeArrowheads="1"/>
        </xdr:cNvSpPr>
      </xdr:nvSpPr>
      <xdr:spPr bwMode="auto">
        <a:xfrm>
          <a:off x="10690412" y="25964029"/>
          <a:ext cx="2835088" cy="106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/>
          <a:r>
            <a:rPr lang="pt-BR" sz="11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Valor por extenso</a:t>
          </a:r>
          <a:r>
            <a:rPr lang="pt-BR" sz="11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 </a:t>
          </a:r>
          <a:endParaRPr lang="pt-BR" sz="11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0</xdr:row>
      <xdr:rowOff>76200</xdr:rowOff>
    </xdr:from>
    <xdr:to>
      <xdr:col>2</xdr:col>
      <xdr:colOff>455426</xdr:colOff>
      <xdr:row>2</xdr:row>
      <xdr:rowOff>154482</xdr:rowOff>
    </xdr:to>
    <xdr:pic>
      <xdr:nvPicPr>
        <xdr:cNvPr id="4" name="image1.jpeg">
          <a:extLst>
            <a:ext uri="{FF2B5EF4-FFF2-40B4-BE49-F238E27FC236}">
              <a16:creationId xmlns:a16="http://schemas.microsoft.com/office/drawing/2014/main" id="{637BAE5D-EFE2-4E11-87ED-0CA9221A7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76200"/>
          <a:ext cx="851666" cy="7031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ovane%20Cardoso/Desktop/Particular/PREF.%20ORIZ&#194;NIA/Secretaria%20de%20Obras/Trevo%20Perto%20da%20Prefeitura/23-05-2022%20-%20Aprovado/Aprovado/Planilha%2023-05-20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PN/Desktop/Danieli%20Oda/2017-2020/CONV&#202;NIO%20342/LICITACAO%20ALTERACAO%20OBJETO/PLANILHAS%20VALOR%20PAG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 de Calculoo"/>
      <sheetName val="Planilha à executar"/>
      <sheetName val="CRONOGRAMA A EXECUTAR"/>
    </sheetNames>
    <sheetDataSet>
      <sheetData sheetId="0"/>
      <sheetData sheetId="1">
        <row r="6">
          <cell r="A6" t="str">
            <v>PREFEITURA: Prefeitura Municipal de Orizânia/MG</v>
          </cell>
          <cell r="B6"/>
          <cell r="C6"/>
          <cell r="D6"/>
          <cell r="E6"/>
        </row>
        <row r="35">
          <cell r="E35" t="str">
            <v>CREA MG 212.406/D</v>
          </cell>
          <cell r="F35"/>
        </row>
        <row r="36">
          <cell r="C36" t="str">
            <v>Geovane Cardoso Oliveira- Engenheiro Civil</v>
          </cell>
        </row>
        <row r="40">
          <cell r="C40" t="str">
            <v>Jonia Leite Filho- Prefeito Municipal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MEMORIA DE CALCULO serv executa"/>
      <sheetName val="RESUMO CONVENIO"/>
      <sheetName val="Planilha executado"/>
      <sheetName val="Plan2"/>
      <sheetName val="MEMORIA DE CALCULO"/>
      <sheetName val="Planilha à executar"/>
      <sheetName val="CRONOGRAMA TOTAL"/>
      <sheetName val="CRONOGRAMA A EXECUTAR"/>
      <sheetName val="CRONOGRAMA TOTAL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3">
          <cell r="A13">
            <v>1</v>
          </cell>
        </row>
      </sheetData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5"/>
  <sheetViews>
    <sheetView tabSelected="1" topLeftCell="A7" zoomScale="130" zoomScaleNormal="130" workbookViewId="0">
      <selection activeCell="I87" sqref="I87"/>
    </sheetView>
  </sheetViews>
  <sheetFormatPr defaultRowHeight="13.2" x14ac:dyDescent="0.25"/>
  <cols>
    <col min="1" max="1" width="6" customWidth="1"/>
    <col min="2" max="2" width="16" customWidth="1"/>
    <col min="3" max="3" width="56" customWidth="1"/>
    <col min="4" max="4" width="9.33203125" customWidth="1"/>
    <col min="5" max="5" width="10.33203125" customWidth="1"/>
    <col min="6" max="6" width="10.44140625" customWidth="1"/>
    <col min="7" max="7" width="9.21875" customWidth="1"/>
    <col min="8" max="8" width="9.6640625" hidden="1" customWidth="1"/>
    <col min="9" max="9" width="11.109375" customWidth="1"/>
    <col min="10" max="10" width="0.109375" hidden="1" customWidth="1"/>
    <col min="11" max="11" width="15" bestFit="1" customWidth="1"/>
  </cols>
  <sheetData>
    <row r="1" spans="1:18" ht="63" customHeight="1" x14ac:dyDescent="0.25">
      <c r="A1" s="347" t="s">
        <v>336</v>
      </c>
      <c r="B1" s="348"/>
      <c r="C1" s="348"/>
      <c r="D1" s="348"/>
      <c r="E1" s="348"/>
      <c r="F1" s="348"/>
      <c r="G1" s="348"/>
      <c r="H1" s="348"/>
      <c r="I1" s="349"/>
      <c r="J1" s="125"/>
    </row>
    <row r="2" spans="1:18" ht="12.75" customHeight="1" x14ac:dyDescent="0.25">
      <c r="A2" s="350" t="s">
        <v>421</v>
      </c>
      <c r="B2" s="351"/>
      <c r="C2" s="351"/>
      <c r="D2" s="351"/>
      <c r="E2" s="351"/>
      <c r="F2" s="351"/>
      <c r="G2" s="351"/>
      <c r="H2" s="351"/>
      <c r="I2" s="352"/>
      <c r="J2" s="129"/>
      <c r="K2" s="122"/>
      <c r="L2" s="122"/>
      <c r="M2" s="122"/>
      <c r="N2" s="122"/>
      <c r="O2" s="122"/>
      <c r="P2" s="122"/>
      <c r="Q2" s="122"/>
      <c r="R2" s="122"/>
    </row>
    <row r="3" spans="1:18" ht="10.65" customHeight="1" x14ac:dyDescent="0.25">
      <c r="A3" s="353" t="s">
        <v>4</v>
      </c>
      <c r="B3" s="354"/>
      <c r="C3" s="354"/>
      <c r="D3" s="354"/>
      <c r="E3" s="354"/>
      <c r="F3" s="355"/>
      <c r="G3" s="355"/>
      <c r="H3" s="355"/>
      <c r="I3" s="356"/>
      <c r="J3" s="10"/>
    </row>
    <row r="4" spans="1:18" ht="9.75" customHeight="1" x14ac:dyDescent="0.25">
      <c r="A4" s="357" t="s">
        <v>425</v>
      </c>
      <c r="B4" s="358"/>
      <c r="C4" s="358"/>
      <c r="D4" s="358"/>
      <c r="E4" s="358"/>
      <c r="F4" s="359" t="s">
        <v>424</v>
      </c>
      <c r="G4" s="360"/>
      <c r="H4" s="360"/>
      <c r="I4" s="361"/>
      <c r="J4" s="126"/>
    </row>
    <row r="5" spans="1:18" ht="10.5" customHeight="1" x14ac:dyDescent="0.25">
      <c r="A5" s="367" t="s">
        <v>422</v>
      </c>
      <c r="B5" s="368"/>
      <c r="C5" s="368"/>
      <c r="D5" s="369"/>
      <c r="E5" s="19" t="s">
        <v>5</v>
      </c>
      <c r="F5" s="44">
        <v>0.03</v>
      </c>
      <c r="G5" s="359" t="s">
        <v>6</v>
      </c>
      <c r="H5" s="360"/>
      <c r="I5" s="361"/>
      <c r="J5" s="127"/>
      <c r="K5" s="123"/>
      <c r="L5" s="123"/>
    </row>
    <row r="6" spans="1:18" ht="11.25" customHeight="1" x14ac:dyDescent="0.25">
      <c r="A6" s="367" t="s">
        <v>420</v>
      </c>
      <c r="B6" s="368"/>
      <c r="C6" s="368"/>
      <c r="D6" s="369"/>
      <c r="E6" s="375" t="s">
        <v>7</v>
      </c>
      <c r="F6" s="363" t="s">
        <v>8</v>
      </c>
      <c r="G6" s="124" t="s">
        <v>9</v>
      </c>
      <c r="H6" s="359" t="s">
        <v>10</v>
      </c>
      <c r="I6" s="361"/>
      <c r="J6" s="126"/>
    </row>
    <row r="7" spans="1:18" ht="11.4" customHeight="1" x14ac:dyDescent="0.25">
      <c r="A7" s="362" t="s">
        <v>423</v>
      </c>
      <c r="B7" s="363"/>
      <c r="C7" s="363"/>
      <c r="D7" s="364"/>
      <c r="E7" s="376"/>
      <c r="F7" s="377"/>
      <c r="G7" s="45" t="s">
        <v>11</v>
      </c>
      <c r="H7" s="365">
        <v>0.28639999999999999</v>
      </c>
      <c r="I7" s="366"/>
      <c r="J7" s="126"/>
    </row>
    <row r="8" spans="1:18" ht="34.5" customHeight="1" x14ac:dyDescent="0.25">
      <c r="A8" s="163" t="s">
        <v>1</v>
      </c>
      <c r="B8" s="164" t="s">
        <v>268</v>
      </c>
      <c r="C8" s="164" t="s">
        <v>13</v>
      </c>
      <c r="D8" s="164" t="s">
        <v>14</v>
      </c>
      <c r="E8" s="165" t="s">
        <v>15</v>
      </c>
      <c r="F8" s="166" t="s">
        <v>16</v>
      </c>
      <c r="G8" s="160" t="s">
        <v>210</v>
      </c>
      <c r="H8" s="167" t="s">
        <v>211</v>
      </c>
      <c r="I8" s="202" t="s">
        <v>17</v>
      </c>
      <c r="J8" s="194" t="s">
        <v>40</v>
      </c>
    </row>
    <row r="9" spans="1:18" ht="0.6" customHeight="1" x14ac:dyDescent="0.25">
      <c r="A9" s="56" t="s">
        <v>2</v>
      </c>
      <c r="B9" s="57"/>
      <c r="C9" s="374" t="s">
        <v>0</v>
      </c>
      <c r="D9" s="374"/>
      <c r="E9" s="374"/>
      <c r="F9" s="374"/>
      <c r="G9" s="374"/>
      <c r="H9" s="168"/>
      <c r="I9" s="51">
        <f>I10</f>
        <v>1700.79</v>
      </c>
      <c r="J9" s="195">
        <f>J10</f>
        <v>1190.55</v>
      </c>
    </row>
    <row r="10" spans="1:18" ht="61.2" hidden="1" x14ac:dyDescent="0.25">
      <c r="A10" s="52" t="s">
        <v>18</v>
      </c>
      <c r="B10" s="20" t="s">
        <v>317</v>
      </c>
      <c r="C10" s="3" t="s">
        <v>316</v>
      </c>
      <c r="D10" s="46" t="s">
        <v>41</v>
      </c>
      <c r="E10" s="17">
        <v>1</v>
      </c>
      <c r="F10" s="17">
        <v>1313.86</v>
      </c>
      <c r="G10" s="17">
        <f>F10*1.2945</f>
        <v>1700.79</v>
      </c>
      <c r="H10" s="17">
        <f>G10*0.7</f>
        <v>1190.55</v>
      </c>
      <c r="I10" s="18">
        <f>G10*E10</f>
        <v>1700.79</v>
      </c>
      <c r="J10" s="196">
        <f>I10*0.7</f>
        <v>1190.55</v>
      </c>
    </row>
    <row r="11" spans="1:18" ht="12.6" customHeight="1" x14ac:dyDescent="0.25">
      <c r="A11" s="159">
        <v>1</v>
      </c>
      <c r="B11" s="160"/>
      <c r="C11" s="161"/>
      <c r="D11" s="164"/>
      <c r="E11" s="162"/>
      <c r="F11" s="162"/>
      <c r="G11" s="162"/>
      <c r="H11" s="162"/>
      <c r="I11" s="221">
        <f>I79+I80+I81+I82</f>
        <v>1570642.5</v>
      </c>
      <c r="J11" s="175">
        <f>J12+J13+J14+J15+J16+J17+J20+J21+J22+J18+J19</f>
        <v>1242.08</v>
      </c>
    </row>
    <row r="12" spans="1:18" hidden="1" x14ac:dyDescent="0.25">
      <c r="A12" s="158"/>
      <c r="B12" s="4"/>
      <c r="C12" s="5" t="s">
        <v>318</v>
      </c>
      <c r="D12" s="192"/>
      <c r="E12" s="15"/>
      <c r="F12" s="15"/>
      <c r="G12" s="15"/>
      <c r="H12" s="15"/>
      <c r="I12" s="203"/>
      <c r="J12" s="174">
        <f>H12*E12</f>
        <v>0</v>
      </c>
    </row>
    <row r="13" spans="1:18" ht="10.199999999999999" hidden="1" customHeight="1" x14ac:dyDescent="0.25">
      <c r="A13" s="6" t="s">
        <v>257</v>
      </c>
      <c r="B13" s="2" t="s">
        <v>278</v>
      </c>
      <c r="C13" s="173" t="s">
        <v>319</v>
      </c>
      <c r="D13" s="46" t="s">
        <v>279</v>
      </c>
      <c r="E13" s="17">
        <v>56</v>
      </c>
      <c r="F13" s="17">
        <v>18.25</v>
      </c>
      <c r="G13" s="17">
        <f>F13*1.286</f>
        <v>23.47</v>
      </c>
      <c r="H13" s="17">
        <f t="shared" ref="H13:H26" si="0">G13*0.945</f>
        <v>22.18</v>
      </c>
      <c r="I13" s="18">
        <f t="shared" ref="I13:I22" si="1">G13*E13</f>
        <v>1314.32</v>
      </c>
      <c r="J13" s="174">
        <f t="shared" ref="J13:J14" si="2">H13*E13</f>
        <v>1242.08</v>
      </c>
    </row>
    <row r="14" spans="1:18" ht="21" hidden="1" customHeight="1" x14ac:dyDescent="0.25">
      <c r="A14" s="6" t="s">
        <v>258</v>
      </c>
      <c r="B14" s="2" t="s">
        <v>277</v>
      </c>
      <c r="C14" s="173" t="s">
        <v>320</v>
      </c>
      <c r="D14" s="46" t="s">
        <v>49</v>
      </c>
      <c r="E14" s="17"/>
      <c r="F14" s="17">
        <v>19.170000000000002</v>
      </c>
      <c r="G14" s="17">
        <f>F14*1.286</f>
        <v>24.65</v>
      </c>
      <c r="H14" s="17">
        <f t="shared" si="0"/>
        <v>23.29</v>
      </c>
      <c r="I14" s="18">
        <f t="shared" si="1"/>
        <v>0</v>
      </c>
      <c r="J14" s="174">
        <f t="shared" si="2"/>
        <v>0</v>
      </c>
    </row>
    <row r="15" spans="1:18" ht="6.75" hidden="1" customHeight="1" x14ac:dyDescent="0.25">
      <c r="A15" s="6" t="s">
        <v>259</v>
      </c>
      <c r="B15" s="2" t="s">
        <v>46</v>
      </c>
      <c r="C15" s="173" t="s">
        <v>321</v>
      </c>
      <c r="D15" s="46" t="s">
        <v>42</v>
      </c>
      <c r="E15" s="17"/>
      <c r="F15" s="17">
        <v>9.6300000000000008</v>
      </c>
      <c r="G15" s="17">
        <f t="shared" ref="G15:G76" si="3">F15*1.2868</f>
        <v>12.39</v>
      </c>
      <c r="H15" s="17">
        <f t="shared" si="0"/>
        <v>11.71</v>
      </c>
      <c r="I15" s="18">
        <f t="shared" si="1"/>
        <v>0</v>
      </c>
      <c r="J15" s="174">
        <f t="shared" ref="J15:J83" si="4">I15*0.7</f>
        <v>0</v>
      </c>
    </row>
    <row r="16" spans="1:18" ht="20.399999999999999" hidden="1" x14ac:dyDescent="0.25">
      <c r="A16" s="6" t="s">
        <v>260</v>
      </c>
      <c r="B16" s="2" t="s">
        <v>70</v>
      </c>
      <c r="C16" s="173" t="s">
        <v>322</v>
      </c>
      <c r="D16" s="46" t="s">
        <v>42</v>
      </c>
      <c r="E16" s="17"/>
      <c r="F16" s="17">
        <v>14.45</v>
      </c>
      <c r="G16" s="17">
        <f t="shared" si="3"/>
        <v>18.59</v>
      </c>
      <c r="H16" s="17">
        <f t="shared" si="0"/>
        <v>17.57</v>
      </c>
      <c r="I16" s="18">
        <f t="shared" si="1"/>
        <v>0</v>
      </c>
      <c r="J16" s="174">
        <f t="shared" si="4"/>
        <v>0</v>
      </c>
    </row>
    <row r="17" spans="1:11" ht="20.399999999999999" hidden="1" x14ac:dyDescent="0.25">
      <c r="A17" s="6" t="s">
        <v>261</v>
      </c>
      <c r="B17" s="2" t="s">
        <v>141</v>
      </c>
      <c r="C17" s="3" t="s">
        <v>142</v>
      </c>
      <c r="D17" s="46" t="s">
        <v>42</v>
      </c>
      <c r="E17" s="17"/>
      <c r="F17" s="17">
        <v>16.059999999999999</v>
      </c>
      <c r="G17" s="17">
        <f t="shared" si="3"/>
        <v>20.67</v>
      </c>
      <c r="H17" s="17">
        <f t="shared" si="0"/>
        <v>19.53</v>
      </c>
      <c r="I17" s="18">
        <f t="shared" si="1"/>
        <v>0</v>
      </c>
      <c r="J17" s="174">
        <f t="shared" si="4"/>
        <v>0</v>
      </c>
    </row>
    <row r="18" spans="1:11" ht="12" hidden="1" customHeight="1" x14ac:dyDescent="0.25">
      <c r="A18" s="6" t="s">
        <v>262</v>
      </c>
      <c r="B18" s="2" t="s">
        <v>181</v>
      </c>
      <c r="C18" s="3" t="s">
        <v>182</v>
      </c>
      <c r="D18" s="46" t="s">
        <v>42</v>
      </c>
      <c r="E18" s="17"/>
      <c r="F18" s="17">
        <v>19.68</v>
      </c>
      <c r="G18" s="17">
        <f t="shared" si="3"/>
        <v>25.32</v>
      </c>
      <c r="H18" s="17">
        <f t="shared" si="0"/>
        <v>23.93</v>
      </c>
      <c r="I18" s="18">
        <f t="shared" si="1"/>
        <v>0</v>
      </c>
      <c r="J18" s="174">
        <f t="shared" si="4"/>
        <v>0</v>
      </c>
    </row>
    <row r="19" spans="1:11" hidden="1" x14ac:dyDescent="0.25">
      <c r="A19" s="6" t="s">
        <v>263</v>
      </c>
      <c r="B19" s="2" t="s">
        <v>183</v>
      </c>
      <c r="C19" s="3" t="s">
        <v>184</v>
      </c>
      <c r="D19" s="46" t="s">
        <v>185</v>
      </c>
      <c r="E19" s="17"/>
      <c r="F19" s="17">
        <v>6.42</v>
      </c>
      <c r="G19" s="17">
        <f t="shared" si="3"/>
        <v>8.26</v>
      </c>
      <c r="H19" s="17">
        <f t="shared" si="0"/>
        <v>7.81</v>
      </c>
      <c r="I19" s="18">
        <f t="shared" si="1"/>
        <v>0</v>
      </c>
      <c r="J19" s="174">
        <f t="shared" si="4"/>
        <v>0</v>
      </c>
    </row>
    <row r="20" spans="1:11" ht="20.399999999999999" hidden="1" x14ac:dyDescent="0.25">
      <c r="A20" s="6" t="s">
        <v>263</v>
      </c>
      <c r="B20" s="2" t="s">
        <v>166</v>
      </c>
      <c r="C20" s="3" t="s">
        <v>167</v>
      </c>
      <c r="D20" s="46" t="s">
        <v>42</v>
      </c>
      <c r="E20" s="17"/>
      <c r="F20" s="17">
        <v>11.24</v>
      </c>
      <c r="G20" s="17">
        <f t="shared" si="3"/>
        <v>14.46</v>
      </c>
      <c r="H20" s="17">
        <f t="shared" si="0"/>
        <v>13.66</v>
      </c>
      <c r="I20" s="18">
        <f t="shared" si="1"/>
        <v>0</v>
      </c>
      <c r="J20" s="174">
        <f t="shared" si="4"/>
        <v>0</v>
      </c>
    </row>
    <row r="21" spans="1:11" ht="20.399999999999999" hidden="1" x14ac:dyDescent="0.25">
      <c r="A21" s="6" t="s">
        <v>264</v>
      </c>
      <c r="B21" s="2" t="s">
        <v>73</v>
      </c>
      <c r="C21" s="3" t="s">
        <v>72</v>
      </c>
      <c r="D21" s="46" t="s">
        <v>49</v>
      </c>
      <c r="E21" s="17"/>
      <c r="F21" s="17">
        <v>96.37</v>
      </c>
      <c r="G21" s="17">
        <f t="shared" si="3"/>
        <v>124.01</v>
      </c>
      <c r="H21" s="17">
        <f t="shared" si="0"/>
        <v>117.19</v>
      </c>
      <c r="I21" s="18">
        <f t="shared" si="1"/>
        <v>0</v>
      </c>
      <c r="J21" s="174">
        <f t="shared" si="4"/>
        <v>0</v>
      </c>
    </row>
    <row r="22" spans="1:11" ht="20.399999999999999" hidden="1" x14ac:dyDescent="0.25">
      <c r="A22" s="6" t="s">
        <v>265</v>
      </c>
      <c r="B22" s="2" t="s">
        <v>43</v>
      </c>
      <c r="C22" s="3" t="s">
        <v>44</v>
      </c>
      <c r="D22" s="46" t="s">
        <v>42</v>
      </c>
      <c r="E22" s="17"/>
      <c r="F22" s="17">
        <v>37.1</v>
      </c>
      <c r="G22" s="17">
        <f t="shared" si="3"/>
        <v>47.74</v>
      </c>
      <c r="H22" s="17">
        <f t="shared" si="0"/>
        <v>45.11</v>
      </c>
      <c r="I22" s="18">
        <f t="shared" si="1"/>
        <v>0</v>
      </c>
      <c r="J22" s="174">
        <f t="shared" si="4"/>
        <v>0</v>
      </c>
    </row>
    <row r="23" spans="1:11" hidden="1" x14ac:dyDescent="0.2">
      <c r="A23" s="56">
        <v>2</v>
      </c>
      <c r="B23" s="47"/>
      <c r="C23" s="27" t="s">
        <v>275</v>
      </c>
      <c r="D23" s="28"/>
      <c r="E23" s="28"/>
      <c r="F23" s="28"/>
      <c r="G23" s="28"/>
      <c r="H23" s="28"/>
      <c r="I23" s="204">
        <f>I24+I25+I26</f>
        <v>0</v>
      </c>
      <c r="J23" s="197">
        <f>J24+J25+J26</f>
        <v>0</v>
      </c>
    </row>
    <row r="24" spans="1:11" ht="20.399999999999999" hidden="1" x14ac:dyDescent="0.25">
      <c r="A24" s="6" t="s">
        <v>19</v>
      </c>
      <c r="B24" s="2" t="s">
        <v>272</v>
      </c>
      <c r="C24" s="3" t="s">
        <v>273</v>
      </c>
      <c r="D24" s="46" t="s">
        <v>185</v>
      </c>
      <c r="E24" s="17"/>
      <c r="F24" s="17">
        <v>75.489999999999995</v>
      </c>
      <c r="G24" s="17">
        <f>F24*1.286</f>
        <v>97.08</v>
      </c>
      <c r="H24" s="17">
        <f t="shared" si="0"/>
        <v>91.74</v>
      </c>
      <c r="I24" s="18">
        <f>G24*E24</f>
        <v>0</v>
      </c>
      <c r="J24" s="174">
        <f>H24*E24</f>
        <v>0</v>
      </c>
    </row>
    <row r="25" spans="1:11" ht="12.75" hidden="1" customHeight="1" x14ac:dyDescent="0.25">
      <c r="A25" s="6" t="s">
        <v>21</v>
      </c>
      <c r="B25" s="2" t="s">
        <v>269</v>
      </c>
      <c r="C25" s="3" t="s">
        <v>274</v>
      </c>
      <c r="D25" s="46" t="s">
        <v>185</v>
      </c>
      <c r="E25" s="17"/>
      <c r="F25" s="17">
        <v>48.94</v>
      </c>
      <c r="G25" s="17">
        <f>F25*1.286</f>
        <v>62.94</v>
      </c>
      <c r="H25" s="17">
        <f t="shared" si="0"/>
        <v>59.48</v>
      </c>
      <c r="I25" s="18">
        <f>G25*E25</f>
        <v>0</v>
      </c>
      <c r="J25" s="174">
        <f t="shared" ref="J25:J26" si="5">H25*E25</f>
        <v>0</v>
      </c>
    </row>
    <row r="26" spans="1:11" ht="12" hidden="1" customHeight="1" x14ac:dyDescent="0.25">
      <c r="A26" s="6" t="s">
        <v>22</v>
      </c>
      <c r="B26" s="2" t="s">
        <v>270</v>
      </c>
      <c r="C26" s="3" t="s">
        <v>271</v>
      </c>
      <c r="D26" s="46" t="s">
        <v>42</v>
      </c>
      <c r="E26" s="17"/>
      <c r="F26" s="17">
        <v>52.36</v>
      </c>
      <c r="G26" s="17">
        <f>F26*1.286</f>
        <v>67.33</v>
      </c>
      <c r="H26" s="17">
        <f t="shared" si="0"/>
        <v>63.63</v>
      </c>
      <c r="I26" s="18">
        <f>G26*E26</f>
        <v>0</v>
      </c>
      <c r="J26" s="174">
        <f t="shared" si="5"/>
        <v>0</v>
      </c>
    </row>
    <row r="27" spans="1:11" ht="11.25" hidden="1" customHeight="1" x14ac:dyDescent="0.25">
      <c r="A27" s="53">
        <v>3</v>
      </c>
      <c r="B27" s="21"/>
      <c r="C27" s="22" t="s">
        <v>52</v>
      </c>
      <c r="D27" s="193"/>
      <c r="E27" s="25"/>
      <c r="F27" s="25"/>
      <c r="G27" s="17">
        <f t="shared" si="3"/>
        <v>0</v>
      </c>
      <c r="H27" s="17">
        <f t="shared" ref="H27:H76" si="6">G27*0.945</f>
        <v>0</v>
      </c>
      <c r="I27" s="205">
        <f>I28+I29+I30+I32+I31</f>
        <v>0</v>
      </c>
      <c r="J27" s="198">
        <f>J28+J29+J30+J32+J31</f>
        <v>0</v>
      </c>
    </row>
    <row r="28" spans="1:11" ht="20.399999999999999" hidden="1" x14ac:dyDescent="0.25">
      <c r="A28" s="6" t="s">
        <v>24</v>
      </c>
      <c r="B28" s="2" t="s">
        <v>54</v>
      </c>
      <c r="C28" s="3" t="s">
        <v>53</v>
      </c>
      <c r="D28" s="46" t="s">
        <v>23</v>
      </c>
      <c r="E28" s="17"/>
      <c r="F28" s="17">
        <v>36.08</v>
      </c>
      <c r="G28" s="17">
        <f t="shared" si="3"/>
        <v>46.43</v>
      </c>
      <c r="H28" s="17">
        <f t="shared" si="6"/>
        <v>43.88</v>
      </c>
      <c r="I28" s="18">
        <f>G28*E28</f>
        <v>0</v>
      </c>
      <c r="J28" s="174">
        <f t="shared" si="4"/>
        <v>0</v>
      </c>
    </row>
    <row r="29" spans="1:11" ht="20.399999999999999" hidden="1" x14ac:dyDescent="0.25">
      <c r="A29" s="6" t="s">
        <v>25</v>
      </c>
      <c r="B29" s="2" t="s">
        <v>56</v>
      </c>
      <c r="C29" s="3" t="s">
        <v>55</v>
      </c>
      <c r="D29" s="46" t="s">
        <v>23</v>
      </c>
      <c r="E29" s="17"/>
      <c r="F29" s="17">
        <v>9.7200000000000006</v>
      </c>
      <c r="G29" s="17">
        <f t="shared" si="3"/>
        <v>12.51</v>
      </c>
      <c r="H29" s="17">
        <f t="shared" si="6"/>
        <v>11.82</v>
      </c>
      <c r="I29" s="18">
        <f>G29*E29</f>
        <v>0</v>
      </c>
      <c r="J29" s="174">
        <f t="shared" si="4"/>
        <v>0</v>
      </c>
      <c r="K29" s="138"/>
    </row>
    <row r="30" spans="1:11" ht="9.75" hidden="1" customHeight="1" x14ac:dyDescent="0.25">
      <c r="A30" s="6" t="s">
        <v>26</v>
      </c>
      <c r="B30" s="2" t="s">
        <v>59</v>
      </c>
      <c r="C30" s="3" t="s">
        <v>58</v>
      </c>
      <c r="D30" s="46" t="s">
        <v>20</v>
      </c>
      <c r="E30" s="17"/>
      <c r="F30" s="17">
        <v>29.09</v>
      </c>
      <c r="G30" s="17">
        <f t="shared" si="3"/>
        <v>37.43</v>
      </c>
      <c r="H30" s="17">
        <f t="shared" si="6"/>
        <v>35.369999999999997</v>
      </c>
      <c r="I30" s="18">
        <f>G30*E30</f>
        <v>0</v>
      </c>
      <c r="J30" s="174">
        <f t="shared" si="4"/>
        <v>0</v>
      </c>
    </row>
    <row r="31" spans="1:11" ht="30.6" hidden="1" x14ac:dyDescent="0.25">
      <c r="A31" s="6" t="s">
        <v>32</v>
      </c>
      <c r="B31" s="2" t="s">
        <v>232</v>
      </c>
      <c r="C31" s="3" t="s">
        <v>233</v>
      </c>
      <c r="D31" s="46" t="s">
        <v>119</v>
      </c>
      <c r="E31" s="17"/>
      <c r="F31" s="17">
        <v>755.13</v>
      </c>
      <c r="G31" s="17">
        <f t="shared" si="3"/>
        <v>971.7</v>
      </c>
      <c r="H31" s="17">
        <f t="shared" si="6"/>
        <v>918.26</v>
      </c>
      <c r="I31" s="18">
        <f>G31*E31</f>
        <v>0</v>
      </c>
      <c r="J31" s="174">
        <f t="shared" si="4"/>
        <v>0</v>
      </c>
    </row>
    <row r="32" spans="1:11" ht="20.399999999999999" hidden="1" x14ac:dyDescent="0.25">
      <c r="A32" s="6" t="s">
        <v>231</v>
      </c>
      <c r="B32" s="2" t="s">
        <v>61</v>
      </c>
      <c r="C32" s="3" t="s">
        <v>60</v>
      </c>
      <c r="D32" s="46" t="s">
        <v>20</v>
      </c>
      <c r="E32" s="17"/>
      <c r="F32" s="17">
        <v>15.99</v>
      </c>
      <c r="G32" s="17">
        <f t="shared" si="3"/>
        <v>20.58</v>
      </c>
      <c r="H32" s="17">
        <f t="shared" si="6"/>
        <v>19.45</v>
      </c>
      <c r="I32" s="18">
        <f>G32*E32</f>
        <v>0</v>
      </c>
      <c r="J32" s="174">
        <f t="shared" si="4"/>
        <v>0</v>
      </c>
    </row>
    <row r="33" spans="1:10" ht="2.25" hidden="1" customHeight="1" x14ac:dyDescent="0.25">
      <c r="A33" s="53">
        <v>4</v>
      </c>
      <c r="B33" s="24"/>
      <c r="C33" s="48" t="s">
        <v>135</v>
      </c>
      <c r="D33" s="26"/>
      <c r="E33" s="26"/>
      <c r="F33" s="26"/>
      <c r="G33" s="17">
        <f t="shared" si="3"/>
        <v>0</v>
      </c>
      <c r="H33" s="17">
        <f t="shared" si="6"/>
        <v>0</v>
      </c>
      <c r="I33" s="206">
        <f>I34+I35+I36+I37+I38</f>
        <v>-0.04</v>
      </c>
      <c r="J33" s="198">
        <f>J34+J35+J36+J37+J38</f>
        <v>-0.03</v>
      </c>
    </row>
    <row r="34" spans="1:10" ht="20.399999999999999" hidden="1" x14ac:dyDescent="0.25">
      <c r="A34" s="6" t="s">
        <v>27</v>
      </c>
      <c r="B34" s="20" t="s">
        <v>57</v>
      </c>
      <c r="C34" s="3" t="s">
        <v>63</v>
      </c>
      <c r="D34" s="46" t="s">
        <v>23</v>
      </c>
      <c r="E34" s="17"/>
      <c r="F34" s="17">
        <v>42.79</v>
      </c>
      <c r="G34" s="17">
        <f t="shared" si="3"/>
        <v>55.06</v>
      </c>
      <c r="H34" s="17">
        <f t="shared" si="6"/>
        <v>52.03</v>
      </c>
      <c r="I34" s="18">
        <f>G34*E34</f>
        <v>0</v>
      </c>
      <c r="J34" s="174">
        <f t="shared" si="4"/>
        <v>0</v>
      </c>
    </row>
    <row r="35" spans="1:10" ht="40.799999999999997" hidden="1" x14ac:dyDescent="0.25">
      <c r="A35" s="6" t="s">
        <v>30</v>
      </c>
      <c r="B35" s="20" t="s">
        <v>155</v>
      </c>
      <c r="C35" s="3" t="s">
        <v>154</v>
      </c>
      <c r="D35" s="46" t="s">
        <v>23</v>
      </c>
      <c r="E35" s="17"/>
      <c r="F35" s="17">
        <v>72.23</v>
      </c>
      <c r="G35" s="17">
        <f t="shared" si="3"/>
        <v>92.95</v>
      </c>
      <c r="H35" s="17">
        <f t="shared" si="6"/>
        <v>87.84</v>
      </c>
      <c r="I35" s="18">
        <f>G35*E35</f>
        <v>0</v>
      </c>
      <c r="J35" s="174">
        <f t="shared" si="4"/>
        <v>0</v>
      </c>
    </row>
    <row r="36" spans="1:10" ht="40.799999999999997" hidden="1" x14ac:dyDescent="0.25">
      <c r="A36" s="6" t="s">
        <v>31</v>
      </c>
      <c r="B36" s="20" t="s">
        <v>65</v>
      </c>
      <c r="C36" s="3" t="s">
        <v>64</v>
      </c>
      <c r="D36" s="46" t="s">
        <v>23</v>
      </c>
      <c r="E36" s="17"/>
      <c r="F36" s="17">
        <v>56.8</v>
      </c>
      <c r="G36" s="17">
        <f t="shared" si="3"/>
        <v>73.09</v>
      </c>
      <c r="H36" s="17">
        <f t="shared" si="6"/>
        <v>69.069999999999993</v>
      </c>
      <c r="I36" s="18">
        <f>G36*E36-0.04</f>
        <v>-0.04</v>
      </c>
      <c r="J36" s="174">
        <f t="shared" si="4"/>
        <v>-0.03</v>
      </c>
    </row>
    <row r="37" spans="1:10" hidden="1" x14ac:dyDescent="0.25">
      <c r="A37" s="6" t="s">
        <v>32</v>
      </c>
      <c r="B37" s="20" t="s">
        <v>67</v>
      </c>
      <c r="C37" s="14" t="s">
        <v>66</v>
      </c>
      <c r="D37" s="46" t="s">
        <v>23</v>
      </c>
      <c r="E37" s="17"/>
      <c r="F37" s="17">
        <v>245.64</v>
      </c>
      <c r="G37" s="17">
        <f t="shared" si="3"/>
        <v>316.08999999999997</v>
      </c>
      <c r="H37" s="17">
        <f t="shared" si="6"/>
        <v>298.70999999999998</v>
      </c>
      <c r="I37" s="18">
        <f>G37*E37</f>
        <v>0</v>
      </c>
      <c r="J37" s="174">
        <f t="shared" si="4"/>
        <v>0</v>
      </c>
    </row>
    <row r="38" spans="1:10" ht="20.399999999999999" hidden="1" x14ac:dyDescent="0.25">
      <c r="A38" s="6" t="s">
        <v>231</v>
      </c>
      <c r="B38" s="20" t="s">
        <v>69</v>
      </c>
      <c r="C38" s="3" t="s">
        <v>68</v>
      </c>
      <c r="D38" s="46" t="s">
        <v>20</v>
      </c>
      <c r="E38" s="17"/>
      <c r="F38" s="17">
        <v>541.04</v>
      </c>
      <c r="G38" s="17">
        <f t="shared" si="3"/>
        <v>696.21</v>
      </c>
      <c r="H38" s="17">
        <f t="shared" si="6"/>
        <v>657.92</v>
      </c>
      <c r="I38" s="18">
        <f>G38*E38</f>
        <v>0</v>
      </c>
      <c r="J38" s="174">
        <f t="shared" si="4"/>
        <v>0</v>
      </c>
    </row>
    <row r="39" spans="1:10" hidden="1" x14ac:dyDescent="0.25">
      <c r="A39" s="54">
        <v>5</v>
      </c>
      <c r="B39" s="26"/>
      <c r="C39" s="22" t="s">
        <v>74</v>
      </c>
      <c r="D39" s="26"/>
      <c r="E39" s="23"/>
      <c r="F39" s="23"/>
      <c r="G39" s="17">
        <f t="shared" si="3"/>
        <v>0</v>
      </c>
      <c r="H39" s="17">
        <f t="shared" si="6"/>
        <v>0</v>
      </c>
      <c r="I39" s="205">
        <f>I40+I42+I46+I41+I43+I44+I45</f>
        <v>0</v>
      </c>
      <c r="J39" s="198">
        <f>J40+J41+J42+J46+J43+J44+J45</f>
        <v>0</v>
      </c>
    </row>
    <row r="40" spans="1:10" hidden="1" x14ac:dyDescent="0.25">
      <c r="A40" s="6" t="s">
        <v>33</v>
      </c>
      <c r="B40" s="20" t="s">
        <v>173</v>
      </c>
      <c r="C40" s="3" t="s">
        <v>174</v>
      </c>
      <c r="D40" s="46" t="s">
        <v>41</v>
      </c>
      <c r="E40" s="17"/>
      <c r="F40" s="17">
        <v>711.67</v>
      </c>
      <c r="G40" s="17">
        <f t="shared" si="3"/>
        <v>915.78</v>
      </c>
      <c r="H40" s="17">
        <f t="shared" si="6"/>
        <v>865.41</v>
      </c>
      <c r="I40" s="18">
        <f t="shared" ref="I40:I46" si="7">G40*E40</f>
        <v>0</v>
      </c>
      <c r="J40" s="174">
        <f t="shared" si="4"/>
        <v>0</v>
      </c>
    </row>
    <row r="41" spans="1:10" hidden="1" x14ac:dyDescent="0.25">
      <c r="A41" s="6" t="s">
        <v>34</v>
      </c>
      <c r="B41" s="20" t="s">
        <v>171</v>
      </c>
      <c r="C41" s="3" t="s">
        <v>172</v>
      </c>
      <c r="D41" s="46" t="s">
        <v>41</v>
      </c>
      <c r="E41" s="17"/>
      <c r="F41" s="17">
        <v>170.69</v>
      </c>
      <c r="G41" s="17">
        <f t="shared" si="3"/>
        <v>219.64</v>
      </c>
      <c r="H41" s="17">
        <f t="shared" si="6"/>
        <v>207.56</v>
      </c>
      <c r="I41" s="18">
        <f t="shared" si="7"/>
        <v>0</v>
      </c>
      <c r="J41" s="174">
        <f t="shared" si="4"/>
        <v>0</v>
      </c>
    </row>
    <row r="42" spans="1:10" ht="21" hidden="1" customHeight="1" x14ac:dyDescent="0.25">
      <c r="A42" s="6" t="s">
        <v>35</v>
      </c>
      <c r="B42" s="20" t="s">
        <v>76</v>
      </c>
      <c r="C42" s="3" t="s">
        <v>75</v>
      </c>
      <c r="D42" s="46" t="s">
        <v>42</v>
      </c>
      <c r="E42" s="17"/>
      <c r="F42" s="17">
        <v>521.95000000000005</v>
      </c>
      <c r="G42" s="17">
        <f t="shared" si="3"/>
        <v>671.65</v>
      </c>
      <c r="H42" s="17">
        <f t="shared" si="6"/>
        <v>634.71</v>
      </c>
      <c r="I42" s="18">
        <f t="shared" si="7"/>
        <v>0</v>
      </c>
      <c r="J42" s="174">
        <f t="shared" si="4"/>
        <v>0</v>
      </c>
    </row>
    <row r="43" spans="1:10" hidden="1" x14ac:dyDescent="0.25">
      <c r="A43" s="6" t="s">
        <v>203</v>
      </c>
      <c r="B43" s="20" t="s">
        <v>206</v>
      </c>
      <c r="C43" s="3" t="s">
        <v>207</v>
      </c>
      <c r="D43" s="46" t="s">
        <v>49</v>
      </c>
      <c r="E43" s="17"/>
      <c r="F43" s="17">
        <v>355.92</v>
      </c>
      <c r="G43" s="17">
        <f t="shared" si="3"/>
        <v>458</v>
      </c>
      <c r="H43" s="17">
        <f t="shared" si="6"/>
        <v>432.81</v>
      </c>
      <c r="I43" s="18">
        <f t="shared" si="7"/>
        <v>0</v>
      </c>
      <c r="J43" s="174">
        <f t="shared" si="4"/>
        <v>0</v>
      </c>
    </row>
    <row r="44" spans="1:10" ht="30.6" hidden="1" x14ac:dyDescent="0.25">
      <c r="A44" s="6" t="s">
        <v>204</v>
      </c>
      <c r="B44" s="20" t="s">
        <v>208</v>
      </c>
      <c r="C44" s="3" t="s">
        <v>209</v>
      </c>
      <c r="D44" s="46" t="s">
        <v>41</v>
      </c>
      <c r="E44" s="17"/>
      <c r="F44" s="17">
        <v>1422.02</v>
      </c>
      <c r="G44" s="17">
        <f t="shared" si="3"/>
        <v>1829.86</v>
      </c>
      <c r="H44" s="17">
        <f t="shared" si="6"/>
        <v>1729.22</v>
      </c>
      <c r="I44" s="18">
        <f t="shared" si="7"/>
        <v>0</v>
      </c>
      <c r="J44" s="174">
        <f t="shared" si="4"/>
        <v>0</v>
      </c>
    </row>
    <row r="45" spans="1:10" ht="20.399999999999999" hidden="1" x14ac:dyDescent="0.25">
      <c r="A45" s="6" t="s">
        <v>266</v>
      </c>
      <c r="B45" s="20" t="s">
        <v>247</v>
      </c>
      <c r="C45" s="3" t="s">
        <v>248</v>
      </c>
      <c r="D45" s="46" t="s">
        <v>42</v>
      </c>
      <c r="E45" s="17"/>
      <c r="F45" s="17">
        <v>483.07</v>
      </c>
      <c r="G45" s="17">
        <f t="shared" si="3"/>
        <v>621.61</v>
      </c>
      <c r="H45" s="17">
        <f t="shared" si="6"/>
        <v>587.41999999999996</v>
      </c>
      <c r="I45" s="18">
        <f t="shared" si="7"/>
        <v>0</v>
      </c>
      <c r="J45" s="174">
        <f t="shared" si="4"/>
        <v>0</v>
      </c>
    </row>
    <row r="46" spans="1:10" ht="3.75" hidden="1" customHeight="1" x14ac:dyDescent="0.25">
      <c r="A46" s="6" t="s">
        <v>203</v>
      </c>
      <c r="B46" s="20" t="s">
        <v>78</v>
      </c>
      <c r="C46" s="3" t="s">
        <v>77</v>
      </c>
      <c r="D46" s="46" t="s">
        <v>42</v>
      </c>
      <c r="E46" s="17"/>
      <c r="F46" s="17">
        <v>232.18</v>
      </c>
      <c r="G46" s="17">
        <f t="shared" si="3"/>
        <v>298.77</v>
      </c>
      <c r="H46" s="17">
        <f t="shared" si="6"/>
        <v>282.33999999999997</v>
      </c>
      <c r="I46" s="18">
        <f t="shared" si="7"/>
        <v>0</v>
      </c>
      <c r="J46" s="174">
        <f t="shared" si="4"/>
        <v>0</v>
      </c>
    </row>
    <row r="47" spans="1:10" hidden="1" x14ac:dyDescent="0.25">
      <c r="A47" s="53">
        <v>6</v>
      </c>
      <c r="B47" s="21"/>
      <c r="C47" s="22" t="s">
        <v>240</v>
      </c>
      <c r="D47" s="26"/>
      <c r="E47" s="23"/>
      <c r="F47" s="23"/>
      <c r="G47" s="17">
        <f t="shared" si="3"/>
        <v>0</v>
      </c>
      <c r="H47" s="17">
        <f t="shared" si="6"/>
        <v>0</v>
      </c>
      <c r="I47" s="205">
        <f>I48+I49+I55+I50+I51+I52+I53+I54</f>
        <v>0</v>
      </c>
      <c r="J47" s="198">
        <f>J48+J49+J55+J50+J51+J52+J53+J54</f>
        <v>0</v>
      </c>
    </row>
    <row r="48" spans="1:10" ht="51" hidden="1" x14ac:dyDescent="0.25">
      <c r="A48" s="6" t="s">
        <v>36</v>
      </c>
      <c r="B48" s="2" t="s">
        <v>80</v>
      </c>
      <c r="C48" s="3" t="s">
        <v>79</v>
      </c>
      <c r="D48" s="46" t="s">
        <v>41</v>
      </c>
      <c r="E48" s="17"/>
      <c r="F48" s="17">
        <v>106.5</v>
      </c>
      <c r="G48" s="17">
        <f t="shared" si="3"/>
        <v>137.04</v>
      </c>
      <c r="H48" s="17">
        <f t="shared" si="6"/>
        <v>129.5</v>
      </c>
      <c r="I48" s="18">
        <f t="shared" ref="I48:I55" si="8">G48*E48</f>
        <v>0</v>
      </c>
      <c r="J48" s="174">
        <f t="shared" si="4"/>
        <v>0</v>
      </c>
    </row>
    <row r="49" spans="1:10" ht="51" hidden="1" x14ac:dyDescent="0.25">
      <c r="A49" s="6" t="s">
        <v>39</v>
      </c>
      <c r="B49" s="2" t="s">
        <v>84</v>
      </c>
      <c r="C49" s="3" t="s">
        <v>83</v>
      </c>
      <c r="D49" s="46" t="s">
        <v>41</v>
      </c>
      <c r="E49" s="17"/>
      <c r="F49" s="17">
        <v>185.3</v>
      </c>
      <c r="G49" s="17">
        <f t="shared" si="3"/>
        <v>238.44</v>
      </c>
      <c r="H49" s="17">
        <f t="shared" si="6"/>
        <v>225.33</v>
      </c>
      <c r="I49" s="18">
        <f t="shared" si="8"/>
        <v>0</v>
      </c>
      <c r="J49" s="174">
        <f t="shared" si="4"/>
        <v>0</v>
      </c>
    </row>
    <row r="50" spans="1:10" ht="20.399999999999999" hidden="1" x14ac:dyDescent="0.25">
      <c r="A50" s="6" t="s">
        <v>97</v>
      </c>
      <c r="B50" s="2" t="s">
        <v>194</v>
      </c>
      <c r="C50" s="3" t="s">
        <v>195</v>
      </c>
      <c r="D50" s="46" t="s">
        <v>119</v>
      </c>
      <c r="E50" s="17"/>
      <c r="F50" s="17">
        <v>16.170000000000002</v>
      </c>
      <c r="G50" s="17">
        <f t="shared" si="3"/>
        <v>20.81</v>
      </c>
      <c r="H50" s="17">
        <f t="shared" si="6"/>
        <v>19.670000000000002</v>
      </c>
      <c r="I50" s="18">
        <f t="shared" si="8"/>
        <v>0</v>
      </c>
      <c r="J50" s="174">
        <f t="shared" si="4"/>
        <v>0</v>
      </c>
    </row>
    <row r="51" spans="1:10" ht="20.399999999999999" hidden="1" x14ac:dyDescent="0.25">
      <c r="A51" s="6" t="s">
        <v>202</v>
      </c>
      <c r="B51" s="2" t="s">
        <v>196</v>
      </c>
      <c r="C51" s="3" t="s">
        <v>197</v>
      </c>
      <c r="D51" s="46" t="s">
        <v>119</v>
      </c>
      <c r="E51" s="17"/>
      <c r="F51" s="17">
        <v>34.18</v>
      </c>
      <c r="G51" s="17">
        <f t="shared" si="3"/>
        <v>43.98</v>
      </c>
      <c r="H51" s="17">
        <f t="shared" si="6"/>
        <v>41.56</v>
      </c>
      <c r="I51" s="18">
        <f t="shared" si="8"/>
        <v>0</v>
      </c>
      <c r="J51" s="174">
        <f t="shared" si="4"/>
        <v>0</v>
      </c>
    </row>
    <row r="52" spans="1:10" ht="18.75" hidden="1" customHeight="1" x14ac:dyDescent="0.25">
      <c r="A52" s="6" t="s">
        <v>244</v>
      </c>
      <c r="B52" s="2" t="s">
        <v>192</v>
      </c>
      <c r="C52" s="3" t="s">
        <v>193</v>
      </c>
      <c r="D52" s="46" t="s">
        <v>41</v>
      </c>
      <c r="E52" s="17"/>
      <c r="F52" s="17">
        <v>596.91999999999996</v>
      </c>
      <c r="G52" s="17">
        <f t="shared" si="3"/>
        <v>768.12</v>
      </c>
      <c r="H52" s="17">
        <f t="shared" si="6"/>
        <v>725.87</v>
      </c>
      <c r="I52" s="18">
        <f t="shared" si="8"/>
        <v>0</v>
      </c>
      <c r="J52" s="174">
        <f t="shared" si="4"/>
        <v>0</v>
      </c>
    </row>
    <row r="53" spans="1:10" ht="20.399999999999999" hidden="1" x14ac:dyDescent="0.25">
      <c r="A53" s="6" t="s">
        <v>245</v>
      </c>
      <c r="B53" s="2" t="s">
        <v>241</v>
      </c>
      <c r="C53" s="3" t="s">
        <v>242</v>
      </c>
      <c r="D53" s="46" t="s">
        <v>41</v>
      </c>
      <c r="E53" s="17"/>
      <c r="F53" s="17">
        <v>2155.16</v>
      </c>
      <c r="G53" s="17">
        <f t="shared" si="3"/>
        <v>2773.26</v>
      </c>
      <c r="H53" s="17">
        <f t="shared" si="6"/>
        <v>2620.73</v>
      </c>
      <c r="I53" s="18">
        <f t="shared" si="8"/>
        <v>0</v>
      </c>
      <c r="J53" s="174">
        <f t="shared" si="4"/>
        <v>0</v>
      </c>
    </row>
    <row r="54" spans="1:10" hidden="1" x14ac:dyDescent="0.25">
      <c r="A54" s="6" t="s">
        <v>246</v>
      </c>
      <c r="B54" s="2" t="s">
        <v>250</v>
      </c>
      <c r="C54" s="3" t="s">
        <v>251</v>
      </c>
      <c r="D54" s="46" t="s">
        <v>41</v>
      </c>
      <c r="E54" s="17"/>
      <c r="F54" s="17">
        <v>64.19</v>
      </c>
      <c r="G54" s="17">
        <f t="shared" si="3"/>
        <v>82.6</v>
      </c>
      <c r="H54" s="17">
        <f t="shared" si="6"/>
        <v>78.06</v>
      </c>
      <c r="I54" s="18">
        <f t="shared" si="8"/>
        <v>0</v>
      </c>
      <c r="J54" s="174">
        <f t="shared" si="4"/>
        <v>0</v>
      </c>
    </row>
    <row r="55" spans="1:10" ht="40.799999999999997" hidden="1" x14ac:dyDescent="0.25">
      <c r="A55" s="6" t="s">
        <v>245</v>
      </c>
      <c r="B55" s="2" t="s">
        <v>249</v>
      </c>
      <c r="C55" s="3" t="s">
        <v>81</v>
      </c>
      <c r="D55" s="46" t="s">
        <v>41</v>
      </c>
      <c r="E55" s="17"/>
      <c r="F55" s="17">
        <v>260.60000000000002</v>
      </c>
      <c r="G55" s="17">
        <f t="shared" si="3"/>
        <v>335.34</v>
      </c>
      <c r="H55" s="17">
        <f t="shared" si="6"/>
        <v>316.89999999999998</v>
      </c>
      <c r="I55" s="18">
        <f t="shared" si="8"/>
        <v>0</v>
      </c>
      <c r="J55" s="174">
        <f t="shared" si="4"/>
        <v>0</v>
      </c>
    </row>
    <row r="56" spans="1:10" hidden="1" x14ac:dyDescent="0.25">
      <c r="A56" s="56">
        <v>7</v>
      </c>
      <c r="B56" s="57"/>
      <c r="C56" s="27" t="s">
        <v>62</v>
      </c>
      <c r="D56" s="28"/>
      <c r="E56" s="28"/>
      <c r="F56" s="28"/>
      <c r="G56" s="17">
        <f t="shared" si="3"/>
        <v>0</v>
      </c>
      <c r="H56" s="17">
        <f t="shared" si="6"/>
        <v>0</v>
      </c>
      <c r="I56" s="207">
        <f>I57+I58+I59+I63+I60+I61+I62</f>
        <v>0</v>
      </c>
      <c r="J56" s="199">
        <f>J57+J58+J59+J60+J61+J63+J62</f>
        <v>0</v>
      </c>
    </row>
    <row r="57" spans="1:10" ht="81.599999999999994" hidden="1" x14ac:dyDescent="0.25">
      <c r="A57" s="6" t="s">
        <v>37</v>
      </c>
      <c r="B57" s="2" t="s">
        <v>99</v>
      </c>
      <c r="C57" s="3" t="s">
        <v>98</v>
      </c>
      <c r="D57" s="46" t="s">
        <v>41</v>
      </c>
      <c r="E57" s="17"/>
      <c r="F57" s="17">
        <v>195.81</v>
      </c>
      <c r="G57" s="17">
        <f t="shared" si="3"/>
        <v>251.97</v>
      </c>
      <c r="H57" s="17">
        <f t="shared" si="6"/>
        <v>238.11</v>
      </c>
      <c r="I57" s="18">
        <f t="shared" ref="I57:I63" si="9">G57*E57</f>
        <v>0</v>
      </c>
      <c r="J57" s="174">
        <f t="shared" si="4"/>
        <v>0</v>
      </c>
    </row>
    <row r="58" spans="1:10" ht="44.25" hidden="1" customHeight="1" x14ac:dyDescent="0.25">
      <c r="A58" s="6" t="s">
        <v>105</v>
      </c>
      <c r="B58" s="2" t="s">
        <v>102</v>
      </c>
      <c r="C58" s="3" t="s">
        <v>101</v>
      </c>
      <c r="D58" s="46" t="s">
        <v>41</v>
      </c>
      <c r="E58" s="17"/>
      <c r="F58" s="17">
        <v>100.05</v>
      </c>
      <c r="G58" s="17">
        <f t="shared" si="3"/>
        <v>128.74</v>
      </c>
      <c r="H58" s="17">
        <f t="shared" si="6"/>
        <v>121.66</v>
      </c>
      <c r="I58" s="18">
        <f t="shared" si="9"/>
        <v>0</v>
      </c>
      <c r="J58" s="174">
        <f t="shared" si="4"/>
        <v>0</v>
      </c>
    </row>
    <row r="59" spans="1:10" ht="30.6" hidden="1" x14ac:dyDescent="0.25">
      <c r="A59" s="6" t="s">
        <v>106</v>
      </c>
      <c r="B59" s="2" t="s">
        <v>107</v>
      </c>
      <c r="C59" s="3" t="s">
        <v>170</v>
      </c>
      <c r="D59" s="46" t="s">
        <v>41</v>
      </c>
      <c r="E59" s="17"/>
      <c r="F59" s="17">
        <v>114.95</v>
      </c>
      <c r="G59" s="17">
        <f t="shared" si="3"/>
        <v>147.91999999999999</v>
      </c>
      <c r="H59" s="17">
        <f t="shared" si="6"/>
        <v>139.78</v>
      </c>
      <c r="I59" s="18">
        <f t="shared" si="9"/>
        <v>0</v>
      </c>
      <c r="J59" s="174">
        <f t="shared" si="4"/>
        <v>0</v>
      </c>
    </row>
    <row r="60" spans="1:10" hidden="1" x14ac:dyDescent="0.25">
      <c r="A60" s="6" t="s">
        <v>106</v>
      </c>
      <c r="B60" s="2" t="s">
        <v>175</v>
      </c>
      <c r="C60" s="3" t="s">
        <v>176</v>
      </c>
      <c r="D60" s="46" t="s">
        <v>41</v>
      </c>
      <c r="E60" s="17"/>
      <c r="F60" s="17">
        <v>22.62</v>
      </c>
      <c r="G60" s="17">
        <f t="shared" si="3"/>
        <v>29.11</v>
      </c>
      <c r="H60" s="17">
        <f t="shared" si="6"/>
        <v>27.51</v>
      </c>
      <c r="I60" s="18">
        <f t="shared" si="9"/>
        <v>0</v>
      </c>
      <c r="J60" s="174">
        <f t="shared" si="4"/>
        <v>0</v>
      </c>
    </row>
    <row r="61" spans="1:10" ht="15.75" hidden="1" customHeight="1" x14ac:dyDescent="0.25">
      <c r="A61" s="6" t="s">
        <v>108</v>
      </c>
      <c r="B61" s="2" t="s">
        <v>253</v>
      </c>
      <c r="C61" s="3" t="s">
        <v>169</v>
      </c>
      <c r="D61" s="46" t="s">
        <v>41</v>
      </c>
      <c r="E61" s="17"/>
      <c r="F61" s="17">
        <v>40.880000000000003</v>
      </c>
      <c r="G61" s="17">
        <f t="shared" si="3"/>
        <v>52.6</v>
      </c>
      <c r="H61" s="17">
        <f t="shared" si="6"/>
        <v>49.71</v>
      </c>
      <c r="I61" s="18">
        <f t="shared" si="9"/>
        <v>0</v>
      </c>
      <c r="J61" s="174">
        <f t="shared" si="4"/>
        <v>0</v>
      </c>
    </row>
    <row r="62" spans="1:10" ht="0.75" hidden="1" customHeight="1" x14ac:dyDescent="0.25">
      <c r="A62" s="6" t="s">
        <v>201</v>
      </c>
      <c r="B62" s="2" t="s">
        <v>252</v>
      </c>
      <c r="C62" s="3" t="s">
        <v>254</v>
      </c>
      <c r="D62" s="46" t="s">
        <v>235</v>
      </c>
      <c r="E62" s="17"/>
      <c r="F62" s="17">
        <v>1669.92</v>
      </c>
      <c r="G62" s="17">
        <f t="shared" si="3"/>
        <v>2148.85</v>
      </c>
      <c r="H62" s="17">
        <f t="shared" si="6"/>
        <v>2030.66</v>
      </c>
      <c r="I62" s="18">
        <f t="shared" si="9"/>
        <v>0</v>
      </c>
      <c r="J62" s="174">
        <f t="shared" si="4"/>
        <v>0</v>
      </c>
    </row>
    <row r="63" spans="1:10" ht="81.599999999999994" hidden="1" x14ac:dyDescent="0.25">
      <c r="A63" s="6" t="s">
        <v>200</v>
      </c>
      <c r="B63" s="2" t="s">
        <v>103</v>
      </c>
      <c r="C63" s="3" t="s">
        <v>104</v>
      </c>
      <c r="D63" s="46" t="s">
        <v>41</v>
      </c>
      <c r="E63" s="17"/>
      <c r="F63" s="17">
        <v>299.76</v>
      </c>
      <c r="G63" s="17">
        <f t="shared" si="3"/>
        <v>385.73</v>
      </c>
      <c r="H63" s="17">
        <f t="shared" si="6"/>
        <v>364.51</v>
      </c>
      <c r="I63" s="18">
        <f t="shared" si="9"/>
        <v>0</v>
      </c>
      <c r="J63" s="174">
        <f t="shared" si="4"/>
        <v>0</v>
      </c>
    </row>
    <row r="64" spans="1:10" hidden="1" x14ac:dyDescent="0.25">
      <c r="A64" s="7">
        <v>8</v>
      </c>
      <c r="B64" s="29"/>
      <c r="C64" s="5" t="s">
        <v>38</v>
      </c>
      <c r="D64" s="192"/>
      <c r="E64" s="15"/>
      <c r="F64" s="15"/>
      <c r="G64" s="17">
        <f t="shared" si="3"/>
        <v>0</v>
      </c>
      <c r="H64" s="17">
        <f t="shared" si="6"/>
        <v>0</v>
      </c>
      <c r="I64" s="208">
        <f>I65+I66+I67+I73+I68+I69+I70+I72+I71</f>
        <v>0</v>
      </c>
      <c r="J64" s="200">
        <f>J65+J66+J67+J68+J69+J70+J73+J72+J71</f>
        <v>0</v>
      </c>
    </row>
    <row r="65" spans="1:11" ht="20.399999999999999" hidden="1" x14ac:dyDescent="0.25">
      <c r="A65" s="8" t="s">
        <v>109</v>
      </c>
      <c r="B65" s="2" t="s">
        <v>111</v>
      </c>
      <c r="C65" s="14" t="s">
        <v>243</v>
      </c>
      <c r="D65" s="20" t="s">
        <v>42</v>
      </c>
      <c r="E65" s="16"/>
      <c r="F65" s="16">
        <v>3.31</v>
      </c>
      <c r="G65" s="17">
        <f t="shared" si="3"/>
        <v>4.26</v>
      </c>
      <c r="H65" s="17">
        <f t="shared" si="6"/>
        <v>4.03</v>
      </c>
      <c r="I65" s="209">
        <f t="shared" ref="I65:I73" si="10">G65*E65</f>
        <v>0</v>
      </c>
      <c r="J65" s="201">
        <f t="shared" si="4"/>
        <v>0</v>
      </c>
    </row>
    <row r="66" spans="1:11" ht="30.6" hidden="1" x14ac:dyDescent="0.25">
      <c r="A66" s="8" t="s">
        <v>110</v>
      </c>
      <c r="B66" s="2" t="s">
        <v>113</v>
      </c>
      <c r="C66" s="14" t="s">
        <v>112</v>
      </c>
      <c r="D66" s="20" t="s">
        <v>23</v>
      </c>
      <c r="E66" s="16"/>
      <c r="F66" s="16">
        <v>18.04</v>
      </c>
      <c r="G66" s="17">
        <f t="shared" si="3"/>
        <v>23.21</v>
      </c>
      <c r="H66" s="17">
        <f t="shared" si="6"/>
        <v>21.93</v>
      </c>
      <c r="I66" s="209">
        <f t="shared" si="10"/>
        <v>0</v>
      </c>
      <c r="J66" s="201">
        <f t="shared" si="4"/>
        <v>0</v>
      </c>
    </row>
    <row r="67" spans="1:11" hidden="1" x14ac:dyDescent="0.25">
      <c r="A67" s="8" t="s">
        <v>114</v>
      </c>
      <c r="B67" s="2" t="s">
        <v>161</v>
      </c>
      <c r="C67" s="14" t="s">
        <v>158</v>
      </c>
      <c r="D67" s="20" t="s">
        <v>23</v>
      </c>
      <c r="E67" s="16"/>
      <c r="F67" s="16">
        <v>2.19</v>
      </c>
      <c r="G67" s="17">
        <f t="shared" si="3"/>
        <v>2.82</v>
      </c>
      <c r="H67" s="17">
        <f t="shared" si="6"/>
        <v>2.66</v>
      </c>
      <c r="I67" s="209">
        <f t="shared" si="10"/>
        <v>0</v>
      </c>
      <c r="J67" s="201">
        <f t="shared" si="4"/>
        <v>0</v>
      </c>
    </row>
    <row r="68" spans="1:11" hidden="1" x14ac:dyDescent="0.25">
      <c r="A68" s="8" t="s">
        <v>115</v>
      </c>
      <c r="B68" s="2" t="s">
        <v>159</v>
      </c>
      <c r="C68" s="14" t="s">
        <v>160</v>
      </c>
      <c r="D68" s="20" t="s">
        <v>23</v>
      </c>
      <c r="E68" s="16"/>
      <c r="F68" s="16">
        <v>2.4700000000000002</v>
      </c>
      <c r="G68" s="17">
        <f t="shared" si="3"/>
        <v>3.18</v>
      </c>
      <c r="H68" s="17">
        <f t="shared" si="6"/>
        <v>3.01</v>
      </c>
      <c r="I68" s="209">
        <f t="shared" si="10"/>
        <v>0</v>
      </c>
      <c r="J68" s="201">
        <f t="shared" si="4"/>
        <v>0</v>
      </c>
    </row>
    <row r="69" spans="1:11" ht="20.399999999999999" hidden="1" x14ac:dyDescent="0.25">
      <c r="A69" s="8" t="s">
        <v>198</v>
      </c>
      <c r="B69" s="2" t="s">
        <v>157</v>
      </c>
      <c r="C69" s="14" t="s">
        <v>156</v>
      </c>
      <c r="D69" s="20" t="s">
        <v>23</v>
      </c>
      <c r="E69" s="16"/>
      <c r="F69" s="16">
        <v>16.5</v>
      </c>
      <c r="G69" s="17">
        <f t="shared" si="3"/>
        <v>21.23</v>
      </c>
      <c r="H69" s="17">
        <f t="shared" si="6"/>
        <v>20.059999999999999</v>
      </c>
      <c r="I69" s="209">
        <f t="shared" si="10"/>
        <v>0</v>
      </c>
      <c r="J69" s="201">
        <f t="shared" si="4"/>
        <v>0</v>
      </c>
    </row>
    <row r="70" spans="1:11" ht="21.75" hidden="1" customHeight="1" x14ac:dyDescent="0.25">
      <c r="A70" s="8" t="s">
        <v>199</v>
      </c>
      <c r="B70" s="2" t="s">
        <v>237</v>
      </c>
      <c r="C70" s="14" t="s">
        <v>165</v>
      </c>
      <c r="D70" s="20" t="s">
        <v>23</v>
      </c>
      <c r="E70" s="16"/>
      <c r="F70" s="16">
        <v>22.48</v>
      </c>
      <c r="G70" s="17">
        <f t="shared" si="3"/>
        <v>28.93</v>
      </c>
      <c r="H70" s="17">
        <f t="shared" si="6"/>
        <v>27.34</v>
      </c>
      <c r="I70" s="209">
        <f t="shared" si="10"/>
        <v>0</v>
      </c>
      <c r="J70" s="201">
        <f t="shared" si="4"/>
        <v>0</v>
      </c>
    </row>
    <row r="71" spans="1:11" ht="20.399999999999999" hidden="1" x14ac:dyDescent="0.25">
      <c r="A71" s="8" t="s">
        <v>234</v>
      </c>
      <c r="B71" s="2" t="s">
        <v>255</v>
      </c>
      <c r="C71" s="14" t="s">
        <v>256</v>
      </c>
      <c r="D71" s="20" t="s">
        <v>23</v>
      </c>
      <c r="E71" s="16"/>
      <c r="F71" s="16">
        <v>22.61</v>
      </c>
      <c r="G71" s="17">
        <f t="shared" si="3"/>
        <v>29.09</v>
      </c>
      <c r="H71" s="17">
        <f t="shared" si="6"/>
        <v>27.49</v>
      </c>
      <c r="I71" s="209">
        <f t="shared" si="10"/>
        <v>0</v>
      </c>
      <c r="J71" s="201">
        <f t="shared" si="4"/>
        <v>0</v>
      </c>
    </row>
    <row r="72" spans="1:11" hidden="1" x14ac:dyDescent="0.25">
      <c r="A72" s="8" t="s">
        <v>267</v>
      </c>
      <c r="B72" s="2" t="s">
        <v>236</v>
      </c>
      <c r="C72" s="14" t="s">
        <v>238</v>
      </c>
      <c r="D72" s="20" t="str">
        <f>D70</f>
        <v>m²</v>
      </c>
      <c r="E72" s="16"/>
      <c r="F72" s="16">
        <v>49.97</v>
      </c>
      <c r="G72" s="17">
        <f t="shared" si="3"/>
        <v>64.3</v>
      </c>
      <c r="H72" s="17">
        <f t="shared" si="6"/>
        <v>60.76</v>
      </c>
      <c r="I72" s="209">
        <f t="shared" si="10"/>
        <v>0</v>
      </c>
      <c r="J72" s="201">
        <f t="shared" si="4"/>
        <v>0</v>
      </c>
    </row>
    <row r="73" spans="1:11" ht="20.399999999999999" hidden="1" customHeight="1" x14ac:dyDescent="0.25">
      <c r="A73" s="8" t="s">
        <v>234</v>
      </c>
      <c r="B73" s="2" t="s">
        <v>162</v>
      </c>
      <c r="C73" s="14" t="s">
        <v>163</v>
      </c>
      <c r="D73" s="20" t="s">
        <v>23</v>
      </c>
      <c r="E73" s="16"/>
      <c r="F73" s="16">
        <v>14.74</v>
      </c>
      <c r="G73" s="17">
        <f t="shared" si="3"/>
        <v>18.97</v>
      </c>
      <c r="H73" s="17">
        <f t="shared" si="6"/>
        <v>17.93</v>
      </c>
      <c r="I73" s="209">
        <f t="shared" si="10"/>
        <v>0</v>
      </c>
      <c r="J73" s="201">
        <f t="shared" si="4"/>
        <v>0</v>
      </c>
    </row>
    <row r="74" spans="1:11" hidden="1" x14ac:dyDescent="0.25">
      <c r="A74" s="7">
        <v>9</v>
      </c>
      <c r="B74" s="29"/>
      <c r="C74" s="5" t="s">
        <v>143</v>
      </c>
      <c r="D74" s="192"/>
      <c r="E74" s="15"/>
      <c r="F74" s="15"/>
      <c r="G74" s="17">
        <f t="shared" si="3"/>
        <v>0</v>
      </c>
      <c r="H74" s="17">
        <f t="shared" si="6"/>
        <v>0</v>
      </c>
      <c r="I74" s="208">
        <f>I75+I77+I76+I78+I79+I80+I81+I82+I83</f>
        <v>1570642.5</v>
      </c>
      <c r="J74" s="175">
        <f>J75+J76+J77+J78+J79+J80+J81+J82+J83</f>
        <v>1099449.75</v>
      </c>
    </row>
    <row r="75" spans="1:11" hidden="1" x14ac:dyDescent="0.25">
      <c r="A75" s="6" t="s">
        <v>86</v>
      </c>
      <c r="B75" s="2" t="s">
        <v>118</v>
      </c>
      <c r="C75" s="3" t="s">
        <v>116</v>
      </c>
      <c r="D75" s="46" t="s">
        <v>23</v>
      </c>
      <c r="E75" s="17"/>
      <c r="F75" s="17">
        <v>41</v>
      </c>
      <c r="G75" s="17">
        <f t="shared" si="3"/>
        <v>52.76</v>
      </c>
      <c r="H75" s="17">
        <f t="shared" si="6"/>
        <v>49.86</v>
      </c>
      <c r="I75" s="18">
        <f t="shared" ref="I75:I82" si="11">G75*E75</f>
        <v>0</v>
      </c>
      <c r="J75" s="174">
        <f t="shared" si="4"/>
        <v>0</v>
      </c>
    </row>
    <row r="76" spans="1:11" hidden="1" x14ac:dyDescent="0.25">
      <c r="A76" s="6" t="s">
        <v>88</v>
      </c>
      <c r="B76" s="2" t="s">
        <v>144</v>
      </c>
      <c r="C76" s="30" t="s">
        <v>117</v>
      </c>
      <c r="D76" s="46" t="s">
        <v>119</v>
      </c>
      <c r="E76" s="17"/>
      <c r="F76" s="17">
        <v>8.5</v>
      </c>
      <c r="G76" s="17">
        <f t="shared" si="3"/>
        <v>10.94</v>
      </c>
      <c r="H76" s="17">
        <f t="shared" si="6"/>
        <v>10.34</v>
      </c>
      <c r="I76" s="18">
        <f t="shared" si="11"/>
        <v>0</v>
      </c>
      <c r="J76" s="174">
        <f t="shared" si="4"/>
        <v>0</v>
      </c>
    </row>
    <row r="77" spans="1:11" hidden="1" x14ac:dyDescent="0.25">
      <c r="A77" s="6" t="s">
        <v>90</v>
      </c>
      <c r="B77" s="2" t="s">
        <v>145</v>
      </c>
      <c r="C77" s="30" t="s">
        <v>146</v>
      </c>
      <c r="D77" s="46" t="s">
        <v>23</v>
      </c>
      <c r="E77" s="17"/>
      <c r="F77" s="17">
        <v>73.75</v>
      </c>
      <c r="G77" s="17">
        <f t="shared" ref="G77:G78" si="12">F77*1.2868</f>
        <v>94.9</v>
      </c>
      <c r="H77" s="17">
        <f t="shared" ref="H77:H82" si="13">G77*0.945</f>
        <v>89.68</v>
      </c>
      <c r="I77" s="18">
        <f t="shared" si="11"/>
        <v>0</v>
      </c>
      <c r="J77" s="174">
        <f t="shared" si="4"/>
        <v>0</v>
      </c>
      <c r="K77" s="55"/>
    </row>
    <row r="78" spans="1:11" ht="30.6" hidden="1" x14ac:dyDescent="0.25">
      <c r="A78" s="6" t="s">
        <v>148</v>
      </c>
      <c r="B78" s="2" t="s">
        <v>147</v>
      </c>
      <c r="C78" s="31" t="s">
        <v>205</v>
      </c>
      <c r="D78" s="46" t="s">
        <v>119</v>
      </c>
      <c r="E78" s="17"/>
      <c r="F78" s="17">
        <v>24.64</v>
      </c>
      <c r="G78" s="17">
        <f t="shared" si="12"/>
        <v>31.71</v>
      </c>
      <c r="H78" s="17">
        <f t="shared" si="13"/>
        <v>29.97</v>
      </c>
      <c r="I78" s="18">
        <f t="shared" si="11"/>
        <v>0</v>
      </c>
      <c r="J78" s="174">
        <f t="shared" si="4"/>
        <v>0</v>
      </c>
    </row>
    <row r="79" spans="1:11" ht="22.8" customHeight="1" x14ac:dyDescent="0.25">
      <c r="A79" s="6" t="s">
        <v>18</v>
      </c>
      <c r="B79" s="2" t="str">
        <f>Composições!C3</f>
        <v xml:space="preserve"> ED-9054 </v>
      </c>
      <c r="C79" s="31" t="str">
        <f>Composições!C4</f>
        <v>FORNECIMENTO DE CONCRETO ESTRUTURAL, USINADO BOMBEADO, AUTO-ADENSÁVEL, COM FCK 30MPA, INCLUSIVE LANÇAMENTO E ACABAMENTO</v>
      </c>
      <c r="D79" s="46" t="str">
        <f>Composições!C9</f>
        <v>m³</v>
      </c>
      <c r="E79" s="17">
        <v>1000</v>
      </c>
      <c r="F79" s="17" t="str">
        <f>Composições!C11</f>
        <v>783,63</v>
      </c>
      <c r="G79" s="17">
        <f>F79*1.2864</f>
        <v>1008.06</v>
      </c>
      <c r="H79" s="17">
        <f t="shared" si="13"/>
        <v>952.62</v>
      </c>
      <c r="I79" s="18">
        <f t="shared" si="11"/>
        <v>1008060</v>
      </c>
      <c r="J79" s="174">
        <f t="shared" si="4"/>
        <v>705642</v>
      </c>
    </row>
    <row r="80" spans="1:11" ht="13.2" customHeight="1" x14ac:dyDescent="0.25">
      <c r="A80" s="6" t="s">
        <v>257</v>
      </c>
      <c r="B80" s="2" t="str">
        <f>Composições!C18</f>
        <v xml:space="preserve"> 54.08.010 </v>
      </c>
      <c r="C80" s="31" t="str">
        <f>Composições!C19</f>
        <v>Fibra em polipropileno (macrofibra), resistência residual 4,3+-0,3 Mpa</v>
      </c>
      <c r="D80" s="46" t="str">
        <f>Composições!C23</f>
        <v>KG</v>
      </c>
      <c r="E80" s="17">
        <f>E79/2</f>
        <v>500</v>
      </c>
      <c r="F80" s="17" t="str">
        <f>Composições!C25</f>
        <v>49,59</v>
      </c>
      <c r="G80" s="17">
        <f t="shared" ref="G80:G82" si="14">F80*1.2864</f>
        <v>63.79</v>
      </c>
      <c r="H80" s="17">
        <f t="shared" si="13"/>
        <v>60.28</v>
      </c>
      <c r="I80" s="18">
        <f t="shared" si="11"/>
        <v>31895</v>
      </c>
      <c r="J80" s="174">
        <f t="shared" si="4"/>
        <v>22326.5</v>
      </c>
    </row>
    <row r="81" spans="1:10" ht="10.199999999999999" customHeight="1" x14ac:dyDescent="0.25">
      <c r="A81" s="6" t="s">
        <v>258</v>
      </c>
      <c r="B81" s="2" t="s">
        <v>419</v>
      </c>
      <c r="C81" s="31" t="str">
        <f>Composições!C32</f>
        <v>Polimento de piso cimentado - R1</v>
      </c>
      <c r="D81" s="46" t="str">
        <f>Composições!C36</f>
        <v>m²</v>
      </c>
      <c r="E81" s="17">
        <f>E79/0.08</f>
        <v>12500</v>
      </c>
      <c r="F81" s="17" t="str">
        <f>Composições!C38</f>
        <v>28,00</v>
      </c>
      <c r="G81" s="17">
        <f t="shared" si="14"/>
        <v>36.020000000000003</v>
      </c>
      <c r="H81" s="17">
        <f t="shared" si="13"/>
        <v>34.04</v>
      </c>
      <c r="I81" s="18">
        <f t="shared" si="11"/>
        <v>450250</v>
      </c>
      <c r="J81" s="174">
        <f t="shared" si="4"/>
        <v>315175</v>
      </c>
    </row>
    <row r="82" spans="1:10" ht="14.4" customHeight="1" x14ac:dyDescent="0.25">
      <c r="A82" s="6" t="s">
        <v>259</v>
      </c>
      <c r="B82" s="2" t="str">
        <f>Composições!C43</f>
        <v xml:space="preserve"> 11.20.050 </v>
      </c>
      <c r="C82" s="31" t="str">
        <f>Composições!C44</f>
        <v>Corte de junta de dilatação, com serra de disco diamantado para pisos</v>
      </c>
      <c r="D82" s="46" t="str">
        <f>Composições!C48</f>
        <v>M</v>
      </c>
      <c r="E82" s="17">
        <f>E81/4</f>
        <v>3125</v>
      </c>
      <c r="F82" s="17" t="str">
        <f>Composições!C50</f>
        <v>20,01</v>
      </c>
      <c r="G82" s="17">
        <f t="shared" si="14"/>
        <v>25.74</v>
      </c>
      <c r="H82" s="17">
        <f t="shared" si="13"/>
        <v>24.32</v>
      </c>
      <c r="I82" s="18">
        <f t="shared" si="11"/>
        <v>80437.5</v>
      </c>
      <c r="J82" s="174">
        <f t="shared" si="4"/>
        <v>56306.25</v>
      </c>
    </row>
    <row r="83" spans="1:10" ht="13.8" thickBot="1" x14ac:dyDescent="0.3">
      <c r="A83" s="6"/>
      <c r="B83" s="2"/>
      <c r="C83" s="60"/>
      <c r="D83" s="46"/>
      <c r="E83" s="139"/>
      <c r="F83" s="17"/>
      <c r="G83" s="17"/>
      <c r="H83" s="17"/>
      <c r="I83" s="18"/>
      <c r="J83" s="174">
        <f t="shared" si="4"/>
        <v>0</v>
      </c>
    </row>
    <row r="84" spans="1:10" ht="13.8" thickBot="1" x14ac:dyDescent="0.3">
      <c r="A84" s="222"/>
      <c r="B84" s="223"/>
      <c r="C84" s="224"/>
      <c r="D84" s="223"/>
      <c r="E84" s="225"/>
      <c r="F84" s="372" t="s">
        <v>335</v>
      </c>
      <c r="G84" s="373"/>
      <c r="H84" s="225"/>
      <c r="I84" s="226">
        <f>I82+I81+I80+I79</f>
        <v>1570642.5</v>
      </c>
      <c r="J84" s="175" t="e">
        <f>J85+J86+J87+J88+J89+J90+J91+J93+J94+J95+J96+J97+J98+J102+J101+J99+J100+J92</f>
        <v>#REF!</v>
      </c>
    </row>
    <row r="85" spans="1:10" ht="0.6" customHeight="1" x14ac:dyDescent="0.25">
      <c r="A85" s="370" t="s">
        <v>333</v>
      </c>
      <c r="B85" s="371"/>
      <c r="C85" s="371"/>
      <c r="D85" s="182"/>
      <c r="E85" s="184"/>
      <c r="F85" s="184"/>
      <c r="G85" s="184"/>
      <c r="H85" s="184"/>
      <c r="I85" s="211"/>
      <c r="J85" s="174" t="e">
        <f>#REF!*0.7</f>
        <v>#REF!</v>
      </c>
    </row>
    <row r="86" spans="1:10" ht="31.8" customHeight="1" x14ac:dyDescent="0.25">
      <c r="A86" s="210"/>
      <c r="B86" s="182"/>
      <c r="C86" s="183"/>
      <c r="D86" s="182"/>
      <c r="E86" s="184"/>
      <c r="F86" s="184"/>
      <c r="G86" s="184"/>
      <c r="H86" s="184"/>
      <c r="I86" s="211"/>
      <c r="J86" s="174" t="e">
        <f>#REF!*0.7</f>
        <v>#REF!</v>
      </c>
    </row>
    <row r="87" spans="1:10" ht="42.6" customHeight="1" x14ac:dyDescent="0.25">
      <c r="A87" s="212"/>
      <c r="B87" s="185"/>
      <c r="C87" s="186"/>
      <c r="D87" s="182"/>
      <c r="E87" s="184"/>
      <c r="F87" s="184"/>
      <c r="G87" s="184"/>
      <c r="H87" s="184"/>
      <c r="I87" s="213"/>
      <c r="J87" s="174" t="e">
        <f>#REF!*0.7</f>
        <v>#REF!</v>
      </c>
    </row>
    <row r="88" spans="1:10" ht="8.4" customHeight="1" x14ac:dyDescent="0.25">
      <c r="A88" s="210"/>
      <c r="B88" s="182"/>
      <c r="C88" s="183"/>
      <c r="D88" s="182"/>
      <c r="E88" s="184"/>
      <c r="F88" s="184"/>
      <c r="G88" s="184"/>
      <c r="H88" s="184"/>
      <c r="I88" s="211"/>
      <c r="J88" s="174" t="e">
        <f>#REF!*0.7</f>
        <v>#REF!</v>
      </c>
    </row>
    <row r="89" spans="1:10" ht="34.799999999999997" hidden="1" customHeight="1" x14ac:dyDescent="0.25">
      <c r="A89" s="210"/>
      <c r="B89" s="182"/>
      <c r="C89" s="183"/>
      <c r="D89" s="182"/>
      <c r="E89" s="184"/>
      <c r="F89" s="184"/>
      <c r="G89" s="184"/>
      <c r="H89" s="184"/>
      <c r="I89" s="211"/>
      <c r="J89" s="174" t="e">
        <f>#REF!*0.7</f>
        <v>#REF!</v>
      </c>
    </row>
    <row r="90" spans="1:10" hidden="1" x14ac:dyDescent="0.25">
      <c r="A90" s="210"/>
      <c r="B90" s="182"/>
      <c r="C90" s="183"/>
      <c r="D90" s="182"/>
      <c r="E90" s="184"/>
      <c r="F90" s="184"/>
      <c r="G90" s="184"/>
      <c r="H90" s="184"/>
      <c r="I90" s="211"/>
      <c r="J90" s="174" t="e">
        <f>#REF!*0.7</f>
        <v>#REF!</v>
      </c>
    </row>
    <row r="91" spans="1:10" ht="3" customHeight="1" thickBot="1" x14ac:dyDescent="0.3">
      <c r="A91" s="214"/>
      <c r="B91" s="215"/>
      <c r="C91" s="216"/>
      <c r="D91" s="215"/>
      <c r="E91" s="217"/>
      <c r="F91" s="217"/>
      <c r="G91" s="217"/>
      <c r="H91" s="217"/>
      <c r="I91" s="218"/>
      <c r="J91" s="174" t="e">
        <f>#REF!*0.7</f>
        <v>#REF!</v>
      </c>
    </row>
    <row r="92" spans="1:10" ht="0.6" customHeight="1" x14ac:dyDescent="0.25">
      <c r="A92" s="182"/>
      <c r="B92" s="182"/>
      <c r="C92" s="183"/>
      <c r="D92" s="182"/>
      <c r="E92" s="184"/>
      <c r="F92" s="184"/>
      <c r="G92" s="184"/>
      <c r="H92" s="184"/>
      <c r="I92" s="184"/>
      <c r="J92" s="174" t="e">
        <f>#REF!*0.7</f>
        <v>#REF!</v>
      </c>
    </row>
    <row r="93" spans="1:10" ht="65.400000000000006" customHeight="1" x14ac:dyDescent="0.25">
      <c r="A93" s="185"/>
      <c r="B93" s="182"/>
      <c r="C93" s="122"/>
      <c r="D93" s="122"/>
      <c r="E93" s="188"/>
      <c r="F93" s="188"/>
      <c r="G93" s="184"/>
      <c r="H93" s="184"/>
      <c r="I93" s="189"/>
      <c r="J93" s="174" t="e">
        <f>#REF!*0.7</f>
        <v>#REF!</v>
      </c>
    </row>
    <row r="94" spans="1:10" ht="42.6" customHeight="1" x14ac:dyDescent="0.25">
      <c r="A94" s="182"/>
      <c r="B94" s="190"/>
      <c r="C94" s="183"/>
      <c r="D94" s="182"/>
      <c r="E94" s="184"/>
      <c r="F94" s="184"/>
      <c r="G94" s="184"/>
      <c r="H94" s="184"/>
      <c r="I94" s="184"/>
      <c r="J94" s="174" t="e">
        <f>#REF!*0.7</f>
        <v>#REF!</v>
      </c>
    </row>
    <row r="95" spans="1:10" ht="42.6" customHeight="1" x14ac:dyDescent="0.25">
      <c r="A95" s="182"/>
      <c r="B95" s="190"/>
      <c r="C95" s="183"/>
      <c r="D95" s="190"/>
      <c r="E95" s="184"/>
      <c r="F95" s="184"/>
      <c r="G95" s="184"/>
      <c r="H95" s="184"/>
      <c r="I95" s="184"/>
      <c r="J95" s="174" t="e">
        <f>#REF!*0.7</f>
        <v>#REF!</v>
      </c>
    </row>
    <row r="96" spans="1:10" ht="34.799999999999997" customHeight="1" x14ac:dyDescent="0.25">
      <c r="A96" s="182"/>
      <c r="B96" s="190"/>
      <c r="C96" s="183"/>
      <c r="D96" s="190"/>
      <c r="E96" s="184"/>
      <c r="F96" s="184"/>
      <c r="G96" s="184"/>
      <c r="H96" s="184"/>
      <c r="I96" s="184"/>
      <c r="J96" s="174" t="e">
        <f>#REF!*0.7</f>
        <v>#REF!</v>
      </c>
    </row>
    <row r="97" spans="1:12" x14ac:dyDescent="0.25">
      <c r="A97" s="182"/>
      <c r="B97" s="190"/>
      <c r="C97" s="183"/>
      <c r="D97" s="182"/>
      <c r="E97" s="184"/>
      <c r="F97" s="184"/>
      <c r="G97" s="184"/>
      <c r="H97" s="184"/>
      <c r="I97" s="184"/>
      <c r="J97" s="174">
        <f t="shared" ref="J97:J102" si="15">I84*0.7</f>
        <v>1099449.75</v>
      </c>
    </row>
    <row r="98" spans="1:12" x14ac:dyDescent="0.25">
      <c r="A98" s="182"/>
      <c r="B98" s="190"/>
      <c r="C98" s="183"/>
      <c r="D98" s="182"/>
      <c r="E98" s="184"/>
      <c r="F98" s="184"/>
      <c r="G98" s="184"/>
      <c r="H98" s="184"/>
      <c r="I98" s="184"/>
      <c r="J98" s="174">
        <f t="shared" si="15"/>
        <v>0</v>
      </c>
      <c r="L98" s="219" t="s">
        <v>334</v>
      </c>
    </row>
    <row r="99" spans="1:12" x14ac:dyDescent="0.25">
      <c r="A99" s="188"/>
      <c r="B99" s="188"/>
      <c r="C99" s="186"/>
      <c r="D99" s="185"/>
      <c r="E99" s="187"/>
      <c r="F99" s="187"/>
      <c r="G99" s="184"/>
      <c r="H99" s="184"/>
      <c r="I99" s="187"/>
      <c r="J99" s="174">
        <f t="shared" si="15"/>
        <v>0</v>
      </c>
    </row>
    <row r="100" spans="1:12" x14ac:dyDescent="0.25">
      <c r="A100" s="182"/>
      <c r="B100" s="190"/>
      <c r="C100" s="183"/>
      <c r="D100" s="182"/>
      <c r="E100" s="184"/>
      <c r="F100" s="184"/>
      <c r="G100" s="184"/>
      <c r="H100" s="184"/>
      <c r="I100" s="184"/>
      <c r="J100" s="174">
        <f t="shared" si="15"/>
        <v>0</v>
      </c>
    </row>
    <row r="101" spans="1:12" x14ac:dyDescent="0.25">
      <c r="A101" s="182"/>
      <c r="B101" s="190"/>
      <c r="C101" s="183"/>
      <c r="D101" s="182"/>
      <c r="E101" s="184"/>
      <c r="F101" s="184"/>
      <c r="G101" s="184"/>
      <c r="H101" s="184"/>
      <c r="I101" s="184"/>
      <c r="J101" s="174">
        <f t="shared" si="15"/>
        <v>0</v>
      </c>
    </row>
    <row r="102" spans="1:12" x14ac:dyDescent="0.25">
      <c r="A102" s="182"/>
      <c r="B102" s="190"/>
      <c r="C102" s="183"/>
      <c r="D102" s="182"/>
      <c r="E102" s="184"/>
      <c r="F102" s="184"/>
      <c r="G102" s="184"/>
      <c r="H102" s="184"/>
      <c r="I102" s="184"/>
      <c r="J102" s="174">
        <f t="shared" si="15"/>
        <v>0</v>
      </c>
    </row>
    <row r="103" spans="1:12" x14ac:dyDescent="0.25">
      <c r="A103" s="182"/>
      <c r="B103" s="190"/>
      <c r="C103" s="183"/>
      <c r="D103" s="182"/>
      <c r="E103" s="184"/>
      <c r="F103" s="184"/>
      <c r="G103" s="184"/>
      <c r="H103" s="184"/>
      <c r="I103" s="184"/>
      <c r="J103" s="175">
        <f>J104</f>
        <v>0</v>
      </c>
    </row>
    <row r="104" spans="1:12" x14ac:dyDescent="0.25">
      <c r="A104" s="182"/>
      <c r="B104" s="190"/>
      <c r="C104" s="183"/>
      <c r="D104" s="182"/>
      <c r="E104" s="184"/>
      <c r="F104" s="184"/>
      <c r="G104" s="184"/>
      <c r="H104" s="184"/>
      <c r="I104" s="184"/>
      <c r="J104" s="174">
        <f t="shared" ref="J104" si="16">I91*0.7</f>
        <v>0</v>
      </c>
    </row>
    <row r="105" spans="1:12" ht="1.2" customHeight="1" x14ac:dyDescent="0.25">
      <c r="A105" s="182"/>
      <c r="B105" s="190"/>
      <c r="C105" s="183"/>
      <c r="D105" s="182"/>
      <c r="E105" s="184"/>
      <c r="F105" s="184"/>
      <c r="G105" s="184"/>
      <c r="H105" s="184"/>
      <c r="I105" s="184"/>
      <c r="J105" s="176">
        <f>J23+J11</f>
        <v>1242.08</v>
      </c>
    </row>
    <row r="106" spans="1:12" hidden="1" x14ac:dyDescent="0.25">
      <c r="A106" s="182"/>
      <c r="B106" s="190"/>
      <c r="C106" s="183"/>
      <c r="D106" s="182"/>
      <c r="E106" s="184"/>
      <c r="F106" s="184"/>
      <c r="G106" s="184"/>
      <c r="H106" s="184"/>
      <c r="I106" s="184"/>
      <c r="J106" s="128"/>
    </row>
    <row r="107" spans="1:12" ht="7.8" hidden="1" customHeight="1" x14ac:dyDescent="0.25">
      <c r="A107" s="185"/>
      <c r="B107" s="185"/>
      <c r="C107" s="186"/>
      <c r="D107" s="185"/>
      <c r="E107" s="187"/>
      <c r="F107" s="187"/>
      <c r="G107" s="184"/>
      <c r="H107" s="184"/>
      <c r="I107" s="187"/>
      <c r="J107" s="10"/>
    </row>
    <row r="108" spans="1:12" ht="13.2" hidden="1" customHeight="1" x14ac:dyDescent="0.25">
      <c r="A108" s="182"/>
      <c r="B108" s="182"/>
      <c r="C108" s="183"/>
      <c r="D108" s="182"/>
      <c r="E108" s="184"/>
      <c r="F108" s="184"/>
      <c r="G108" s="184"/>
      <c r="H108" s="184"/>
      <c r="I108" s="184"/>
      <c r="J108" s="10"/>
    </row>
    <row r="109" spans="1:12" hidden="1" x14ac:dyDescent="0.25">
      <c r="A109" s="182"/>
      <c r="B109" s="182"/>
      <c r="C109" s="183"/>
      <c r="D109" s="182"/>
      <c r="E109" s="184"/>
      <c r="F109" s="184"/>
      <c r="G109" s="184"/>
      <c r="H109" s="184"/>
      <c r="I109" s="184"/>
      <c r="J109" s="10"/>
    </row>
    <row r="110" spans="1:12" hidden="1" x14ac:dyDescent="0.25">
      <c r="A110" s="182"/>
      <c r="B110" s="182"/>
      <c r="C110" s="183"/>
      <c r="D110" s="182"/>
      <c r="E110" s="184"/>
      <c r="F110" s="184"/>
      <c r="G110" s="184"/>
      <c r="H110" s="184"/>
      <c r="I110" s="184"/>
      <c r="J110" s="10"/>
    </row>
    <row r="111" spans="1:12" ht="1.8" hidden="1" customHeight="1" x14ac:dyDescent="0.25">
      <c r="A111" s="182"/>
      <c r="B111" s="182"/>
      <c r="C111" s="183"/>
      <c r="D111" s="182"/>
      <c r="E111" s="184"/>
      <c r="F111" s="184"/>
      <c r="G111" s="184"/>
      <c r="H111" s="184"/>
      <c r="I111" s="184"/>
      <c r="J111" s="10"/>
    </row>
    <row r="112" spans="1:12" ht="13.2" hidden="1" customHeight="1" thickBot="1" x14ac:dyDescent="0.3">
      <c r="A112" s="182"/>
      <c r="B112" s="182"/>
      <c r="C112" s="183"/>
      <c r="D112" s="182"/>
      <c r="E112" s="184"/>
      <c r="F112" s="184"/>
      <c r="G112" s="184"/>
      <c r="H112" s="184"/>
      <c r="I112" s="184"/>
      <c r="J112" s="13"/>
    </row>
    <row r="113" spans="1:9" hidden="1" x14ac:dyDescent="0.25">
      <c r="A113" s="182"/>
      <c r="B113" s="182"/>
      <c r="C113" s="183"/>
      <c r="D113" s="182"/>
      <c r="E113" s="184"/>
      <c r="F113" s="184"/>
      <c r="G113" s="184"/>
      <c r="H113" s="184"/>
      <c r="I113" s="184"/>
    </row>
    <row r="114" spans="1:9" x14ac:dyDescent="0.25">
      <c r="A114" s="182"/>
      <c r="B114" s="182"/>
      <c r="C114" s="183"/>
      <c r="D114" s="182"/>
      <c r="E114" s="184"/>
      <c r="F114" s="184"/>
      <c r="G114" s="184"/>
      <c r="H114" s="184"/>
      <c r="I114" s="184"/>
    </row>
    <row r="115" spans="1:9" x14ac:dyDescent="0.25">
      <c r="A115" s="182"/>
      <c r="B115" s="182"/>
      <c r="C115" s="183"/>
      <c r="D115" s="182"/>
      <c r="E115" s="184"/>
      <c r="F115" s="184"/>
      <c r="G115" s="184"/>
      <c r="H115" s="184"/>
      <c r="I115" s="184"/>
    </row>
    <row r="116" spans="1:9" x14ac:dyDescent="0.25">
      <c r="A116" s="185"/>
      <c r="B116" s="185"/>
      <c r="C116" s="122"/>
      <c r="D116" s="122"/>
      <c r="E116" s="188"/>
      <c r="F116" s="188"/>
      <c r="G116" s="184"/>
      <c r="H116" s="184"/>
      <c r="I116" s="191"/>
    </row>
    <row r="117" spans="1:9" x14ac:dyDescent="0.25">
      <c r="A117" s="182"/>
      <c r="B117" s="182"/>
      <c r="C117" s="183"/>
      <c r="D117" s="182"/>
      <c r="E117" s="184"/>
      <c r="F117" s="184"/>
      <c r="G117" s="184"/>
      <c r="H117" s="184"/>
      <c r="I117" s="184"/>
    </row>
    <row r="118" spans="1:9" ht="61.2" x14ac:dyDescent="0.25">
      <c r="A118" s="177" t="s">
        <v>105</v>
      </c>
      <c r="B118" s="178" t="s">
        <v>102</v>
      </c>
      <c r="C118" s="179" t="s">
        <v>101</v>
      </c>
      <c r="D118" s="180" t="s">
        <v>41</v>
      </c>
      <c r="E118" s="181"/>
      <c r="F118" s="181">
        <v>100.05</v>
      </c>
      <c r="G118" s="181">
        <f t="shared" ref="G118:G138" si="17">F118*1.2868</f>
        <v>128.74</v>
      </c>
      <c r="H118" s="181">
        <f t="shared" ref="H118:H142" si="18">G118*0.945</f>
        <v>121.66</v>
      </c>
      <c r="I118" s="181">
        <f t="shared" ref="I118:I123" si="19">G118*E118</f>
        <v>0</v>
      </c>
    </row>
    <row r="119" spans="1:9" ht="30.6" x14ac:dyDescent="0.25">
      <c r="A119" s="6" t="s">
        <v>106</v>
      </c>
      <c r="B119" s="2" t="s">
        <v>107</v>
      </c>
      <c r="C119" s="3" t="s">
        <v>170</v>
      </c>
      <c r="D119" s="1" t="s">
        <v>41</v>
      </c>
      <c r="E119" s="17"/>
      <c r="F119" s="17">
        <v>114.95</v>
      </c>
      <c r="G119" s="17">
        <f t="shared" si="17"/>
        <v>147.91999999999999</v>
      </c>
      <c r="H119" s="17">
        <f t="shared" si="18"/>
        <v>139.78</v>
      </c>
      <c r="I119" s="17">
        <f t="shared" si="19"/>
        <v>0</v>
      </c>
    </row>
    <row r="120" spans="1:9" x14ac:dyDescent="0.25">
      <c r="A120" s="6" t="s">
        <v>106</v>
      </c>
      <c r="B120" s="2" t="s">
        <v>175</v>
      </c>
      <c r="C120" s="3" t="s">
        <v>176</v>
      </c>
      <c r="D120" s="1" t="s">
        <v>41</v>
      </c>
      <c r="E120" s="17"/>
      <c r="F120" s="17">
        <v>22.62</v>
      </c>
      <c r="G120" s="17">
        <f t="shared" si="17"/>
        <v>29.11</v>
      </c>
      <c r="H120" s="17">
        <f t="shared" si="18"/>
        <v>27.51</v>
      </c>
      <c r="I120" s="17">
        <f t="shared" si="19"/>
        <v>0</v>
      </c>
    </row>
    <row r="121" spans="1:9" ht="40.799999999999997" x14ac:dyDescent="0.25">
      <c r="A121" s="6" t="s">
        <v>108</v>
      </c>
      <c r="B121" s="2" t="s">
        <v>253</v>
      </c>
      <c r="C121" s="3" t="s">
        <v>169</v>
      </c>
      <c r="D121" s="1" t="s">
        <v>41</v>
      </c>
      <c r="E121" s="17"/>
      <c r="F121" s="17">
        <v>40.880000000000003</v>
      </c>
      <c r="G121" s="17">
        <f t="shared" si="17"/>
        <v>52.6</v>
      </c>
      <c r="H121" s="17">
        <f t="shared" si="18"/>
        <v>49.71</v>
      </c>
      <c r="I121" s="17">
        <f t="shared" si="19"/>
        <v>0</v>
      </c>
    </row>
    <row r="122" spans="1:9" ht="20.399999999999999" x14ac:dyDescent="0.25">
      <c r="A122" s="6" t="s">
        <v>201</v>
      </c>
      <c r="B122" s="2" t="s">
        <v>252</v>
      </c>
      <c r="C122" s="3" t="s">
        <v>254</v>
      </c>
      <c r="D122" s="1" t="s">
        <v>235</v>
      </c>
      <c r="E122" s="17"/>
      <c r="F122" s="17">
        <v>1669.92</v>
      </c>
      <c r="G122" s="17">
        <f t="shared" si="17"/>
        <v>2148.85</v>
      </c>
      <c r="H122" s="17">
        <f t="shared" si="18"/>
        <v>2030.66</v>
      </c>
      <c r="I122" s="17">
        <f t="shared" si="19"/>
        <v>0</v>
      </c>
    </row>
    <row r="123" spans="1:9" ht="81.599999999999994" x14ac:dyDescent="0.25">
      <c r="A123" s="6" t="s">
        <v>200</v>
      </c>
      <c r="B123" s="2" t="s">
        <v>103</v>
      </c>
      <c r="C123" s="3" t="s">
        <v>104</v>
      </c>
      <c r="D123" s="1" t="s">
        <v>41</v>
      </c>
      <c r="E123" s="17"/>
      <c r="F123" s="17">
        <v>299.76</v>
      </c>
      <c r="G123" s="17">
        <f t="shared" si="17"/>
        <v>385.73</v>
      </c>
      <c r="H123" s="17">
        <f t="shared" si="18"/>
        <v>364.51</v>
      </c>
      <c r="I123" s="17">
        <f t="shared" si="19"/>
        <v>0</v>
      </c>
    </row>
    <row r="124" spans="1:9" x14ac:dyDescent="0.25">
      <c r="A124" s="7">
        <v>8</v>
      </c>
      <c r="B124" s="29"/>
      <c r="C124" s="5" t="s">
        <v>38</v>
      </c>
      <c r="D124" s="4"/>
      <c r="E124" s="15"/>
      <c r="F124" s="15"/>
      <c r="G124" s="17">
        <f t="shared" si="17"/>
        <v>0</v>
      </c>
      <c r="H124" s="17">
        <f t="shared" si="18"/>
        <v>0</v>
      </c>
      <c r="I124" s="43">
        <f>I125+I126+I127+I133+I128+I129+I130+I132+I131</f>
        <v>0</v>
      </c>
    </row>
    <row r="125" spans="1:9" ht="20.399999999999999" x14ac:dyDescent="0.25">
      <c r="A125" s="8" t="s">
        <v>109</v>
      </c>
      <c r="B125" s="2" t="s">
        <v>111</v>
      </c>
      <c r="C125" s="14" t="s">
        <v>243</v>
      </c>
      <c r="D125" s="2" t="s">
        <v>42</v>
      </c>
      <c r="E125" s="16"/>
      <c r="F125" s="16">
        <v>3.31</v>
      </c>
      <c r="G125" s="17">
        <f t="shared" si="17"/>
        <v>4.26</v>
      </c>
      <c r="H125" s="17">
        <f t="shared" si="18"/>
        <v>4.03</v>
      </c>
      <c r="I125" s="16">
        <f t="shared" ref="I125:I133" si="20">G125*E125</f>
        <v>0</v>
      </c>
    </row>
    <row r="126" spans="1:9" ht="30.6" x14ac:dyDescent="0.25">
      <c r="A126" s="8" t="s">
        <v>110</v>
      </c>
      <c r="B126" s="2" t="s">
        <v>113</v>
      </c>
      <c r="C126" s="14" t="s">
        <v>112</v>
      </c>
      <c r="D126" s="2" t="s">
        <v>23</v>
      </c>
      <c r="E126" s="16"/>
      <c r="F126" s="16">
        <v>18.04</v>
      </c>
      <c r="G126" s="17">
        <f t="shared" si="17"/>
        <v>23.21</v>
      </c>
      <c r="H126" s="17">
        <f t="shared" si="18"/>
        <v>21.93</v>
      </c>
      <c r="I126" s="16">
        <f t="shared" si="20"/>
        <v>0</v>
      </c>
    </row>
    <row r="127" spans="1:9" x14ac:dyDescent="0.25">
      <c r="A127" s="8" t="s">
        <v>114</v>
      </c>
      <c r="B127" s="2" t="s">
        <v>161</v>
      </c>
      <c r="C127" s="14" t="s">
        <v>158</v>
      </c>
      <c r="D127" s="2" t="s">
        <v>23</v>
      </c>
      <c r="E127" s="16"/>
      <c r="F127" s="16">
        <v>2.19</v>
      </c>
      <c r="G127" s="17">
        <f t="shared" si="17"/>
        <v>2.82</v>
      </c>
      <c r="H127" s="17">
        <f t="shared" si="18"/>
        <v>2.66</v>
      </c>
      <c r="I127" s="16">
        <f t="shared" si="20"/>
        <v>0</v>
      </c>
    </row>
    <row r="128" spans="1:9" x14ac:dyDescent="0.25">
      <c r="A128" s="8" t="s">
        <v>115</v>
      </c>
      <c r="B128" s="2" t="s">
        <v>159</v>
      </c>
      <c r="C128" s="14" t="s">
        <v>160</v>
      </c>
      <c r="D128" s="2" t="s">
        <v>23</v>
      </c>
      <c r="E128" s="16"/>
      <c r="F128" s="16">
        <v>2.4700000000000002</v>
      </c>
      <c r="G128" s="17">
        <f t="shared" si="17"/>
        <v>3.18</v>
      </c>
      <c r="H128" s="17">
        <f t="shared" si="18"/>
        <v>3.01</v>
      </c>
      <c r="I128" s="16">
        <f t="shared" si="20"/>
        <v>0</v>
      </c>
    </row>
    <row r="129" spans="1:9" ht="20.399999999999999" x14ac:dyDescent="0.25">
      <c r="A129" s="8" t="s">
        <v>198</v>
      </c>
      <c r="B129" s="2" t="s">
        <v>157</v>
      </c>
      <c r="C129" s="14" t="s">
        <v>156</v>
      </c>
      <c r="D129" s="2" t="s">
        <v>23</v>
      </c>
      <c r="E129" s="16"/>
      <c r="F129" s="16">
        <v>16.5</v>
      </c>
      <c r="G129" s="17">
        <f t="shared" si="17"/>
        <v>21.23</v>
      </c>
      <c r="H129" s="17">
        <f t="shared" si="18"/>
        <v>20.059999999999999</v>
      </c>
      <c r="I129" s="16">
        <f t="shared" si="20"/>
        <v>0</v>
      </c>
    </row>
    <row r="130" spans="1:9" ht="68.400000000000006" customHeight="1" x14ac:dyDescent="0.25">
      <c r="A130" s="8" t="s">
        <v>199</v>
      </c>
      <c r="B130" s="2" t="s">
        <v>237</v>
      </c>
      <c r="C130" s="14" t="s">
        <v>165</v>
      </c>
      <c r="D130" s="2" t="s">
        <v>23</v>
      </c>
      <c r="E130" s="16"/>
      <c r="F130" s="16">
        <v>22.48</v>
      </c>
      <c r="G130" s="17">
        <f t="shared" si="17"/>
        <v>28.93</v>
      </c>
      <c r="H130" s="17">
        <f t="shared" si="18"/>
        <v>27.34</v>
      </c>
      <c r="I130" s="16">
        <f t="shared" si="20"/>
        <v>0</v>
      </c>
    </row>
    <row r="131" spans="1:9" ht="20.399999999999999" hidden="1" x14ac:dyDescent="0.25">
      <c r="A131" s="8" t="s">
        <v>234</v>
      </c>
      <c r="B131" s="2" t="s">
        <v>255</v>
      </c>
      <c r="C131" s="14" t="s">
        <v>256</v>
      </c>
      <c r="D131" s="2" t="s">
        <v>23</v>
      </c>
      <c r="E131" s="16"/>
      <c r="F131" s="16">
        <v>22.61</v>
      </c>
      <c r="G131" s="17">
        <f t="shared" si="17"/>
        <v>29.09</v>
      </c>
      <c r="H131" s="17">
        <f t="shared" si="18"/>
        <v>27.49</v>
      </c>
      <c r="I131" s="16">
        <f t="shared" si="20"/>
        <v>0</v>
      </c>
    </row>
    <row r="132" spans="1:9" hidden="1" x14ac:dyDescent="0.25">
      <c r="A132" s="8" t="s">
        <v>267</v>
      </c>
      <c r="B132" s="2" t="s">
        <v>236</v>
      </c>
      <c r="C132" s="14" t="s">
        <v>238</v>
      </c>
      <c r="D132" s="2" t="str">
        <f>D130</f>
        <v>m²</v>
      </c>
      <c r="E132" s="16"/>
      <c r="F132" s="16">
        <v>49.97</v>
      </c>
      <c r="G132" s="17">
        <f t="shared" si="17"/>
        <v>64.3</v>
      </c>
      <c r="H132" s="17">
        <f t="shared" si="18"/>
        <v>60.76</v>
      </c>
      <c r="I132" s="16">
        <f t="shared" si="20"/>
        <v>0</v>
      </c>
    </row>
    <row r="133" spans="1:9" ht="20.399999999999999" hidden="1" x14ac:dyDescent="0.25">
      <c r="A133" s="8" t="s">
        <v>234</v>
      </c>
      <c r="B133" s="2" t="s">
        <v>162</v>
      </c>
      <c r="C133" s="14" t="s">
        <v>163</v>
      </c>
      <c r="D133" s="2" t="s">
        <v>23</v>
      </c>
      <c r="E133" s="16"/>
      <c r="F133" s="16">
        <v>14.74</v>
      </c>
      <c r="G133" s="17">
        <f t="shared" si="17"/>
        <v>18.97</v>
      </c>
      <c r="H133" s="17">
        <f t="shared" si="18"/>
        <v>17.93</v>
      </c>
      <c r="I133" s="16">
        <f t="shared" si="20"/>
        <v>0</v>
      </c>
    </row>
    <row r="134" spans="1:9" hidden="1" x14ac:dyDescent="0.25">
      <c r="A134" s="7">
        <v>9</v>
      </c>
      <c r="B134" s="29"/>
      <c r="C134" s="5" t="s">
        <v>143</v>
      </c>
      <c r="D134" s="4"/>
      <c r="E134" s="15"/>
      <c r="F134" s="15"/>
      <c r="G134" s="17">
        <f t="shared" si="17"/>
        <v>0</v>
      </c>
      <c r="H134" s="17">
        <f t="shared" si="18"/>
        <v>0</v>
      </c>
      <c r="I134" s="43">
        <f>I135+I137+I136+I138+I139+I140+I141+I142+I143</f>
        <v>0</v>
      </c>
    </row>
    <row r="135" spans="1:9" hidden="1" x14ac:dyDescent="0.25">
      <c r="A135" s="6" t="s">
        <v>86</v>
      </c>
      <c r="B135" s="2" t="s">
        <v>118</v>
      </c>
      <c r="C135" s="3" t="s">
        <v>116</v>
      </c>
      <c r="D135" s="1" t="s">
        <v>23</v>
      </c>
      <c r="E135" s="17"/>
      <c r="F135" s="17">
        <v>41</v>
      </c>
      <c r="G135" s="17">
        <f t="shared" si="17"/>
        <v>52.76</v>
      </c>
      <c r="H135" s="17">
        <f t="shared" si="18"/>
        <v>49.86</v>
      </c>
      <c r="I135" s="17">
        <f t="shared" ref="I135:I142" si="21">G135*E135</f>
        <v>0</v>
      </c>
    </row>
    <row r="136" spans="1:9" ht="37.799999999999997" hidden="1" customHeight="1" x14ac:dyDescent="0.25">
      <c r="A136" s="6" t="s">
        <v>88</v>
      </c>
      <c r="B136" s="2" t="s">
        <v>144</v>
      </c>
      <c r="C136" s="30" t="s">
        <v>117</v>
      </c>
      <c r="D136" s="1" t="s">
        <v>119</v>
      </c>
      <c r="E136" s="17"/>
      <c r="F136" s="17">
        <v>8.5</v>
      </c>
      <c r="G136" s="17">
        <f t="shared" si="17"/>
        <v>10.94</v>
      </c>
      <c r="H136" s="17">
        <f t="shared" si="18"/>
        <v>10.34</v>
      </c>
      <c r="I136" s="17">
        <f t="shared" si="21"/>
        <v>0</v>
      </c>
    </row>
    <row r="137" spans="1:9" hidden="1" x14ac:dyDescent="0.25">
      <c r="A137" s="6" t="s">
        <v>90</v>
      </c>
      <c r="B137" s="2" t="s">
        <v>145</v>
      </c>
      <c r="C137" s="30" t="s">
        <v>146</v>
      </c>
      <c r="D137" s="1" t="s">
        <v>23</v>
      </c>
      <c r="E137" s="17"/>
      <c r="F137" s="17">
        <v>73.75</v>
      </c>
      <c r="G137" s="17">
        <f t="shared" si="17"/>
        <v>94.9</v>
      </c>
      <c r="H137" s="17">
        <f t="shared" si="18"/>
        <v>89.68</v>
      </c>
      <c r="I137" s="17">
        <f t="shared" si="21"/>
        <v>0</v>
      </c>
    </row>
    <row r="138" spans="1:9" ht="30.6" hidden="1" x14ac:dyDescent="0.25">
      <c r="A138" s="6" t="s">
        <v>148</v>
      </c>
      <c r="B138" s="2" t="s">
        <v>147</v>
      </c>
      <c r="C138" s="31" t="s">
        <v>205</v>
      </c>
      <c r="D138" s="1" t="s">
        <v>119</v>
      </c>
      <c r="E138" s="17"/>
      <c r="F138" s="17">
        <v>24.64</v>
      </c>
      <c r="G138" s="17">
        <f t="shared" si="17"/>
        <v>31.71</v>
      </c>
      <c r="H138" s="17">
        <f t="shared" si="18"/>
        <v>29.97</v>
      </c>
      <c r="I138" s="17">
        <f t="shared" si="21"/>
        <v>0</v>
      </c>
    </row>
    <row r="139" spans="1:9" hidden="1" x14ac:dyDescent="0.25">
      <c r="A139" s="6" t="s">
        <v>149</v>
      </c>
      <c r="B139" s="2">
        <f>Composições!A59</f>
        <v>0</v>
      </c>
      <c r="C139" s="31">
        <f>Composições!C60</f>
        <v>0</v>
      </c>
      <c r="D139" s="1" t="s">
        <v>23</v>
      </c>
      <c r="E139" s="17"/>
      <c r="F139" s="17">
        <f>Composições!C67</f>
        <v>0</v>
      </c>
      <c r="G139" s="17">
        <f>F139*1.2945</f>
        <v>0</v>
      </c>
      <c r="H139" s="17">
        <f t="shared" si="18"/>
        <v>0</v>
      </c>
      <c r="I139" s="17">
        <f t="shared" si="21"/>
        <v>0</v>
      </c>
    </row>
    <row r="140" spans="1:9" hidden="1" x14ac:dyDescent="0.25">
      <c r="A140" s="6" t="s">
        <v>150</v>
      </c>
      <c r="B140" s="2">
        <f>Composições!A73</f>
        <v>0</v>
      </c>
      <c r="C140" s="31">
        <f>Composições!C74</f>
        <v>0</v>
      </c>
      <c r="D140" s="1" t="str">
        <f>D139</f>
        <v>m²</v>
      </c>
      <c r="E140" s="17"/>
      <c r="F140" s="17">
        <f>Composições!C81</f>
        <v>0</v>
      </c>
      <c r="G140" s="17">
        <f t="shared" ref="G140:G142" si="22">F140*1.2945</f>
        <v>0</v>
      </c>
      <c r="H140" s="17">
        <f t="shared" si="18"/>
        <v>0</v>
      </c>
      <c r="I140" s="17">
        <f t="shared" si="21"/>
        <v>0</v>
      </c>
    </row>
    <row r="141" spans="1:9" hidden="1" x14ac:dyDescent="0.25">
      <c r="A141" s="6" t="s">
        <v>151</v>
      </c>
      <c r="B141" s="2">
        <f>Composições!A87</f>
        <v>0</v>
      </c>
      <c r="C141" s="31">
        <f>Composições!C89</f>
        <v>0</v>
      </c>
      <c r="D141" s="1" t="s">
        <v>119</v>
      </c>
      <c r="E141" s="17"/>
      <c r="F141" s="17">
        <f>Composições!C96</f>
        <v>0</v>
      </c>
      <c r="G141" s="17">
        <f t="shared" si="22"/>
        <v>0</v>
      </c>
      <c r="H141" s="17">
        <f t="shared" si="18"/>
        <v>0</v>
      </c>
      <c r="I141" s="17">
        <f t="shared" si="21"/>
        <v>0</v>
      </c>
    </row>
    <row r="142" spans="1:9" hidden="1" x14ac:dyDescent="0.25">
      <c r="A142" s="6" t="s">
        <v>239</v>
      </c>
      <c r="B142" s="2">
        <f>Composições!A101</f>
        <v>0</v>
      </c>
      <c r="C142" s="31">
        <f>Composições!C102</f>
        <v>0</v>
      </c>
      <c r="D142" s="1" t="s">
        <v>119</v>
      </c>
      <c r="E142" s="17"/>
      <c r="F142" s="17">
        <f>Composições!C109</f>
        <v>0</v>
      </c>
      <c r="G142" s="17">
        <f t="shared" si="22"/>
        <v>0</v>
      </c>
      <c r="H142" s="17">
        <f t="shared" si="18"/>
        <v>0</v>
      </c>
      <c r="I142" s="17">
        <f t="shared" si="21"/>
        <v>0</v>
      </c>
    </row>
    <row r="143" spans="1:9" hidden="1" x14ac:dyDescent="0.25"/>
    <row r="144" spans="1:9" ht="16.8" hidden="1" customHeight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</sheetData>
  <mergeCells count="16">
    <mergeCell ref="A85:C85"/>
    <mergeCell ref="F84:G84"/>
    <mergeCell ref="C9:G9"/>
    <mergeCell ref="A6:D6"/>
    <mergeCell ref="E6:E7"/>
    <mergeCell ref="F6:F7"/>
    <mergeCell ref="H6:I6"/>
    <mergeCell ref="A7:D7"/>
    <mergeCell ref="H7:I7"/>
    <mergeCell ref="A5:D5"/>
    <mergeCell ref="G5:I5"/>
    <mergeCell ref="A1:I1"/>
    <mergeCell ref="A2:I2"/>
    <mergeCell ref="A3:I3"/>
    <mergeCell ref="A4:E4"/>
    <mergeCell ref="F4:I4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scale="1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33" workbookViewId="0">
      <selection activeCell="C4" sqref="C4:J4"/>
    </sheetView>
  </sheetViews>
  <sheetFormatPr defaultRowHeight="13.2" x14ac:dyDescent="0.25"/>
  <cols>
    <col min="1" max="1" width="13.21875" customWidth="1"/>
    <col min="2" max="2" width="11.44140625" customWidth="1"/>
    <col min="3" max="3" width="53.109375" customWidth="1"/>
    <col min="4" max="4" width="12.44140625" customWidth="1"/>
    <col min="5" max="5" width="10" customWidth="1"/>
    <col min="6" max="6" width="0.6640625" hidden="1" customWidth="1"/>
    <col min="7" max="7" width="15.21875" customWidth="1"/>
    <col min="8" max="8" width="13.109375" customWidth="1"/>
    <col min="9" max="9" width="0.109375" customWidth="1"/>
    <col min="10" max="10" width="24.5546875" bestFit="1" customWidth="1"/>
    <col min="11" max="11" width="15.5546875" hidden="1" customWidth="1"/>
  </cols>
  <sheetData>
    <row r="1" spans="1:11" ht="63" customHeight="1" thickBot="1" x14ac:dyDescent="0.3">
      <c r="A1" s="389" t="s">
        <v>332</v>
      </c>
      <c r="B1" s="390"/>
      <c r="C1" s="390"/>
      <c r="D1" s="390"/>
      <c r="E1" s="390"/>
      <c r="F1" s="390"/>
      <c r="G1" s="390"/>
      <c r="H1" s="390"/>
      <c r="I1" s="390"/>
      <c r="J1" s="390"/>
      <c r="K1" s="391"/>
    </row>
    <row r="2" spans="1:11" ht="13.8" thickBot="1" x14ac:dyDescent="0.3">
      <c r="A2" s="382" t="s">
        <v>417</v>
      </c>
      <c r="B2" s="383"/>
      <c r="C2" s="383"/>
      <c r="D2" s="383"/>
      <c r="E2" s="383"/>
      <c r="F2" s="383"/>
      <c r="G2" s="383"/>
      <c r="H2" s="383"/>
      <c r="I2" s="383"/>
      <c r="J2" s="384"/>
      <c r="K2" s="296"/>
    </row>
    <row r="3" spans="1:11" ht="15" customHeight="1" x14ac:dyDescent="0.25">
      <c r="A3" s="385" t="s">
        <v>330</v>
      </c>
      <c r="B3" s="386"/>
      <c r="C3" s="386" t="s">
        <v>360</v>
      </c>
      <c r="D3" s="387"/>
      <c r="E3" s="387"/>
      <c r="F3" s="387"/>
      <c r="G3" s="387"/>
      <c r="H3" s="387"/>
      <c r="I3" s="387"/>
      <c r="J3" s="388"/>
      <c r="K3" s="297"/>
    </row>
    <row r="4" spans="1:11" x14ac:dyDescent="0.25">
      <c r="A4" s="378" t="s">
        <v>323</v>
      </c>
      <c r="B4" s="379"/>
      <c r="C4" s="379" t="s">
        <v>361</v>
      </c>
      <c r="D4" s="380"/>
      <c r="E4" s="380"/>
      <c r="F4" s="380"/>
      <c r="G4" s="380"/>
      <c r="H4" s="380"/>
      <c r="I4" s="380"/>
      <c r="J4" s="381"/>
      <c r="K4" s="297"/>
    </row>
    <row r="5" spans="1:11" x14ac:dyDescent="0.25">
      <c r="A5" s="378" t="s">
        <v>324</v>
      </c>
      <c r="B5" s="379"/>
      <c r="C5" s="379" t="s">
        <v>362</v>
      </c>
      <c r="D5" s="380"/>
      <c r="E5" s="380"/>
      <c r="F5" s="380"/>
      <c r="G5" s="380"/>
      <c r="H5" s="380"/>
      <c r="I5" s="380"/>
      <c r="J5" s="381"/>
      <c r="K5" s="297"/>
    </row>
    <row r="6" spans="1:11" x14ac:dyDescent="0.25">
      <c r="A6" s="378" t="s">
        <v>325</v>
      </c>
      <c r="B6" s="379"/>
      <c r="C6" s="379" t="s">
        <v>363</v>
      </c>
      <c r="D6" s="380"/>
      <c r="E6" s="380"/>
      <c r="F6" s="380"/>
      <c r="G6" s="380"/>
      <c r="H6" s="380"/>
      <c r="I6" s="380"/>
      <c r="J6" s="381"/>
      <c r="K6" s="297"/>
    </row>
    <row r="7" spans="1:11" x14ac:dyDescent="0.25">
      <c r="A7" s="378" t="s">
        <v>364</v>
      </c>
      <c r="B7" s="379"/>
      <c r="C7" s="379" t="s">
        <v>365</v>
      </c>
      <c r="D7" s="380"/>
      <c r="E7" s="380"/>
      <c r="F7" s="380"/>
      <c r="G7" s="380"/>
      <c r="H7" s="380"/>
      <c r="I7" s="380"/>
      <c r="J7" s="381"/>
      <c r="K7" s="297"/>
    </row>
    <row r="8" spans="1:11" ht="0.6" hidden="1" customHeight="1" x14ac:dyDescent="0.25">
      <c r="A8" s="378" t="s">
        <v>326</v>
      </c>
      <c r="B8" s="379"/>
      <c r="C8" s="379" t="s">
        <v>366</v>
      </c>
      <c r="D8" s="380"/>
      <c r="E8" s="380"/>
      <c r="F8" s="380"/>
      <c r="G8" s="380"/>
      <c r="H8" s="380"/>
      <c r="I8" s="380"/>
      <c r="J8" s="381"/>
      <c r="K8" s="297"/>
    </row>
    <row r="9" spans="1:11" ht="12" customHeight="1" x14ac:dyDescent="0.25">
      <c r="A9" s="378" t="s">
        <v>327</v>
      </c>
      <c r="B9" s="379"/>
      <c r="C9" s="379" t="s">
        <v>20</v>
      </c>
      <c r="D9" s="380"/>
      <c r="E9" s="380"/>
      <c r="F9" s="380"/>
      <c r="G9" s="380"/>
      <c r="H9" s="380"/>
      <c r="I9" s="380"/>
      <c r="J9" s="381"/>
      <c r="K9" s="297"/>
    </row>
    <row r="10" spans="1:11" hidden="1" x14ac:dyDescent="0.25">
      <c r="A10" s="378"/>
      <c r="B10" s="379"/>
      <c r="C10" s="379"/>
      <c r="D10" s="380"/>
      <c r="E10" s="380"/>
      <c r="F10" s="380"/>
      <c r="G10" s="380"/>
      <c r="H10" s="380"/>
      <c r="I10" s="380"/>
      <c r="J10" s="381"/>
      <c r="K10" s="298"/>
    </row>
    <row r="11" spans="1:11" ht="19.8" customHeight="1" x14ac:dyDescent="0.25">
      <c r="A11" s="378" t="s">
        <v>329</v>
      </c>
      <c r="B11" s="379"/>
      <c r="C11" s="379" t="s">
        <v>367</v>
      </c>
      <c r="D11" s="380"/>
      <c r="E11" s="380"/>
      <c r="F11" s="380"/>
      <c r="G11" s="380"/>
      <c r="H11" s="380"/>
      <c r="I11" s="380"/>
      <c r="J11" s="381"/>
      <c r="K11" s="327"/>
    </row>
    <row r="12" spans="1:11" ht="16.8" customHeight="1" x14ac:dyDescent="0.25">
      <c r="A12" s="331"/>
      <c r="B12" s="300" t="s">
        <v>368</v>
      </c>
      <c r="C12" s="300" t="s">
        <v>323</v>
      </c>
      <c r="D12" s="300" t="s">
        <v>326</v>
      </c>
      <c r="E12" s="301" t="s">
        <v>327</v>
      </c>
      <c r="F12" s="302" t="s">
        <v>328</v>
      </c>
      <c r="G12" s="302" t="s">
        <v>329</v>
      </c>
      <c r="H12" s="302" t="s">
        <v>331</v>
      </c>
      <c r="I12" s="302" t="s">
        <v>328</v>
      </c>
      <c r="J12" s="332" t="s">
        <v>329</v>
      </c>
      <c r="K12" s="330"/>
    </row>
    <row r="13" spans="1:11" ht="29.4" customHeight="1" x14ac:dyDescent="0.25">
      <c r="A13" s="317" t="s">
        <v>369</v>
      </c>
      <c r="B13" s="304" t="s">
        <v>370</v>
      </c>
      <c r="C13" s="304" t="s">
        <v>371</v>
      </c>
      <c r="D13" s="304" t="s">
        <v>372</v>
      </c>
      <c r="E13" s="305" t="s">
        <v>20</v>
      </c>
      <c r="F13" s="306" t="s">
        <v>373</v>
      </c>
      <c r="G13" s="306" t="s">
        <v>373</v>
      </c>
      <c r="H13" s="306" t="s">
        <v>374</v>
      </c>
      <c r="I13" s="306" t="s">
        <v>375</v>
      </c>
      <c r="J13" s="338" t="s">
        <v>375</v>
      </c>
      <c r="K13" s="330"/>
    </row>
    <row r="14" spans="1:11" ht="28.2" customHeight="1" thickBot="1" x14ac:dyDescent="0.3">
      <c r="A14" s="317" t="s">
        <v>369</v>
      </c>
      <c r="B14" s="304" t="s">
        <v>376</v>
      </c>
      <c r="C14" s="304" t="s">
        <v>377</v>
      </c>
      <c r="D14" s="304" t="s">
        <v>372</v>
      </c>
      <c r="E14" s="305" t="s">
        <v>20</v>
      </c>
      <c r="F14" s="306" t="s">
        <v>378</v>
      </c>
      <c r="G14" s="306" t="s">
        <v>378</v>
      </c>
      <c r="H14" s="306" t="s">
        <v>379</v>
      </c>
      <c r="I14" s="306" t="s">
        <v>378</v>
      </c>
      <c r="J14" s="338" t="s">
        <v>378</v>
      </c>
      <c r="K14" s="326"/>
    </row>
    <row r="15" spans="1:11" ht="45" customHeight="1" thickBot="1" x14ac:dyDescent="0.3">
      <c r="A15" s="318" t="s">
        <v>369</v>
      </c>
      <c r="B15" s="319" t="s">
        <v>380</v>
      </c>
      <c r="C15" s="319" t="s">
        <v>381</v>
      </c>
      <c r="D15" s="319" t="s">
        <v>366</v>
      </c>
      <c r="E15" s="320" t="s">
        <v>20</v>
      </c>
      <c r="F15" s="321" t="s">
        <v>382</v>
      </c>
      <c r="G15" s="321" t="s">
        <v>383</v>
      </c>
      <c r="H15" s="321" t="s">
        <v>379</v>
      </c>
      <c r="I15" s="321" t="s">
        <v>382</v>
      </c>
      <c r="J15" s="333" t="s">
        <v>383</v>
      </c>
      <c r="K15" s="308"/>
    </row>
    <row r="16" spans="1:11" ht="13.8" customHeight="1" thickBot="1" x14ac:dyDescent="0.3">
      <c r="A16" s="169"/>
      <c r="B16" s="169"/>
      <c r="C16" s="169"/>
      <c r="D16" s="169"/>
      <c r="E16" s="170"/>
      <c r="F16" s="171"/>
      <c r="G16" s="171"/>
      <c r="H16" s="171"/>
      <c r="I16" s="171"/>
      <c r="J16" s="171"/>
      <c r="K16" s="309"/>
    </row>
    <row r="17" spans="1:11" ht="15.6" customHeight="1" thickBot="1" x14ac:dyDescent="0.3">
      <c r="A17" s="382" t="s">
        <v>402</v>
      </c>
      <c r="B17" s="383"/>
      <c r="C17" s="383"/>
      <c r="D17" s="383"/>
      <c r="E17" s="383"/>
      <c r="F17" s="383"/>
      <c r="G17" s="383"/>
      <c r="H17" s="383"/>
      <c r="I17" s="383"/>
      <c r="J17" s="384"/>
      <c r="K17" s="297"/>
    </row>
    <row r="18" spans="1:11" x14ac:dyDescent="0.25">
      <c r="A18" s="385" t="s">
        <v>330</v>
      </c>
      <c r="B18" s="386"/>
      <c r="C18" s="386" t="s">
        <v>403</v>
      </c>
      <c r="D18" s="387"/>
      <c r="E18" s="387"/>
      <c r="F18" s="387"/>
      <c r="G18" s="387"/>
      <c r="H18" s="387"/>
      <c r="I18" s="387"/>
      <c r="J18" s="388"/>
      <c r="K18" s="297"/>
    </row>
    <row r="19" spans="1:11" x14ac:dyDescent="0.25">
      <c r="A19" s="378" t="s">
        <v>323</v>
      </c>
      <c r="B19" s="379"/>
      <c r="C19" s="379" t="s">
        <v>404</v>
      </c>
      <c r="D19" s="380"/>
      <c r="E19" s="380"/>
      <c r="F19" s="380"/>
      <c r="G19" s="380"/>
      <c r="H19" s="380"/>
      <c r="I19" s="380"/>
      <c r="J19" s="381"/>
      <c r="K19" s="297"/>
    </row>
    <row r="20" spans="1:11" x14ac:dyDescent="0.25">
      <c r="A20" s="378" t="s">
        <v>324</v>
      </c>
      <c r="B20" s="379"/>
      <c r="C20" s="379" t="s">
        <v>387</v>
      </c>
      <c r="D20" s="380"/>
      <c r="E20" s="380"/>
      <c r="F20" s="380"/>
      <c r="G20" s="380"/>
      <c r="H20" s="380"/>
      <c r="I20" s="380"/>
      <c r="J20" s="381"/>
      <c r="K20" s="297"/>
    </row>
    <row r="21" spans="1:11" ht="13.2" customHeight="1" x14ac:dyDescent="0.25">
      <c r="A21" s="378" t="s">
        <v>325</v>
      </c>
      <c r="B21" s="379"/>
      <c r="C21" s="379" t="s">
        <v>397</v>
      </c>
      <c r="D21" s="380"/>
      <c r="E21" s="380"/>
      <c r="F21" s="380"/>
      <c r="G21" s="380"/>
      <c r="H21" s="380"/>
      <c r="I21" s="380"/>
      <c r="J21" s="381"/>
      <c r="K21" s="297"/>
    </row>
    <row r="22" spans="1:11" hidden="1" x14ac:dyDescent="0.25">
      <c r="A22" s="378" t="s">
        <v>326</v>
      </c>
      <c r="B22" s="379"/>
      <c r="C22" s="379"/>
      <c r="D22" s="380"/>
      <c r="E22" s="380"/>
      <c r="F22" s="380"/>
      <c r="G22" s="380"/>
      <c r="H22" s="380"/>
      <c r="I22" s="380"/>
      <c r="J22" s="381"/>
      <c r="K22" s="297"/>
    </row>
    <row r="23" spans="1:11" x14ac:dyDescent="0.25">
      <c r="A23" s="378" t="s">
        <v>327</v>
      </c>
      <c r="B23" s="379"/>
      <c r="C23" s="379" t="s">
        <v>405</v>
      </c>
      <c r="D23" s="380"/>
      <c r="E23" s="380"/>
      <c r="F23" s="380"/>
      <c r="G23" s="380"/>
      <c r="H23" s="380"/>
      <c r="I23" s="380"/>
      <c r="J23" s="381"/>
      <c r="K23" s="297"/>
    </row>
    <row r="24" spans="1:11" ht="15" hidden="1" customHeight="1" x14ac:dyDescent="0.25">
      <c r="A24" s="378"/>
      <c r="B24" s="379"/>
      <c r="C24" s="379"/>
      <c r="D24" s="380"/>
      <c r="E24" s="380"/>
      <c r="F24" s="380"/>
      <c r="G24" s="380"/>
      <c r="H24" s="380"/>
      <c r="I24" s="380"/>
      <c r="J24" s="381"/>
      <c r="K24" s="298"/>
    </row>
    <row r="25" spans="1:11" ht="16.8" customHeight="1" x14ac:dyDescent="0.25">
      <c r="A25" s="378" t="s">
        <v>329</v>
      </c>
      <c r="B25" s="379"/>
      <c r="C25" s="379" t="s">
        <v>406</v>
      </c>
      <c r="D25" s="380"/>
      <c r="E25" s="380"/>
      <c r="F25" s="380"/>
      <c r="G25" s="380"/>
      <c r="H25" s="380"/>
      <c r="I25" s="380"/>
      <c r="J25" s="381"/>
      <c r="K25" s="327"/>
    </row>
    <row r="26" spans="1:11" ht="28.2" customHeight="1" x14ac:dyDescent="0.25">
      <c r="A26" s="331"/>
      <c r="B26" s="300" t="s">
        <v>368</v>
      </c>
      <c r="C26" s="300" t="s">
        <v>323</v>
      </c>
      <c r="D26" s="300" t="s">
        <v>326</v>
      </c>
      <c r="E26" s="301" t="s">
        <v>327</v>
      </c>
      <c r="F26" s="302" t="s">
        <v>328</v>
      </c>
      <c r="G26" s="302" t="s">
        <v>329</v>
      </c>
      <c r="H26" s="302" t="s">
        <v>331</v>
      </c>
      <c r="I26" s="302" t="s">
        <v>328</v>
      </c>
      <c r="J26" s="332" t="s">
        <v>329</v>
      </c>
      <c r="K26" s="330"/>
    </row>
    <row r="27" spans="1:11" ht="26.4" customHeight="1" x14ac:dyDescent="0.25">
      <c r="A27" s="317" t="s">
        <v>299</v>
      </c>
      <c r="B27" s="304" t="s">
        <v>418</v>
      </c>
      <c r="C27" s="304" t="s">
        <v>407</v>
      </c>
      <c r="D27" s="304" t="s">
        <v>408</v>
      </c>
      <c r="E27" s="305" t="s">
        <v>279</v>
      </c>
      <c r="F27" s="306" t="s">
        <v>409</v>
      </c>
      <c r="G27" s="306" t="s">
        <v>410</v>
      </c>
      <c r="H27" s="306" t="s">
        <v>411</v>
      </c>
      <c r="I27" s="306" t="s">
        <v>412</v>
      </c>
      <c r="J27" s="338" t="s">
        <v>413</v>
      </c>
      <c r="K27" s="330"/>
    </row>
    <row r="28" spans="1:11" ht="60.6" customHeight="1" thickBot="1" x14ac:dyDescent="0.3">
      <c r="A28" s="318" t="s">
        <v>299</v>
      </c>
      <c r="B28" s="319" t="s">
        <v>414</v>
      </c>
      <c r="C28" s="319" t="s">
        <v>415</v>
      </c>
      <c r="D28" s="319" t="s">
        <v>372</v>
      </c>
      <c r="E28" s="320" t="s">
        <v>405</v>
      </c>
      <c r="F28" s="321" t="s">
        <v>416</v>
      </c>
      <c r="G28" s="321" t="s">
        <v>416</v>
      </c>
      <c r="H28" s="321" t="s">
        <v>379</v>
      </c>
      <c r="I28" s="321" t="s">
        <v>416</v>
      </c>
      <c r="J28" s="333" t="s">
        <v>416</v>
      </c>
      <c r="K28" s="326"/>
    </row>
    <row r="29" spans="1:11" ht="13.8" customHeight="1" thickBot="1" x14ac:dyDescent="0.3">
      <c r="A29" s="169"/>
      <c r="B29" s="169"/>
      <c r="C29" s="169"/>
      <c r="D29" s="169"/>
      <c r="E29" s="170"/>
      <c r="F29" s="171"/>
      <c r="G29" s="171"/>
      <c r="H29" s="171"/>
      <c r="I29" s="171"/>
      <c r="J29" s="171"/>
      <c r="K29" s="334"/>
    </row>
    <row r="30" spans="1:11" ht="16.8" customHeight="1" thickBot="1" x14ac:dyDescent="0.3">
      <c r="A30" s="382" t="s">
        <v>384</v>
      </c>
      <c r="B30" s="383"/>
      <c r="C30" s="383"/>
      <c r="D30" s="383"/>
      <c r="E30" s="383"/>
      <c r="F30" s="383"/>
      <c r="G30" s="383"/>
      <c r="H30" s="383"/>
      <c r="I30" s="383"/>
      <c r="J30" s="384"/>
      <c r="K30" s="310"/>
    </row>
    <row r="31" spans="1:11" ht="13.2" hidden="1" customHeight="1" x14ac:dyDescent="0.25">
      <c r="A31" s="385" t="s">
        <v>330</v>
      </c>
      <c r="B31" s="386"/>
      <c r="C31" s="386" t="s">
        <v>385</v>
      </c>
      <c r="D31" s="387"/>
      <c r="E31" s="387"/>
      <c r="F31" s="387"/>
      <c r="G31" s="387"/>
      <c r="H31" s="387"/>
      <c r="I31" s="387"/>
      <c r="J31" s="388"/>
      <c r="K31" s="311"/>
    </row>
    <row r="32" spans="1:11" ht="17.399999999999999" customHeight="1" x14ac:dyDescent="0.25">
      <c r="A32" s="378" t="s">
        <v>323</v>
      </c>
      <c r="B32" s="379"/>
      <c r="C32" s="379" t="s">
        <v>386</v>
      </c>
      <c r="D32" s="380"/>
      <c r="E32" s="380"/>
      <c r="F32" s="380"/>
      <c r="G32" s="380"/>
      <c r="H32" s="380"/>
      <c r="I32" s="380"/>
      <c r="J32" s="381"/>
      <c r="K32" s="297"/>
    </row>
    <row r="33" spans="1:11" x14ac:dyDescent="0.25">
      <c r="A33" s="378" t="s">
        <v>324</v>
      </c>
      <c r="B33" s="379"/>
      <c r="C33" s="379" t="s">
        <v>387</v>
      </c>
      <c r="D33" s="380"/>
      <c r="E33" s="380"/>
      <c r="F33" s="380"/>
      <c r="G33" s="380"/>
      <c r="H33" s="380"/>
      <c r="I33" s="380"/>
      <c r="J33" s="381"/>
      <c r="K33" s="297"/>
    </row>
    <row r="34" spans="1:11" ht="12" customHeight="1" x14ac:dyDescent="0.25">
      <c r="A34" s="378" t="s">
        <v>325</v>
      </c>
      <c r="B34" s="379"/>
      <c r="C34" s="379" t="s">
        <v>388</v>
      </c>
      <c r="D34" s="380"/>
      <c r="E34" s="380"/>
      <c r="F34" s="380"/>
      <c r="G34" s="380"/>
      <c r="H34" s="380"/>
      <c r="I34" s="380"/>
      <c r="J34" s="381"/>
      <c r="K34" s="297"/>
    </row>
    <row r="35" spans="1:11" hidden="1" x14ac:dyDescent="0.25">
      <c r="A35" s="378" t="s">
        <v>326</v>
      </c>
      <c r="B35" s="379"/>
      <c r="C35" s="379" t="s">
        <v>389</v>
      </c>
      <c r="D35" s="380"/>
      <c r="E35" s="380"/>
      <c r="F35" s="380"/>
      <c r="G35" s="380"/>
      <c r="H35" s="380"/>
      <c r="I35" s="380"/>
      <c r="J35" s="381"/>
      <c r="K35" s="297"/>
    </row>
    <row r="36" spans="1:11" ht="13.2" customHeight="1" x14ac:dyDescent="0.25">
      <c r="A36" s="378" t="s">
        <v>327</v>
      </c>
      <c r="B36" s="379"/>
      <c r="C36" s="379" t="s">
        <v>23</v>
      </c>
      <c r="D36" s="380"/>
      <c r="E36" s="380"/>
      <c r="F36" s="380"/>
      <c r="G36" s="380"/>
      <c r="H36" s="380"/>
      <c r="I36" s="380"/>
      <c r="J36" s="381"/>
      <c r="K36" s="297"/>
    </row>
    <row r="37" spans="1:11" ht="0.6" customHeight="1" x14ac:dyDescent="0.25">
      <c r="A37" s="378"/>
      <c r="B37" s="379"/>
      <c r="C37" s="379"/>
      <c r="D37" s="380"/>
      <c r="E37" s="380"/>
      <c r="F37" s="380"/>
      <c r="G37" s="380"/>
      <c r="H37" s="380"/>
      <c r="I37" s="380"/>
      <c r="J37" s="381"/>
      <c r="K37" s="297"/>
    </row>
    <row r="38" spans="1:11" ht="22.8" customHeight="1" x14ac:dyDescent="0.25">
      <c r="A38" s="378" t="s">
        <v>329</v>
      </c>
      <c r="B38" s="379"/>
      <c r="C38" s="379" t="s">
        <v>390</v>
      </c>
      <c r="D38" s="380"/>
      <c r="E38" s="380"/>
      <c r="F38" s="380"/>
      <c r="G38" s="380"/>
      <c r="H38" s="380"/>
      <c r="I38" s="380"/>
      <c r="J38" s="381"/>
      <c r="K38" s="297"/>
    </row>
    <row r="39" spans="1:11" ht="32.4" customHeight="1" x14ac:dyDescent="0.25">
      <c r="A39" s="331"/>
      <c r="B39" s="300" t="s">
        <v>368</v>
      </c>
      <c r="C39" s="300" t="s">
        <v>323</v>
      </c>
      <c r="D39" s="300" t="s">
        <v>326</v>
      </c>
      <c r="E39" s="301" t="s">
        <v>327</v>
      </c>
      <c r="F39" s="302" t="s">
        <v>328</v>
      </c>
      <c r="G39" s="302" t="s">
        <v>329</v>
      </c>
      <c r="H39" s="302" t="s">
        <v>331</v>
      </c>
      <c r="I39" s="302" t="s">
        <v>328</v>
      </c>
      <c r="J39" s="332" t="s">
        <v>329</v>
      </c>
      <c r="K39" s="312"/>
    </row>
    <row r="40" spans="1:11" ht="18" customHeight="1" thickBot="1" x14ac:dyDescent="0.3">
      <c r="A40" s="318" t="s">
        <v>299</v>
      </c>
      <c r="B40" s="319" t="s">
        <v>391</v>
      </c>
      <c r="C40" s="319" t="s">
        <v>392</v>
      </c>
      <c r="D40" s="319" t="s">
        <v>393</v>
      </c>
      <c r="E40" s="320" t="s">
        <v>23</v>
      </c>
      <c r="F40" s="321" t="s">
        <v>390</v>
      </c>
      <c r="G40" s="321" t="s">
        <v>390</v>
      </c>
      <c r="H40" s="321" t="s">
        <v>379</v>
      </c>
      <c r="I40" s="321" t="s">
        <v>390</v>
      </c>
      <c r="J40" s="333" t="s">
        <v>390</v>
      </c>
      <c r="K40" s="327"/>
    </row>
    <row r="41" spans="1:11" ht="16.2" customHeight="1" thickBot="1" x14ac:dyDescent="0.3">
      <c r="A41" s="335"/>
      <c r="B41" s="335"/>
      <c r="C41" s="335"/>
      <c r="D41" s="335"/>
      <c r="E41" s="336"/>
      <c r="F41" s="337"/>
      <c r="G41" s="337"/>
      <c r="H41" s="337"/>
      <c r="I41" s="337"/>
      <c r="J41" s="337"/>
      <c r="K41" s="330"/>
    </row>
    <row r="42" spans="1:11" ht="18" customHeight="1" thickBot="1" x14ac:dyDescent="0.3">
      <c r="A42" s="382" t="s">
        <v>394</v>
      </c>
      <c r="B42" s="392"/>
      <c r="C42" s="392"/>
      <c r="D42" s="392"/>
      <c r="E42" s="392"/>
      <c r="F42" s="392"/>
      <c r="G42" s="392"/>
      <c r="H42" s="392"/>
      <c r="I42" s="392"/>
      <c r="J42" s="393"/>
      <c r="K42" s="326"/>
    </row>
    <row r="43" spans="1:11" ht="13.8" thickBot="1" x14ac:dyDescent="0.3">
      <c r="A43" s="385" t="s">
        <v>330</v>
      </c>
      <c r="B43" s="386"/>
      <c r="C43" s="386" t="s">
        <v>395</v>
      </c>
      <c r="D43" s="387"/>
      <c r="E43" s="387"/>
      <c r="F43" s="387"/>
      <c r="G43" s="387"/>
      <c r="H43" s="387"/>
      <c r="I43" s="387"/>
      <c r="J43" s="388"/>
      <c r="K43" s="172"/>
    </row>
    <row r="44" spans="1:11" ht="13.8" thickBot="1" x14ac:dyDescent="0.3">
      <c r="A44" s="378" t="s">
        <v>323</v>
      </c>
      <c r="B44" s="379"/>
      <c r="C44" s="379" t="s">
        <v>396</v>
      </c>
      <c r="D44" s="380"/>
      <c r="E44" s="380"/>
      <c r="F44" s="380"/>
      <c r="G44" s="380"/>
      <c r="H44" s="380"/>
      <c r="I44" s="380"/>
      <c r="J44" s="381"/>
      <c r="K44" s="309"/>
    </row>
    <row r="45" spans="1:11" ht="16.2" customHeight="1" x14ac:dyDescent="0.25">
      <c r="A45" s="378" t="s">
        <v>324</v>
      </c>
      <c r="B45" s="379"/>
      <c r="C45" s="379" t="s">
        <v>387</v>
      </c>
      <c r="D45" s="380"/>
      <c r="E45" s="380"/>
      <c r="F45" s="380"/>
      <c r="G45" s="380"/>
      <c r="H45" s="380"/>
      <c r="I45" s="380"/>
      <c r="J45" s="381"/>
      <c r="K45" s="297"/>
    </row>
    <row r="46" spans="1:11" ht="12.6" customHeight="1" x14ac:dyDescent="0.25">
      <c r="A46" s="378" t="s">
        <v>325</v>
      </c>
      <c r="B46" s="379"/>
      <c r="C46" s="379" t="s">
        <v>397</v>
      </c>
      <c r="D46" s="380"/>
      <c r="E46" s="380"/>
      <c r="F46" s="380"/>
      <c r="G46" s="380"/>
      <c r="H46" s="380"/>
      <c r="I46" s="380"/>
      <c r="J46" s="381"/>
      <c r="K46" s="297"/>
    </row>
    <row r="47" spans="1:11" hidden="1" x14ac:dyDescent="0.25">
      <c r="A47" s="378" t="s">
        <v>326</v>
      </c>
      <c r="B47" s="379"/>
      <c r="C47" s="379" t="s">
        <v>398</v>
      </c>
      <c r="D47" s="380"/>
      <c r="E47" s="380"/>
      <c r="F47" s="380"/>
      <c r="G47" s="380"/>
      <c r="H47" s="380"/>
      <c r="I47" s="380"/>
      <c r="J47" s="381"/>
      <c r="K47" s="297"/>
    </row>
    <row r="48" spans="1:11" ht="12" customHeight="1" x14ac:dyDescent="0.25">
      <c r="A48" s="378" t="s">
        <v>327</v>
      </c>
      <c r="B48" s="379"/>
      <c r="C48" s="379" t="s">
        <v>185</v>
      </c>
      <c r="D48" s="380"/>
      <c r="E48" s="380"/>
      <c r="F48" s="380"/>
      <c r="G48" s="380"/>
      <c r="H48" s="380"/>
      <c r="I48" s="380"/>
      <c r="J48" s="381"/>
      <c r="K48" s="297"/>
    </row>
    <row r="49" spans="1:11" ht="38.4" hidden="1" customHeight="1" x14ac:dyDescent="0.25">
      <c r="A49" s="378"/>
      <c r="B49" s="379"/>
      <c r="C49" s="379"/>
      <c r="D49" s="380"/>
      <c r="E49" s="380"/>
      <c r="F49" s="380"/>
      <c r="G49" s="380"/>
      <c r="H49" s="380"/>
      <c r="I49" s="380"/>
      <c r="J49" s="381"/>
      <c r="K49" s="297"/>
    </row>
    <row r="50" spans="1:11" x14ac:dyDescent="0.25">
      <c r="A50" s="378" t="s">
        <v>329</v>
      </c>
      <c r="B50" s="379"/>
      <c r="C50" s="379" t="s">
        <v>399</v>
      </c>
      <c r="D50" s="380"/>
      <c r="E50" s="380"/>
      <c r="F50" s="380"/>
      <c r="G50" s="380"/>
      <c r="H50" s="380"/>
      <c r="I50" s="380"/>
      <c r="J50" s="381"/>
      <c r="K50" s="297"/>
    </row>
    <row r="51" spans="1:11" ht="19.2" customHeight="1" x14ac:dyDescent="0.25">
      <c r="A51" s="331"/>
      <c r="B51" s="300" t="s">
        <v>368</v>
      </c>
      <c r="C51" s="300" t="s">
        <v>323</v>
      </c>
      <c r="D51" s="300" t="s">
        <v>326</v>
      </c>
      <c r="E51" s="301" t="s">
        <v>327</v>
      </c>
      <c r="F51" s="302" t="s">
        <v>328</v>
      </c>
      <c r="G51" s="302" t="s">
        <v>329</v>
      </c>
      <c r="H51" s="302" t="s">
        <v>331</v>
      </c>
      <c r="I51" s="302" t="s">
        <v>328</v>
      </c>
      <c r="J51" s="332" t="s">
        <v>329</v>
      </c>
      <c r="K51" s="297"/>
    </row>
    <row r="52" spans="1:11" ht="66.599999999999994" thickBot="1" x14ac:dyDescent="0.3">
      <c r="A52" s="318" t="s">
        <v>299</v>
      </c>
      <c r="B52" s="319" t="s">
        <v>400</v>
      </c>
      <c r="C52" s="319" t="s">
        <v>401</v>
      </c>
      <c r="D52" s="319" t="s">
        <v>372</v>
      </c>
      <c r="E52" s="320" t="s">
        <v>185</v>
      </c>
      <c r="F52" s="321" t="s">
        <v>399</v>
      </c>
      <c r="G52" s="321" t="s">
        <v>399</v>
      </c>
      <c r="H52" s="321" t="s">
        <v>379</v>
      </c>
      <c r="I52" s="321" t="s">
        <v>399</v>
      </c>
      <c r="J52" s="333" t="s">
        <v>399</v>
      </c>
      <c r="K52" s="312"/>
    </row>
    <row r="53" spans="1:11" ht="13.8" customHeight="1" thickBot="1" x14ac:dyDescent="0.3">
      <c r="A53" s="313"/>
      <c r="B53" s="314"/>
      <c r="C53" s="315"/>
      <c r="D53" s="316"/>
      <c r="E53" s="316"/>
      <c r="F53" s="316"/>
      <c r="G53" s="316"/>
      <c r="H53" s="316"/>
      <c r="I53" s="316"/>
      <c r="J53" s="316"/>
      <c r="K53" s="299"/>
    </row>
    <row r="54" spans="1:11" ht="13.8" hidden="1" thickBot="1" x14ac:dyDescent="0.3">
      <c r="A54" s="328"/>
      <c r="B54" s="323"/>
      <c r="C54" s="323"/>
      <c r="D54" s="323"/>
      <c r="E54" s="324"/>
      <c r="F54" s="325"/>
      <c r="G54" s="325"/>
      <c r="H54" s="329"/>
      <c r="I54" s="325"/>
      <c r="J54" s="325"/>
      <c r="K54" s="303"/>
    </row>
    <row r="55" spans="1:11" ht="13.8" thickBot="1" x14ac:dyDescent="0.3">
      <c r="A55" s="339" t="s">
        <v>433</v>
      </c>
      <c r="B55" s="220"/>
      <c r="C55" s="220"/>
      <c r="D55" s="220"/>
      <c r="E55" s="220"/>
      <c r="F55" s="220"/>
      <c r="G55" s="220"/>
      <c r="H55" s="220"/>
      <c r="I55" s="220"/>
      <c r="J55" s="125"/>
      <c r="K55" s="307"/>
    </row>
    <row r="56" spans="1:11" x14ac:dyDescent="0.25">
      <c r="A56" s="293"/>
      <c r="B56" s="294"/>
      <c r="C56" s="294"/>
      <c r="D56" s="182"/>
      <c r="E56" s="184"/>
      <c r="F56" s="184"/>
      <c r="G56" s="184"/>
      <c r="H56" s="184"/>
      <c r="I56" s="184"/>
      <c r="J56" s="10"/>
      <c r="K56" s="322"/>
    </row>
    <row r="57" spans="1:11" ht="13.8" thickBot="1" x14ac:dyDescent="0.3">
      <c r="A57" s="210"/>
      <c r="B57" s="182"/>
      <c r="C57" s="295"/>
      <c r="D57" s="182"/>
      <c r="E57" s="184"/>
      <c r="F57" s="184"/>
      <c r="G57" s="184"/>
      <c r="H57" s="184"/>
      <c r="I57" s="184"/>
      <c r="J57" s="10"/>
      <c r="K57" s="322"/>
    </row>
    <row r="58" spans="1:11" ht="13.8" thickBot="1" x14ac:dyDescent="0.3">
      <c r="A58" s="212"/>
      <c r="B58" s="185"/>
      <c r="C58" s="186"/>
      <c r="D58" s="182"/>
      <c r="E58" s="184"/>
      <c r="F58" s="184"/>
      <c r="G58" s="184"/>
      <c r="H58" s="184"/>
      <c r="I58" s="187"/>
      <c r="J58" s="10"/>
      <c r="K58" s="296"/>
    </row>
    <row r="59" spans="1:11" x14ac:dyDescent="0.25">
      <c r="A59" s="210"/>
      <c r="B59" s="182"/>
      <c r="C59" s="295"/>
      <c r="D59" s="182"/>
      <c r="E59" s="184"/>
      <c r="F59" s="184"/>
      <c r="G59" s="184"/>
      <c r="H59" s="184"/>
      <c r="I59" s="184"/>
      <c r="J59" s="10"/>
      <c r="K59" s="297"/>
    </row>
    <row r="60" spans="1:11" x14ac:dyDescent="0.25">
      <c r="A60" s="210"/>
      <c r="B60" s="182"/>
      <c r="C60" s="295"/>
      <c r="D60" s="182"/>
      <c r="E60" s="184"/>
      <c r="F60" s="184"/>
      <c r="G60" s="184"/>
      <c r="H60" s="184"/>
      <c r="I60" s="184"/>
      <c r="J60" s="10"/>
      <c r="K60" s="297"/>
    </row>
    <row r="61" spans="1:11" x14ac:dyDescent="0.25">
      <c r="A61" s="210"/>
      <c r="B61" s="182"/>
      <c r="C61" s="295"/>
      <c r="D61" s="182"/>
      <c r="E61" s="184"/>
      <c r="F61" s="184"/>
      <c r="G61" s="184"/>
      <c r="H61" s="184"/>
      <c r="I61" s="184"/>
      <c r="J61" s="10"/>
      <c r="K61" s="297"/>
    </row>
    <row r="62" spans="1:11" ht="13.8" thickBot="1" x14ac:dyDescent="0.3">
      <c r="A62" s="11"/>
      <c r="B62" s="12"/>
      <c r="C62" s="12"/>
      <c r="D62" s="12"/>
      <c r="E62" s="12"/>
      <c r="F62" s="12"/>
      <c r="G62" s="12"/>
      <c r="H62" s="12"/>
      <c r="I62" s="12"/>
      <c r="J62" s="13"/>
      <c r="K62" s="297"/>
    </row>
    <row r="63" spans="1:11" x14ac:dyDescent="0.25">
      <c r="K63" s="297"/>
    </row>
    <row r="64" spans="1:11" x14ac:dyDescent="0.25">
      <c r="K64" s="297"/>
    </row>
    <row r="65" spans="11:11" x14ac:dyDescent="0.25">
      <c r="K65" s="297"/>
    </row>
    <row r="66" spans="11:11" x14ac:dyDescent="0.25">
      <c r="K66" s="298"/>
    </row>
    <row r="67" spans="11:11" ht="13.8" x14ac:dyDescent="0.25">
      <c r="K67" s="299"/>
    </row>
    <row r="68" spans="11:11" x14ac:dyDescent="0.25">
      <c r="K68" s="303"/>
    </row>
    <row r="69" spans="11:11" x14ac:dyDescent="0.25">
      <c r="K69" s="303"/>
    </row>
    <row r="70" spans="11:11" ht="13.8" thickBot="1" x14ac:dyDescent="0.3">
      <c r="K70" s="307"/>
    </row>
    <row r="71" spans="11:11" x14ac:dyDescent="0.25">
      <c r="K71" s="125"/>
    </row>
    <row r="72" spans="11:11" x14ac:dyDescent="0.25">
      <c r="K72" s="10"/>
    </row>
    <row r="73" spans="11:11" x14ac:dyDescent="0.25">
      <c r="K73" s="10"/>
    </row>
    <row r="74" spans="11:11" x14ac:dyDescent="0.25">
      <c r="K74" s="10"/>
    </row>
    <row r="75" spans="11:11" x14ac:dyDescent="0.25">
      <c r="K75" s="10"/>
    </row>
    <row r="76" spans="11:11" x14ac:dyDescent="0.25">
      <c r="K76" s="10"/>
    </row>
    <row r="77" spans="11:11" x14ac:dyDescent="0.25">
      <c r="K77" s="10"/>
    </row>
    <row r="78" spans="11:11" ht="13.8" thickBot="1" x14ac:dyDescent="0.3">
      <c r="K78" s="13"/>
    </row>
  </sheetData>
  <mergeCells count="71">
    <mergeCell ref="A49:B49"/>
    <mergeCell ref="C49:J49"/>
    <mergeCell ref="A50:B50"/>
    <mergeCell ref="C50:J50"/>
    <mergeCell ref="A46:B46"/>
    <mergeCell ref="C46:J46"/>
    <mergeCell ref="A47:B47"/>
    <mergeCell ref="C47:J47"/>
    <mergeCell ref="A48:B48"/>
    <mergeCell ref="C48:J48"/>
    <mergeCell ref="A43:B43"/>
    <mergeCell ref="C43:J43"/>
    <mergeCell ref="A44:B44"/>
    <mergeCell ref="C44:J44"/>
    <mergeCell ref="A45:B45"/>
    <mergeCell ref="C45:J45"/>
    <mergeCell ref="A10:B10"/>
    <mergeCell ref="A30:J30"/>
    <mergeCell ref="A31:B31"/>
    <mergeCell ref="C31:J31"/>
    <mergeCell ref="A42:J42"/>
    <mergeCell ref="A19:B19"/>
    <mergeCell ref="C19:J19"/>
    <mergeCell ref="A20:B20"/>
    <mergeCell ref="C20:J20"/>
    <mergeCell ref="A21:B21"/>
    <mergeCell ref="C21:J21"/>
    <mergeCell ref="A22:B22"/>
    <mergeCell ref="C22:J22"/>
    <mergeCell ref="A23:B23"/>
    <mergeCell ref="C23:J23"/>
    <mergeCell ref="A24:B24"/>
    <mergeCell ref="A1:K1"/>
    <mergeCell ref="A3:B3"/>
    <mergeCell ref="A4:B4"/>
    <mergeCell ref="A2:J2"/>
    <mergeCell ref="C3:J3"/>
    <mergeCell ref="C4:J4"/>
    <mergeCell ref="C5:J5"/>
    <mergeCell ref="C6:J6"/>
    <mergeCell ref="C7:J7"/>
    <mergeCell ref="A17:J17"/>
    <mergeCell ref="A18:B18"/>
    <mergeCell ref="C18:J18"/>
    <mergeCell ref="A5:B5"/>
    <mergeCell ref="A6:B6"/>
    <mergeCell ref="A7:B7"/>
    <mergeCell ref="A8:B8"/>
    <mergeCell ref="A9:B9"/>
    <mergeCell ref="C8:J8"/>
    <mergeCell ref="C9:J9"/>
    <mergeCell ref="C10:J10"/>
    <mergeCell ref="A11:B11"/>
    <mergeCell ref="C11:J11"/>
    <mergeCell ref="C24:J24"/>
    <mergeCell ref="A25:B25"/>
    <mergeCell ref="C25:J25"/>
    <mergeCell ref="A32:B32"/>
    <mergeCell ref="C32:J32"/>
    <mergeCell ref="A33:B33"/>
    <mergeCell ref="C33:J33"/>
    <mergeCell ref="A34:B34"/>
    <mergeCell ref="C34:J34"/>
    <mergeCell ref="A35:B35"/>
    <mergeCell ref="C35:J35"/>
    <mergeCell ref="A36:B36"/>
    <mergeCell ref="C36:J36"/>
    <mergeCell ref="A37:B37"/>
    <mergeCell ref="C37:J37"/>
    <mergeCell ref="A38:B38"/>
    <mergeCell ref="C38:J38"/>
  </mergeCells>
  <pageMargins left="0.51181102362204722" right="0.51181102362204722" top="0.78740157480314965" bottom="0.78740157480314965" header="0.31496062992125984" footer="0.31496062992125984"/>
  <pageSetup paperSize="9" scale="6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opLeftCell="A19" workbookViewId="0">
      <selection activeCell="O41" sqref="O41"/>
    </sheetView>
  </sheetViews>
  <sheetFormatPr defaultRowHeight="13.2" x14ac:dyDescent="0.25"/>
  <cols>
    <col min="1" max="1" width="23.77734375" customWidth="1"/>
    <col min="2" max="2" width="7.21875" customWidth="1"/>
    <col min="3" max="3" width="7.109375" customWidth="1"/>
    <col min="4" max="4" width="6.77734375" customWidth="1"/>
    <col min="5" max="5" width="7.21875" customWidth="1"/>
    <col min="6" max="6" width="7.33203125" customWidth="1"/>
    <col min="7" max="7" width="8.88671875" customWidth="1"/>
    <col min="9" max="9" width="6.88671875" customWidth="1"/>
    <col min="10" max="10" width="6" customWidth="1"/>
  </cols>
  <sheetData>
    <row r="1" spans="1:10" ht="42" customHeight="1" x14ac:dyDescent="0.25">
      <c r="A1" s="401" t="s">
        <v>315</v>
      </c>
      <c r="B1" s="402"/>
      <c r="C1" s="402"/>
      <c r="D1" s="402"/>
      <c r="E1" s="402"/>
      <c r="F1" s="402"/>
      <c r="G1" s="402"/>
      <c r="H1" s="402"/>
      <c r="I1" s="402"/>
      <c r="J1" s="403"/>
    </row>
    <row r="2" spans="1:10" ht="22.8" customHeight="1" thickBot="1" x14ac:dyDescent="0.3">
      <c r="A2" s="404"/>
      <c r="B2" s="405"/>
      <c r="C2" s="405"/>
      <c r="D2" s="405"/>
      <c r="E2" s="405"/>
      <c r="F2" s="405"/>
      <c r="G2" s="405"/>
      <c r="H2" s="405"/>
      <c r="I2" s="405"/>
      <c r="J2" s="406"/>
    </row>
    <row r="3" spans="1:10" ht="7.2" customHeight="1" x14ac:dyDescent="0.25">
      <c r="A3" s="155"/>
      <c r="B3" s="154"/>
      <c r="C3" s="154"/>
      <c r="D3" s="154"/>
      <c r="E3" s="154"/>
      <c r="F3" s="154"/>
      <c r="G3" s="154"/>
      <c r="H3" s="154"/>
      <c r="I3" s="154"/>
      <c r="J3" s="156"/>
    </row>
    <row r="4" spans="1:10" ht="4.8" hidden="1" customHeight="1" x14ac:dyDescent="0.25">
      <c r="A4" s="9"/>
      <c r="J4" s="10"/>
    </row>
    <row r="5" spans="1:10" hidden="1" x14ac:dyDescent="0.25">
      <c r="A5" s="9"/>
      <c r="J5" s="10"/>
    </row>
    <row r="6" spans="1:10" hidden="1" x14ac:dyDescent="0.25">
      <c r="A6" s="9"/>
      <c r="J6" s="10"/>
    </row>
    <row r="7" spans="1:10" hidden="1" x14ac:dyDescent="0.25">
      <c r="A7" s="9"/>
      <c r="J7" s="10"/>
    </row>
    <row r="8" spans="1:10" hidden="1" x14ac:dyDescent="0.25">
      <c r="A8" s="9"/>
      <c r="J8" s="10"/>
    </row>
    <row r="9" spans="1:10" hidden="1" x14ac:dyDescent="0.25">
      <c r="A9" s="9"/>
      <c r="J9" s="10"/>
    </row>
    <row r="10" spans="1:10" hidden="1" x14ac:dyDescent="0.25">
      <c r="A10" s="9"/>
      <c r="J10" s="10"/>
    </row>
    <row r="11" spans="1:10" hidden="1" x14ac:dyDescent="0.25">
      <c r="A11" s="9"/>
      <c r="J11" s="10"/>
    </row>
    <row r="12" spans="1:10" hidden="1" x14ac:dyDescent="0.25">
      <c r="A12" s="9"/>
      <c r="J12" s="10"/>
    </row>
    <row r="13" spans="1:10" hidden="1" x14ac:dyDescent="0.25">
      <c r="A13" s="9"/>
      <c r="J13" s="10"/>
    </row>
    <row r="14" spans="1:10" hidden="1" x14ac:dyDescent="0.25">
      <c r="A14" s="9"/>
      <c r="J14" s="10"/>
    </row>
    <row r="15" spans="1:10" hidden="1" x14ac:dyDescent="0.25">
      <c r="A15" s="9"/>
      <c r="J15" s="10"/>
    </row>
    <row r="16" spans="1:10" ht="16.8" x14ac:dyDescent="0.3">
      <c r="A16" s="434" t="s">
        <v>426</v>
      </c>
      <c r="B16" s="434"/>
      <c r="C16" s="434"/>
      <c r="D16" s="434"/>
      <c r="E16" s="434"/>
      <c r="F16" s="434"/>
      <c r="G16" s="434"/>
      <c r="H16" s="434"/>
      <c r="I16" s="434"/>
      <c r="J16" s="434"/>
    </row>
    <row r="17" spans="1:10" x14ac:dyDescent="0.25">
      <c r="A17" s="340"/>
      <c r="B17" s="340"/>
      <c r="C17" s="340"/>
      <c r="D17" s="340"/>
      <c r="E17" s="340"/>
      <c r="F17" s="340"/>
      <c r="G17" s="340"/>
      <c r="H17" s="340"/>
      <c r="I17" s="340"/>
      <c r="J17" s="340"/>
    </row>
    <row r="18" spans="1:10" ht="18.600000000000001" customHeight="1" x14ac:dyDescent="0.25">
      <c r="A18" s="435" t="s">
        <v>280</v>
      </c>
      <c r="B18" s="436"/>
      <c r="C18" s="436"/>
      <c r="D18" s="436"/>
      <c r="E18" s="436"/>
      <c r="F18" s="436"/>
      <c r="G18" s="436"/>
      <c r="H18" s="436"/>
      <c r="I18" s="436"/>
      <c r="J18" s="437"/>
    </row>
    <row r="19" spans="1:10" ht="13.2" customHeight="1" x14ac:dyDescent="0.25">
      <c r="A19" s="438" t="s">
        <v>281</v>
      </c>
      <c r="B19" s="438" t="s">
        <v>282</v>
      </c>
      <c r="C19" s="439" t="s">
        <v>427</v>
      </c>
      <c r="D19" s="439"/>
      <c r="E19" s="439"/>
      <c r="F19" s="439"/>
      <c r="G19" s="439"/>
      <c r="H19" s="439"/>
      <c r="I19" s="439"/>
      <c r="J19" s="440" t="s">
        <v>428</v>
      </c>
    </row>
    <row r="20" spans="1:10" ht="13.2" customHeight="1" x14ac:dyDescent="0.25">
      <c r="A20" s="438"/>
      <c r="B20" s="439"/>
      <c r="C20" s="443" t="s">
        <v>283</v>
      </c>
      <c r="D20" s="444"/>
      <c r="E20" s="444"/>
      <c r="F20" s="445"/>
      <c r="G20" s="443" t="s">
        <v>284</v>
      </c>
      <c r="H20" s="444"/>
      <c r="I20" s="445"/>
      <c r="J20" s="441"/>
    </row>
    <row r="21" spans="1:10" ht="21.6" customHeight="1" x14ac:dyDescent="0.25">
      <c r="A21" s="438"/>
      <c r="B21" s="439"/>
      <c r="C21" s="341">
        <v>0.02</v>
      </c>
      <c r="D21" s="341">
        <v>0.03</v>
      </c>
      <c r="E21" s="341">
        <v>0.04</v>
      </c>
      <c r="F21" s="341">
        <v>0.05</v>
      </c>
      <c r="G21" s="342" t="s">
        <v>429</v>
      </c>
      <c r="H21" s="342" t="s">
        <v>430</v>
      </c>
      <c r="I21" s="342" t="s">
        <v>431</v>
      </c>
      <c r="J21" s="442"/>
    </row>
    <row r="22" spans="1:10" x14ac:dyDescent="0.25">
      <c r="A22" s="343" t="s">
        <v>285</v>
      </c>
      <c r="B22" s="145" t="s">
        <v>286</v>
      </c>
      <c r="C22" s="146">
        <v>1</v>
      </c>
      <c r="D22" s="146">
        <v>1</v>
      </c>
      <c r="E22" s="146">
        <v>1</v>
      </c>
      <c r="F22" s="146">
        <v>1</v>
      </c>
      <c r="G22" s="146">
        <v>1</v>
      </c>
      <c r="H22" s="146">
        <v>1</v>
      </c>
      <c r="I22" s="146">
        <v>1</v>
      </c>
      <c r="J22" s="344"/>
    </row>
    <row r="23" spans="1:10" x14ac:dyDescent="0.25">
      <c r="A23" s="343" t="s">
        <v>287</v>
      </c>
      <c r="B23" s="145" t="s">
        <v>288</v>
      </c>
      <c r="C23" s="147">
        <v>4.6699999999999998E-2</v>
      </c>
      <c r="D23" s="147">
        <v>4.6699999999999998E-2</v>
      </c>
      <c r="E23" s="147">
        <v>4.6699999999999998E-2</v>
      </c>
      <c r="F23" s="147">
        <v>4.6699999999999998E-2</v>
      </c>
      <c r="G23" s="148">
        <v>3.4200000000000001E-2</v>
      </c>
      <c r="H23" s="148">
        <v>4.0099999999999997E-2</v>
      </c>
      <c r="I23" s="148">
        <v>3.4200000000000001E-2</v>
      </c>
      <c r="J23" s="344" t="s">
        <v>286</v>
      </c>
    </row>
    <row r="24" spans="1:10" x14ac:dyDescent="0.25">
      <c r="A24" s="343" t="s">
        <v>289</v>
      </c>
      <c r="B24" s="145" t="s">
        <v>290</v>
      </c>
      <c r="C24" s="147">
        <v>7.5300000000000006E-2</v>
      </c>
      <c r="D24" s="147">
        <v>7.5300000000000006E-2</v>
      </c>
      <c r="E24" s="147">
        <v>7.5300000000000006E-2</v>
      </c>
      <c r="F24" s="147">
        <v>7.5300000000000006E-2</v>
      </c>
      <c r="G24" s="149">
        <v>4.9399999999999999E-2</v>
      </c>
      <c r="H24" s="148">
        <v>6.6400000000000001E-2</v>
      </c>
      <c r="I24" s="149">
        <v>4.9399999999999999E-2</v>
      </c>
      <c r="J24" s="344" t="s">
        <v>286</v>
      </c>
    </row>
    <row r="25" spans="1:10" x14ac:dyDescent="0.25">
      <c r="A25" s="343" t="s">
        <v>291</v>
      </c>
      <c r="B25" s="145" t="s">
        <v>292</v>
      </c>
      <c r="C25" s="147">
        <v>9.2999999999999992E-3</v>
      </c>
      <c r="D25" s="147">
        <v>9.2999999999999992E-3</v>
      </c>
      <c r="E25" s="147">
        <v>9.2999999999999992E-3</v>
      </c>
      <c r="F25" s="147">
        <v>9.2999999999999992E-3</v>
      </c>
      <c r="G25" s="148">
        <v>9.2999999999999992E-3</v>
      </c>
      <c r="H25" s="148">
        <v>9.2999999999999992E-3</v>
      </c>
      <c r="I25" s="148">
        <v>9.2999999999999992E-3</v>
      </c>
      <c r="J25" s="344" t="s">
        <v>286</v>
      </c>
    </row>
    <row r="26" spans="1:10" x14ac:dyDescent="0.25">
      <c r="A26" s="343" t="s">
        <v>293</v>
      </c>
      <c r="B26" s="150"/>
      <c r="C26" s="151">
        <f>SUM(C27:C28)</f>
        <v>1.7100000000000001E-2</v>
      </c>
      <c r="D26" s="151">
        <f t="shared" ref="D26:I26" si="0">SUM(D27:D28)</f>
        <v>1.7100000000000001E-2</v>
      </c>
      <c r="E26" s="151">
        <f t="shared" si="0"/>
        <v>1.7100000000000001E-2</v>
      </c>
      <c r="F26" s="151">
        <f t="shared" si="0"/>
        <v>1.7100000000000001E-2</v>
      </c>
      <c r="G26" s="151">
        <f t="shared" si="0"/>
        <v>1.29E-2</v>
      </c>
      <c r="H26" s="151">
        <f t="shared" si="0"/>
        <v>8.2000000000000007E-3</v>
      </c>
      <c r="I26" s="151">
        <f t="shared" si="0"/>
        <v>1.29E-2</v>
      </c>
      <c r="J26" s="345" t="s">
        <v>286</v>
      </c>
    </row>
    <row r="27" spans="1:10" x14ac:dyDescent="0.25">
      <c r="A27" s="343" t="s">
        <v>294</v>
      </c>
      <c r="B27" s="145" t="s">
        <v>295</v>
      </c>
      <c r="C27" s="147">
        <v>7.4000000000000003E-3</v>
      </c>
      <c r="D27" s="147">
        <v>7.4000000000000003E-3</v>
      </c>
      <c r="E27" s="147">
        <v>7.4000000000000003E-3</v>
      </c>
      <c r="F27" s="147">
        <v>7.4000000000000003E-3</v>
      </c>
      <c r="G27" s="148">
        <v>5.3E-3</v>
      </c>
      <c r="H27" s="148">
        <v>3.2000000000000002E-3</v>
      </c>
      <c r="I27" s="148">
        <v>5.3E-3</v>
      </c>
      <c r="J27" s="344" t="s">
        <v>286</v>
      </c>
    </row>
    <row r="28" spans="1:10" x14ac:dyDescent="0.25">
      <c r="A28" s="343" t="s">
        <v>296</v>
      </c>
      <c r="B28" s="145" t="s">
        <v>297</v>
      </c>
      <c r="C28" s="147">
        <v>9.7000000000000003E-3</v>
      </c>
      <c r="D28" s="147">
        <v>9.7000000000000003E-3</v>
      </c>
      <c r="E28" s="147">
        <v>9.7000000000000003E-3</v>
      </c>
      <c r="F28" s="147">
        <v>9.7000000000000003E-3</v>
      </c>
      <c r="G28" s="148">
        <v>7.6E-3</v>
      </c>
      <c r="H28" s="148">
        <v>5.0000000000000001E-3</v>
      </c>
      <c r="I28" s="148">
        <v>7.6E-3</v>
      </c>
      <c r="J28" s="344" t="s">
        <v>286</v>
      </c>
    </row>
    <row r="29" spans="1:10" x14ac:dyDescent="0.25">
      <c r="A29" s="343" t="s">
        <v>298</v>
      </c>
      <c r="B29" s="145" t="s">
        <v>299</v>
      </c>
      <c r="C29" s="151">
        <f t="shared" ref="C29:I29" si="1">SUM(C30:C32)</f>
        <v>5.0500000000000003E-2</v>
      </c>
      <c r="D29" s="151">
        <f t="shared" si="1"/>
        <v>5.7500000000000002E-2</v>
      </c>
      <c r="E29" s="151">
        <f t="shared" si="1"/>
        <v>6.4500000000000002E-2</v>
      </c>
      <c r="F29" s="151">
        <f t="shared" si="1"/>
        <v>7.1499999999999994E-2</v>
      </c>
      <c r="G29" s="151">
        <f t="shared" si="1"/>
        <v>3.6499999999999998E-2</v>
      </c>
      <c r="H29" s="151">
        <f t="shared" si="1"/>
        <v>6.1499999999999999E-2</v>
      </c>
      <c r="I29" s="151">
        <f t="shared" si="1"/>
        <v>6.1499999999999999E-2</v>
      </c>
      <c r="J29" s="345" t="s">
        <v>300</v>
      </c>
    </row>
    <row r="30" spans="1:10" x14ac:dyDescent="0.25">
      <c r="A30" s="343" t="s">
        <v>301</v>
      </c>
      <c r="B30" s="150" t="s">
        <v>302</v>
      </c>
      <c r="C30" s="346">
        <v>1.4E-2</v>
      </c>
      <c r="D30" s="346">
        <v>2.1000000000000001E-2</v>
      </c>
      <c r="E30" s="346">
        <v>2.8000000000000001E-2</v>
      </c>
      <c r="F30" s="346">
        <v>3.5000000000000003E-2</v>
      </c>
      <c r="G30" s="346" t="s">
        <v>303</v>
      </c>
      <c r="H30" s="346">
        <v>2.5000000000000001E-2</v>
      </c>
      <c r="I30" s="346">
        <v>2.5000000000000001E-2</v>
      </c>
      <c r="J30" s="344" t="s">
        <v>300</v>
      </c>
    </row>
    <row r="31" spans="1:10" x14ac:dyDescent="0.25">
      <c r="A31" s="343" t="s">
        <v>304</v>
      </c>
      <c r="B31" s="150" t="s">
        <v>304</v>
      </c>
      <c r="C31" s="147">
        <v>6.4999999999999997E-3</v>
      </c>
      <c r="D31" s="147">
        <v>6.4999999999999997E-3</v>
      </c>
      <c r="E31" s="147">
        <v>6.4999999999999997E-3</v>
      </c>
      <c r="F31" s="147">
        <v>6.4999999999999997E-3</v>
      </c>
      <c r="G31" s="147">
        <v>6.4999999999999997E-3</v>
      </c>
      <c r="H31" s="147">
        <v>6.4999999999999997E-3</v>
      </c>
      <c r="I31" s="147">
        <v>6.4999999999999997E-3</v>
      </c>
      <c r="J31" s="344" t="s">
        <v>300</v>
      </c>
    </row>
    <row r="32" spans="1:10" x14ac:dyDescent="0.25">
      <c r="A32" s="343" t="s">
        <v>305</v>
      </c>
      <c r="B32" s="150" t="s">
        <v>303</v>
      </c>
      <c r="C32" s="147">
        <v>0.03</v>
      </c>
      <c r="D32" s="147">
        <v>0.03</v>
      </c>
      <c r="E32" s="147">
        <v>0.03</v>
      </c>
      <c r="F32" s="147">
        <v>0.03</v>
      </c>
      <c r="G32" s="147">
        <v>0.03</v>
      </c>
      <c r="H32" s="147">
        <v>0.03</v>
      </c>
      <c r="I32" s="147">
        <v>0.03</v>
      </c>
      <c r="J32" s="344" t="s">
        <v>300</v>
      </c>
    </row>
    <row r="33" spans="1:10" x14ac:dyDescent="0.25">
      <c r="A33" s="343" t="s">
        <v>306</v>
      </c>
      <c r="B33" s="150" t="s">
        <v>307</v>
      </c>
      <c r="C33" s="152">
        <v>4.4999999999999998E-2</v>
      </c>
      <c r="D33" s="152">
        <v>4.4999999999999998E-2</v>
      </c>
      <c r="E33" s="152">
        <v>4.4999999999999998E-2</v>
      </c>
      <c r="F33" s="152">
        <v>4.4999999999999998E-2</v>
      </c>
      <c r="G33" s="152">
        <v>4.4999999999999998E-2</v>
      </c>
      <c r="H33" s="152">
        <v>4.4999999999999998E-2</v>
      </c>
      <c r="I33" s="152">
        <v>4.4999999999999998E-2</v>
      </c>
      <c r="J33" s="344" t="s">
        <v>300</v>
      </c>
    </row>
    <row r="34" spans="1:10" x14ac:dyDescent="0.25">
      <c r="A34" s="412"/>
      <c r="B34" s="413"/>
      <c r="C34" s="413"/>
      <c r="D34" s="413"/>
      <c r="E34" s="413"/>
      <c r="F34" s="413"/>
      <c r="G34" s="413"/>
      <c r="H34" s="413"/>
      <c r="I34" s="413"/>
      <c r="J34" s="414"/>
    </row>
    <row r="35" spans="1:10" x14ac:dyDescent="0.25">
      <c r="A35" s="415" t="s">
        <v>308</v>
      </c>
      <c r="B35" s="416"/>
      <c r="C35" s="419" t="s">
        <v>309</v>
      </c>
      <c r="D35" s="420"/>
      <c r="E35" s="420"/>
      <c r="F35" s="420"/>
      <c r="G35" s="420"/>
      <c r="H35" s="420"/>
      <c r="I35" s="420"/>
      <c r="J35" s="421"/>
    </row>
    <row r="36" spans="1:10" x14ac:dyDescent="0.25">
      <c r="A36" s="417"/>
      <c r="B36" s="418"/>
      <c r="C36" s="422" t="s">
        <v>310</v>
      </c>
      <c r="D36" s="423"/>
      <c r="E36" s="423"/>
      <c r="F36" s="423"/>
      <c r="G36" s="423"/>
      <c r="H36" s="423"/>
      <c r="I36" s="423"/>
      <c r="J36" s="424"/>
    </row>
    <row r="37" spans="1:10" x14ac:dyDescent="0.25">
      <c r="A37" s="425" t="s">
        <v>311</v>
      </c>
      <c r="B37" s="426"/>
      <c r="C37" s="153">
        <f>(1+(C23+C26))*(1+C25)*(1+C24)-1</f>
        <v>0.1545</v>
      </c>
      <c r="D37" s="153">
        <f t="shared" ref="D37:I37" si="2">(1+(D23+D26))*(1+D25)*(1+D24)-1</f>
        <v>0.1545</v>
      </c>
      <c r="E37" s="153">
        <f t="shared" si="2"/>
        <v>0.1545</v>
      </c>
      <c r="F37" s="153">
        <f t="shared" si="2"/>
        <v>0.1545</v>
      </c>
      <c r="G37" s="153">
        <f t="shared" si="2"/>
        <v>0.109</v>
      </c>
      <c r="H37" s="153">
        <f t="shared" si="2"/>
        <v>0.1283</v>
      </c>
      <c r="I37" s="153">
        <f t="shared" si="2"/>
        <v>0.109</v>
      </c>
      <c r="J37" s="427"/>
    </row>
    <row r="38" spans="1:10" ht="13.8" thickBot="1" x14ac:dyDescent="0.3">
      <c r="A38" s="425" t="s">
        <v>312</v>
      </c>
      <c r="B38" s="426"/>
      <c r="C38" s="153">
        <f>(1-(C29+C33))</f>
        <v>0.90449999999999997</v>
      </c>
      <c r="D38" s="157">
        <f t="shared" ref="D38:I38" si="3">(1-(D29+D33))</f>
        <v>0.89749999999999996</v>
      </c>
      <c r="E38" s="153">
        <f t="shared" si="3"/>
        <v>0.89049999999999996</v>
      </c>
      <c r="F38" s="153">
        <f t="shared" si="3"/>
        <v>0.88349999999999995</v>
      </c>
      <c r="G38" s="153">
        <f t="shared" si="3"/>
        <v>0.91849999999999998</v>
      </c>
      <c r="H38" s="153">
        <f t="shared" si="3"/>
        <v>0.89349999999999996</v>
      </c>
      <c r="I38" s="153">
        <f t="shared" si="3"/>
        <v>0.89349999999999996</v>
      </c>
      <c r="J38" s="428"/>
    </row>
    <row r="39" spans="1:10" x14ac:dyDescent="0.25">
      <c r="A39" s="430" t="s">
        <v>313</v>
      </c>
      <c r="B39" s="431"/>
      <c r="C39" s="407">
        <f>(1+C37)/C38-1</f>
        <v>0.27639999999999998</v>
      </c>
      <c r="D39" s="408">
        <f t="shared" ref="D39:I39" si="4">(1+D37)/D38-1</f>
        <v>0.28639999999999999</v>
      </c>
      <c r="E39" s="410">
        <f t="shared" si="4"/>
        <v>0.29649999999999999</v>
      </c>
      <c r="F39" s="411">
        <f t="shared" si="4"/>
        <v>0.30669999999999997</v>
      </c>
      <c r="G39" s="411">
        <f t="shared" si="4"/>
        <v>0.2074</v>
      </c>
      <c r="H39" s="411">
        <f t="shared" si="4"/>
        <v>0.26279999999999998</v>
      </c>
      <c r="I39" s="411">
        <f t="shared" si="4"/>
        <v>0.2412</v>
      </c>
      <c r="J39" s="428"/>
    </row>
    <row r="40" spans="1:10" ht="13.8" thickBot="1" x14ac:dyDescent="0.3">
      <c r="A40" s="432"/>
      <c r="B40" s="433"/>
      <c r="C40" s="407"/>
      <c r="D40" s="409"/>
      <c r="E40" s="410"/>
      <c r="F40" s="411"/>
      <c r="G40" s="411"/>
      <c r="H40" s="411"/>
      <c r="I40" s="411"/>
      <c r="J40" s="429"/>
    </row>
    <row r="41" spans="1:10" x14ac:dyDescent="0.25">
      <c r="A41" s="394" t="s">
        <v>314</v>
      </c>
      <c r="B41" s="395"/>
      <c r="C41" s="395"/>
      <c r="D41" s="396"/>
      <c r="E41" s="395"/>
      <c r="F41" s="395"/>
      <c r="G41" s="395"/>
      <c r="H41" s="395"/>
      <c r="I41" s="395"/>
      <c r="J41" s="397"/>
    </row>
    <row r="42" spans="1:10" ht="93" customHeight="1" x14ac:dyDescent="0.25">
      <c r="A42" s="398" t="s">
        <v>432</v>
      </c>
      <c r="B42" s="399"/>
      <c r="C42" s="399"/>
      <c r="D42" s="399"/>
      <c r="E42" s="399"/>
      <c r="F42" s="399"/>
      <c r="G42" s="399"/>
      <c r="H42" s="399"/>
      <c r="I42" s="399"/>
      <c r="J42" s="400"/>
    </row>
  </sheetData>
  <mergeCells count="26">
    <mergeCell ref="H39:H40"/>
    <mergeCell ref="I39:I40"/>
    <mergeCell ref="A16:J16"/>
    <mergeCell ref="A18:J18"/>
    <mergeCell ref="A19:A21"/>
    <mergeCell ref="B19:B21"/>
    <mergeCell ref="C19:I19"/>
    <mergeCell ref="J19:J21"/>
    <mergeCell ref="C20:F20"/>
    <mergeCell ref="G20:I20"/>
    <mergeCell ref="A41:J41"/>
    <mergeCell ref="A42:J42"/>
    <mergeCell ref="A1:J2"/>
    <mergeCell ref="C39:C40"/>
    <mergeCell ref="D39:D40"/>
    <mergeCell ref="E39:E40"/>
    <mergeCell ref="F39:F40"/>
    <mergeCell ref="G39:G40"/>
    <mergeCell ref="A34:J34"/>
    <mergeCell ref="A35:B36"/>
    <mergeCell ref="C35:J35"/>
    <mergeCell ref="C36:J36"/>
    <mergeCell ref="A37:B37"/>
    <mergeCell ref="J37:J40"/>
    <mergeCell ref="A38:B38"/>
    <mergeCell ref="A39:B40"/>
  </mergeCells>
  <pageMargins left="0.51181102362204722" right="0.51181102362204722" top="0.78740157480314965" bottom="0.78740157480314965" header="0.31496062992125984" footer="0.31496062992125984"/>
  <pageSetup paperSize="9" scale="11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3"/>
  <sheetViews>
    <sheetView zoomScale="85" zoomScaleNormal="85" workbookViewId="0">
      <selection activeCell="O117" sqref="O117"/>
    </sheetView>
  </sheetViews>
  <sheetFormatPr defaultRowHeight="13.2" x14ac:dyDescent="0.25"/>
  <cols>
    <col min="1" max="1" width="7.77734375" customWidth="1"/>
    <col min="2" max="2" width="20.6640625" hidden="1" customWidth="1"/>
    <col min="3" max="3" width="101.33203125" customWidth="1"/>
    <col min="4" max="5" width="9.109375" hidden="1" customWidth="1"/>
    <col min="6" max="6" width="7.6640625" hidden="1" customWidth="1"/>
    <col min="7" max="7" width="0.109375" hidden="1" customWidth="1"/>
    <col min="8" max="8" width="11.77734375" customWidth="1"/>
    <col min="9" max="9" width="14" hidden="1" customWidth="1"/>
    <col min="10" max="10" width="15.33203125" customWidth="1"/>
    <col min="11" max="11" width="10.33203125" customWidth="1"/>
    <col min="12" max="12" width="12.77734375" customWidth="1"/>
    <col min="13" max="13" width="16.109375" customWidth="1"/>
    <col min="14" max="14" width="11.44140625" customWidth="1"/>
    <col min="15" max="15" width="16.109375" bestFit="1" customWidth="1"/>
    <col min="16" max="16" width="17.109375" customWidth="1"/>
    <col min="17" max="17" width="17.109375" bestFit="1" customWidth="1"/>
  </cols>
  <sheetData>
    <row r="1" spans="1:17" ht="63" customHeight="1" thickBot="1" x14ac:dyDescent="0.3">
      <c r="A1" s="489" t="s">
        <v>3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1"/>
    </row>
    <row r="2" spans="1:17" ht="17.25" customHeight="1" thickBot="1" x14ac:dyDescent="0.3">
      <c r="A2" s="492" t="s">
        <v>221</v>
      </c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4"/>
    </row>
    <row r="3" spans="1:17" ht="15" customHeight="1" x14ac:dyDescent="0.25">
      <c r="A3" s="502" t="s">
        <v>4</v>
      </c>
      <c r="B3" s="503"/>
      <c r="C3" s="503"/>
      <c r="D3" s="503"/>
      <c r="E3" s="132"/>
      <c r="F3" s="133"/>
      <c r="G3" s="133"/>
      <c r="H3" s="516" t="s">
        <v>337</v>
      </c>
      <c r="I3" s="516"/>
      <c r="J3" s="516"/>
      <c r="K3" s="516"/>
      <c r="L3" s="449" t="s">
        <v>227</v>
      </c>
      <c r="M3" s="452"/>
      <c r="N3" s="451" t="s">
        <v>225</v>
      </c>
      <c r="O3" s="452"/>
      <c r="P3" s="449" t="s">
        <v>224</v>
      </c>
      <c r="Q3" s="450"/>
    </row>
    <row r="4" spans="1:17" ht="14.25" customHeight="1" x14ac:dyDescent="0.25">
      <c r="A4" s="495" t="str">
        <f>'Planilha Orçamentaria'!A4:E4</f>
        <v>SERVIÇO: Fornecimento e aplicação de concreto usinado.</v>
      </c>
      <c r="B4" s="496"/>
      <c r="C4" s="496"/>
      <c r="D4" s="496"/>
      <c r="E4" s="497"/>
      <c r="F4" s="62" t="s">
        <v>226</v>
      </c>
      <c r="G4" s="130"/>
      <c r="H4" s="516" t="s">
        <v>338</v>
      </c>
      <c r="I4" s="516"/>
      <c r="J4" s="516"/>
      <c r="K4" s="516"/>
      <c r="L4" s="457"/>
      <c r="M4" s="458"/>
      <c r="N4" s="453">
        <v>1</v>
      </c>
      <c r="O4" s="454"/>
      <c r="P4" s="134"/>
      <c r="Q4" s="135"/>
    </row>
    <row r="5" spans="1:17" ht="15" customHeight="1" x14ac:dyDescent="0.25">
      <c r="A5" s="504" t="str">
        <f>'Planilha Orçamentaria'!A5:D5</f>
        <v>Endereço: Municipio de Orizânia/MG.</v>
      </c>
      <c r="B5" s="505"/>
      <c r="C5" s="505"/>
      <c r="D5" s="506"/>
      <c r="E5" s="63" t="s">
        <v>5</v>
      </c>
      <c r="F5" s="64">
        <v>0.03</v>
      </c>
      <c r="G5" s="62" t="s">
        <v>222</v>
      </c>
      <c r="H5" s="498" t="s">
        <v>339</v>
      </c>
      <c r="I5" s="498"/>
      <c r="J5" s="498"/>
      <c r="K5" s="498"/>
      <c r="L5" s="475" t="s">
        <v>276</v>
      </c>
      <c r="M5" s="476"/>
      <c r="N5" s="473" t="s">
        <v>340</v>
      </c>
      <c r="O5" s="473"/>
      <c r="P5" s="473"/>
      <c r="Q5" s="474"/>
    </row>
    <row r="6" spans="1:17" ht="15.75" customHeight="1" x14ac:dyDescent="0.25">
      <c r="A6" s="507" t="str">
        <f>'Planilha Orçamentaria'!A6:D6</f>
        <v>REGIÃO/MÊS DE REFERÊNCIA:  SETOP MG 08/2023 - CPOS São Paulo 05/2023 - Orse Sergipe 05/2023 (Desonerado)</v>
      </c>
      <c r="B6" s="508"/>
      <c r="C6" s="508"/>
      <c r="D6" s="509"/>
      <c r="E6" s="510" t="s">
        <v>7</v>
      </c>
      <c r="F6" s="512" t="s">
        <v>8</v>
      </c>
      <c r="G6" s="65" t="s">
        <v>9</v>
      </c>
      <c r="H6" s="499" t="s">
        <v>230</v>
      </c>
      <c r="I6" s="500"/>
      <c r="J6" s="500"/>
      <c r="K6" s="501"/>
      <c r="L6" s="447" t="s">
        <v>229</v>
      </c>
      <c r="M6" s="448"/>
      <c r="N6" s="447" t="s">
        <v>228</v>
      </c>
      <c r="O6" s="448"/>
      <c r="P6" s="480" t="s">
        <v>223</v>
      </c>
      <c r="Q6" s="481"/>
    </row>
    <row r="7" spans="1:17" ht="15" customHeight="1" thickBot="1" x14ac:dyDescent="0.3">
      <c r="A7" s="514"/>
      <c r="B7" s="512"/>
      <c r="C7" s="512"/>
      <c r="D7" s="515"/>
      <c r="E7" s="511"/>
      <c r="F7" s="513"/>
      <c r="G7" s="131" t="s">
        <v>11</v>
      </c>
      <c r="H7" s="482"/>
      <c r="I7" s="483"/>
      <c r="J7" s="483"/>
      <c r="K7" s="484"/>
      <c r="L7" s="456">
        <f>H7</f>
        <v>0</v>
      </c>
      <c r="M7" s="452"/>
      <c r="N7" s="455"/>
      <c r="O7" s="452"/>
      <c r="P7" s="479">
        <f>L7-N7</f>
        <v>0</v>
      </c>
      <c r="Q7" s="450"/>
    </row>
    <row r="8" spans="1:17" ht="18" customHeight="1" x14ac:dyDescent="0.25">
      <c r="A8" s="459" t="s">
        <v>1</v>
      </c>
      <c r="B8" s="66"/>
      <c r="C8" s="487" t="s">
        <v>13</v>
      </c>
      <c r="D8" s="487" t="s">
        <v>14</v>
      </c>
      <c r="E8" s="67"/>
      <c r="F8" s="67"/>
      <c r="G8" s="68"/>
      <c r="H8" s="485" t="s">
        <v>211</v>
      </c>
      <c r="I8" s="69"/>
      <c r="J8" s="446" t="s">
        <v>219</v>
      </c>
      <c r="K8" s="446" t="s">
        <v>212</v>
      </c>
      <c r="L8" s="446"/>
      <c r="M8" s="446"/>
      <c r="N8" s="461" t="s">
        <v>213</v>
      </c>
      <c r="O8" s="446" t="s">
        <v>214</v>
      </c>
      <c r="P8" s="446" t="s">
        <v>215</v>
      </c>
      <c r="Q8" s="477"/>
    </row>
    <row r="9" spans="1:17" ht="36.6" customHeight="1" thickBot="1" x14ac:dyDescent="0.3">
      <c r="A9" s="460"/>
      <c r="B9" s="72" t="s">
        <v>12</v>
      </c>
      <c r="C9" s="488"/>
      <c r="D9" s="488"/>
      <c r="E9" s="73" t="s">
        <v>15</v>
      </c>
      <c r="F9" s="74" t="s">
        <v>16</v>
      </c>
      <c r="G9" s="75" t="s">
        <v>210</v>
      </c>
      <c r="H9" s="486"/>
      <c r="I9" s="76" t="s">
        <v>40</v>
      </c>
      <c r="J9" s="463"/>
      <c r="K9" s="141" t="s">
        <v>216</v>
      </c>
      <c r="L9" s="142" t="s">
        <v>220</v>
      </c>
      <c r="M9" s="142" t="s">
        <v>218</v>
      </c>
      <c r="N9" s="462"/>
      <c r="O9" s="463"/>
      <c r="P9" s="143" t="s">
        <v>217</v>
      </c>
      <c r="Q9" s="144" t="s">
        <v>218</v>
      </c>
    </row>
    <row r="10" spans="1:17" x14ac:dyDescent="0.25">
      <c r="A10" s="70"/>
      <c r="B10" s="71"/>
      <c r="C10" s="478"/>
      <c r="D10" s="478"/>
      <c r="E10" s="478"/>
      <c r="F10" s="478"/>
      <c r="G10" s="478"/>
      <c r="H10" s="77"/>
      <c r="I10" s="78"/>
      <c r="J10" s="79"/>
      <c r="K10" s="80"/>
      <c r="L10" s="80"/>
      <c r="M10" s="80"/>
      <c r="N10" s="81"/>
      <c r="O10" s="81"/>
      <c r="P10" s="81"/>
      <c r="Q10" s="107"/>
    </row>
    <row r="11" spans="1:17" x14ac:dyDescent="0.25">
      <c r="A11" s="52"/>
      <c r="B11" s="20"/>
      <c r="C11" s="3"/>
      <c r="D11" s="46"/>
      <c r="E11" s="17"/>
      <c r="F11" s="17"/>
      <c r="G11" s="17"/>
      <c r="H11" s="82"/>
      <c r="I11" s="83"/>
      <c r="J11" s="84"/>
      <c r="K11" s="85"/>
      <c r="L11" s="85"/>
      <c r="M11" s="85"/>
      <c r="N11" s="86"/>
      <c r="O11" s="87"/>
      <c r="P11" s="87"/>
      <c r="Q11" s="88"/>
    </row>
    <row r="12" spans="1:17" x14ac:dyDescent="0.25">
      <c r="A12" s="7"/>
      <c r="B12" s="29"/>
      <c r="C12" s="5"/>
      <c r="D12" s="29"/>
      <c r="E12" s="29"/>
      <c r="F12" s="29"/>
      <c r="G12" s="29"/>
      <c r="H12" s="89"/>
      <c r="I12" s="89"/>
      <c r="J12" s="89"/>
      <c r="K12" s="89"/>
      <c r="L12" s="89"/>
      <c r="M12" s="89"/>
      <c r="N12" s="89"/>
      <c r="O12" s="89"/>
      <c r="P12" s="108"/>
      <c r="Q12" s="110"/>
    </row>
    <row r="13" spans="1:17" ht="13.5" customHeight="1" x14ac:dyDescent="0.25">
      <c r="A13" s="8"/>
      <c r="B13" s="2"/>
      <c r="C13" s="3"/>
      <c r="D13" s="1"/>
      <c r="E13" s="17"/>
      <c r="F13" s="17"/>
      <c r="G13" s="17"/>
      <c r="H13" s="82"/>
      <c r="I13" s="83"/>
      <c r="J13" s="84"/>
      <c r="K13" s="85"/>
      <c r="L13" s="85"/>
      <c r="M13" s="85"/>
      <c r="N13" s="90"/>
      <c r="O13" s="87"/>
      <c r="P13" s="87"/>
      <c r="Q13" s="88"/>
    </row>
    <row r="14" spans="1:17" ht="12" customHeight="1" x14ac:dyDescent="0.25">
      <c r="A14" s="8"/>
      <c r="B14" s="2"/>
      <c r="C14" s="3"/>
      <c r="D14" s="1"/>
      <c r="E14" s="17"/>
      <c r="F14" s="17"/>
      <c r="G14" s="17"/>
      <c r="H14" s="82"/>
      <c r="I14" s="83"/>
      <c r="J14" s="84"/>
      <c r="K14" s="85"/>
      <c r="L14" s="85"/>
      <c r="M14" s="85"/>
      <c r="N14" s="90"/>
      <c r="O14" s="87"/>
      <c r="P14" s="87"/>
      <c r="Q14" s="88"/>
    </row>
    <row r="15" spans="1:17" ht="25.5" hidden="1" customHeight="1" x14ac:dyDescent="0.25">
      <c r="A15" s="8" t="str">
        <f>'Planilha Orçamentaria'!A14</f>
        <v>1.3</v>
      </c>
      <c r="B15" s="2" t="s">
        <v>45</v>
      </c>
      <c r="C15" s="3" t="str">
        <f>'Planilha Orçamentaria'!C14</f>
        <v>MAO DE OBRA DE AJUDANTE DE SOLDADOR, INC LUSIVE ENCARGOS SOCIAIS DESONERADOS</v>
      </c>
      <c r="D15" s="1" t="s">
        <v>41</v>
      </c>
      <c r="E15" s="17">
        <v>30</v>
      </c>
      <c r="F15" s="17">
        <v>53.2</v>
      </c>
      <c r="G15" s="17">
        <f t="shared" ref="G15:G103" si="0">F15*1.2777</f>
        <v>67.97</v>
      </c>
      <c r="H15" s="82">
        <f t="shared" ref="H15:H78" si="1">G15*0.7</f>
        <v>47.58</v>
      </c>
      <c r="I15" s="83">
        <f t="shared" ref="I15:I82" si="2">H15*E15</f>
        <v>1427.4</v>
      </c>
      <c r="J15" s="84">
        <f>'Planilha Orçamentaria'!E14</f>
        <v>0</v>
      </c>
      <c r="K15" s="85"/>
      <c r="L15" s="85">
        <f>'Planilha Orçamentaria'!E14</f>
        <v>0</v>
      </c>
      <c r="M15" s="85">
        <f t="shared" ref="M15:M82" si="3">L15+K15</f>
        <v>0</v>
      </c>
      <c r="N15" s="90" t="s">
        <v>41</v>
      </c>
      <c r="O15" s="87">
        <f>'Planilha Orçamentaria'!H14</f>
        <v>23.29</v>
      </c>
      <c r="P15" s="87">
        <f>'Planilha Orçamentaria'!J14</f>
        <v>0</v>
      </c>
      <c r="Q15" s="88">
        <f>'Planilha Orçamentaria'!J14</f>
        <v>0</v>
      </c>
    </row>
    <row r="16" spans="1:17" ht="9.75" hidden="1" customHeight="1" x14ac:dyDescent="0.25">
      <c r="A16" s="8" t="str">
        <f>'Planilha Orçamentaria'!A15</f>
        <v>1.4</v>
      </c>
      <c r="B16" s="2" t="s">
        <v>46</v>
      </c>
      <c r="C16" s="3" t="s">
        <v>47</v>
      </c>
      <c r="D16" s="1" t="s">
        <v>42</v>
      </c>
      <c r="E16" s="17">
        <v>38.479999999999997</v>
      </c>
      <c r="F16" s="17">
        <v>9.6300000000000008</v>
      </c>
      <c r="G16" s="17">
        <f t="shared" si="0"/>
        <v>12.3</v>
      </c>
      <c r="H16" s="82">
        <f t="shared" si="1"/>
        <v>8.61</v>
      </c>
      <c r="I16" s="83">
        <f t="shared" si="2"/>
        <v>331.31</v>
      </c>
      <c r="J16" s="84">
        <f>'Planilha Orçamentaria'!E15</f>
        <v>0</v>
      </c>
      <c r="K16" s="85"/>
      <c r="L16" s="85">
        <f t="shared" ref="L16:L74" si="4">J16</f>
        <v>0</v>
      </c>
      <c r="M16" s="85">
        <f t="shared" si="3"/>
        <v>0</v>
      </c>
      <c r="N16" s="90" t="s">
        <v>42</v>
      </c>
      <c r="O16" s="87">
        <f t="shared" ref="O16:O82" si="5">H16</f>
        <v>8.61</v>
      </c>
      <c r="P16" s="87">
        <f>'Planilha Orçamentaria'!J15</f>
        <v>0</v>
      </c>
      <c r="Q16" s="88">
        <f>'Planilha Orçamentaria'!J15</f>
        <v>0</v>
      </c>
    </row>
    <row r="17" spans="1:17" ht="4.5" hidden="1" customHeight="1" x14ac:dyDescent="0.25">
      <c r="A17" s="8" t="str">
        <f>'Planilha Orçamentaria'!A16</f>
        <v>1.5</v>
      </c>
      <c r="B17" s="2" t="s">
        <v>70</v>
      </c>
      <c r="C17" s="3" t="s">
        <v>71</v>
      </c>
      <c r="D17" s="1" t="s">
        <v>42</v>
      </c>
      <c r="E17" s="17">
        <v>368</v>
      </c>
      <c r="F17" s="17">
        <v>14.45</v>
      </c>
      <c r="G17" s="17">
        <f t="shared" si="0"/>
        <v>18.46</v>
      </c>
      <c r="H17" s="82">
        <f t="shared" si="1"/>
        <v>12.92</v>
      </c>
      <c r="I17" s="83">
        <f t="shared" si="2"/>
        <v>4754.5600000000004</v>
      </c>
      <c r="J17" s="84">
        <f>'Planilha Orçamentaria'!E16</f>
        <v>0</v>
      </c>
      <c r="K17" s="85"/>
      <c r="L17" s="85">
        <f t="shared" si="4"/>
        <v>0</v>
      </c>
      <c r="M17" s="85">
        <f t="shared" si="3"/>
        <v>0</v>
      </c>
      <c r="N17" s="90" t="s">
        <v>42</v>
      </c>
      <c r="O17" s="87">
        <f t="shared" si="5"/>
        <v>12.92</v>
      </c>
      <c r="P17" s="87">
        <f>'Planilha Orçamentaria'!J16</f>
        <v>0</v>
      </c>
      <c r="Q17" s="88">
        <f>'Planilha Orçamentaria'!J16</f>
        <v>0</v>
      </c>
    </row>
    <row r="18" spans="1:17" ht="0.75" hidden="1" customHeight="1" x14ac:dyDescent="0.25">
      <c r="A18" s="8" t="str">
        <f>'Planilha Orçamentaria'!A17</f>
        <v>1.6</v>
      </c>
      <c r="B18" s="2" t="s">
        <v>141</v>
      </c>
      <c r="C18" s="3" t="s">
        <v>142</v>
      </c>
      <c r="D18" s="1" t="s">
        <v>42</v>
      </c>
      <c r="E18" s="17">
        <f>352.1+117.61</f>
        <v>469.71</v>
      </c>
      <c r="F18" s="17">
        <v>16.059999999999999</v>
      </c>
      <c r="G18" s="17">
        <f t="shared" si="0"/>
        <v>20.52</v>
      </c>
      <c r="H18" s="82">
        <f t="shared" si="1"/>
        <v>14.36</v>
      </c>
      <c r="I18" s="83">
        <f t="shared" si="2"/>
        <v>6745.04</v>
      </c>
      <c r="J18" s="84">
        <f>'Planilha Orçamentaria'!E17</f>
        <v>0</v>
      </c>
      <c r="K18" s="85"/>
      <c r="L18" s="85">
        <f t="shared" si="4"/>
        <v>0</v>
      </c>
      <c r="M18" s="85">
        <f t="shared" si="3"/>
        <v>0</v>
      </c>
      <c r="N18" s="90" t="s">
        <v>42</v>
      </c>
      <c r="O18" s="87">
        <f t="shared" si="5"/>
        <v>14.36</v>
      </c>
      <c r="P18" s="87">
        <f>'Planilha Orçamentaria'!J17</f>
        <v>0</v>
      </c>
      <c r="Q18" s="88">
        <f>'Planilha Orçamentaria'!J17</f>
        <v>0</v>
      </c>
    </row>
    <row r="19" spans="1:17" ht="10.5" hidden="1" customHeight="1" x14ac:dyDescent="0.25">
      <c r="A19" s="8" t="str">
        <f>'Planilha Orçamentaria'!A18</f>
        <v>1.7</v>
      </c>
      <c r="B19" s="2" t="s">
        <v>181</v>
      </c>
      <c r="C19" s="3" t="s">
        <v>182</v>
      </c>
      <c r="D19" s="1" t="s">
        <v>42</v>
      </c>
      <c r="E19" s="17">
        <v>255</v>
      </c>
      <c r="F19" s="17">
        <v>19.68</v>
      </c>
      <c r="G19" s="17">
        <f t="shared" si="0"/>
        <v>25.15</v>
      </c>
      <c r="H19" s="82">
        <f t="shared" si="1"/>
        <v>17.61</v>
      </c>
      <c r="I19" s="83">
        <f t="shared" si="2"/>
        <v>4490.55</v>
      </c>
      <c r="J19" s="84">
        <f>'Planilha Orçamentaria'!E18</f>
        <v>0</v>
      </c>
      <c r="K19" s="85"/>
      <c r="L19" s="85">
        <f t="shared" si="4"/>
        <v>0</v>
      </c>
      <c r="M19" s="85">
        <f t="shared" si="3"/>
        <v>0</v>
      </c>
      <c r="N19" s="90" t="s">
        <v>42</v>
      </c>
      <c r="O19" s="87">
        <f t="shared" si="5"/>
        <v>17.61</v>
      </c>
      <c r="P19" s="87">
        <f>'Planilha Orçamentaria'!J18</f>
        <v>0</v>
      </c>
      <c r="Q19" s="88">
        <f>'Planilha Orçamentaria'!J18</f>
        <v>0</v>
      </c>
    </row>
    <row r="20" spans="1:17" ht="0.75" hidden="1" customHeight="1" x14ac:dyDescent="0.25">
      <c r="A20" s="8" t="str">
        <f>'Planilha Orçamentaria'!A19</f>
        <v>1.8</v>
      </c>
      <c r="B20" s="2" t="s">
        <v>183</v>
      </c>
      <c r="C20" s="3" t="s">
        <v>184</v>
      </c>
      <c r="D20" s="1" t="s">
        <v>185</v>
      </c>
      <c r="E20" s="17">
        <v>45</v>
      </c>
      <c r="F20" s="17">
        <v>6.42</v>
      </c>
      <c r="G20" s="17">
        <f t="shared" si="0"/>
        <v>8.1999999999999993</v>
      </c>
      <c r="H20" s="82">
        <f t="shared" si="1"/>
        <v>5.74</v>
      </c>
      <c r="I20" s="83">
        <f t="shared" si="2"/>
        <v>258.3</v>
      </c>
      <c r="J20" s="84">
        <f>'Planilha Orçamentaria'!E19</f>
        <v>0</v>
      </c>
      <c r="K20" s="85"/>
      <c r="L20" s="85">
        <f t="shared" si="4"/>
        <v>0</v>
      </c>
      <c r="M20" s="85">
        <f t="shared" si="3"/>
        <v>0</v>
      </c>
      <c r="N20" s="90" t="s">
        <v>185</v>
      </c>
      <c r="O20" s="87">
        <f t="shared" si="5"/>
        <v>5.74</v>
      </c>
      <c r="P20" s="87">
        <f>'Planilha Orçamentaria'!J19</f>
        <v>0</v>
      </c>
      <c r="Q20" s="88">
        <f>'Planilha Orçamentaria'!J19</f>
        <v>0</v>
      </c>
    </row>
    <row r="21" spans="1:17" hidden="1" x14ac:dyDescent="0.25">
      <c r="A21" s="8" t="str">
        <f>'Planilha Orçamentaria'!A20</f>
        <v>1.8</v>
      </c>
      <c r="B21" s="2" t="s">
        <v>166</v>
      </c>
      <c r="C21" s="3" t="s">
        <v>167</v>
      </c>
      <c r="D21" s="1" t="s">
        <v>42</v>
      </c>
      <c r="E21" s="17">
        <f>E31</f>
        <v>2101.0300000000002</v>
      </c>
      <c r="F21" s="17">
        <v>11.24</v>
      </c>
      <c r="G21" s="17">
        <f t="shared" si="0"/>
        <v>14.36</v>
      </c>
      <c r="H21" s="82">
        <f t="shared" si="1"/>
        <v>10.050000000000001</v>
      </c>
      <c r="I21" s="83">
        <f t="shared" si="2"/>
        <v>21115.35</v>
      </c>
      <c r="J21" s="84">
        <f>'Planilha Orçamentaria'!E20</f>
        <v>0</v>
      </c>
      <c r="K21" s="85"/>
      <c r="L21" s="85">
        <f t="shared" si="4"/>
        <v>0</v>
      </c>
      <c r="M21" s="85">
        <f t="shared" si="3"/>
        <v>0</v>
      </c>
      <c r="N21" s="90" t="s">
        <v>42</v>
      </c>
      <c r="O21" s="87">
        <f t="shared" si="5"/>
        <v>10.050000000000001</v>
      </c>
      <c r="P21" s="87">
        <f>'Planilha Orçamentaria'!J20</f>
        <v>0</v>
      </c>
      <c r="Q21" s="88">
        <f>'Planilha Orçamentaria'!J20</f>
        <v>0</v>
      </c>
    </row>
    <row r="22" spans="1:17" hidden="1" x14ac:dyDescent="0.25">
      <c r="A22" s="8" t="str">
        <f>'Planilha Orçamentaria'!A21</f>
        <v>1.9</v>
      </c>
      <c r="B22" s="2" t="s">
        <v>73</v>
      </c>
      <c r="C22" s="3" t="s">
        <v>72</v>
      </c>
      <c r="D22" s="1" t="s">
        <v>49</v>
      </c>
      <c r="E22" s="17">
        <v>52.23</v>
      </c>
      <c r="F22" s="17">
        <v>96.37</v>
      </c>
      <c r="G22" s="17">
        <f t="shared" si="0"/>
        <v>123.13</v>
      </c>
      <c r="H22" s="82">
        <f t="shared" si="1"/>
        <v>86.19</v>
      </c>
      <c r="I22" s="83">
        <f t="shared" si="2"/>
        <v>4501.7</v>
      </c>
      <c r="J22" s="84">
        <f>'Planilha Orçamentaria'!E21</f>
        <v>0</v>
      </c>
      <c r="K22" s="85"/>
      <c r="L22" s="85">
        <f t="shared" si="4"/>
        <v>0</v>
      </c>
      <c r="M22" s="85">
        <f t="shared" si="3"/>
        <v>0</v>
      </c>
      <c r="N22" s="90" t="s">
        <v>49</v>
      </c>
      <c r="O22" s="87">
        <f t="shared" si="5"/>
        <v>86.19</v>
      </c>
      <c r="P22" s="87">
        <f>'Planilha Orçamentaria'!J21</f>
        <v>0</v>
      </c>
      <c r="Q22" s="88">
        <f>'Planilha Orçamentaria'!J21</f>
        <v>0</v>
      </c>
    </row>
    <row r="23" spans="1:17" ht="11.25" hidden="1" customHeight="1" x14ac:dyDescent="0.25">
      <c r="A23" s="8" t="str">
        <f>'Planilha Orçamentaria'!A22</f>
        <v>1.10</v>
      </c>
      <c r="B23" s="2" t="s">
        <v>43</v>
      </c>
      <c r="C23" s="3" t="s">
        <v>44</v>
      </c>
      <c r="D23" s="1" t="s">
        <v>42</v>
      </c>
      <c r="E23" s="17">
        <v>5.53</v>
      </c>
      <c r="F23" s="17">
        <v>37.1</v>
      </c>
      <c r="G23" s="17">
        <f t="shared" si="0"/>
        <v>47.4</v>
      </c>
      <c r="H23" s="82">
        <f t="shared" si="1"/>
        <v>33.18</v>
      </c>
      <c r="I23" s="83">
        <f t="shared" si="2"/>
        <v>183.49</v>
      </c>
      <c r="J23" s="84">
        <f>'Planilha Orçamentaria'!E22</f>
        <v>0</v>
      </c>
      <c r="K23" s="85"/>
      <c r="L23" s="85">
        <f t="shared" si="4"/>
        <v>0</v>
      </c>
      <c r="M23" s="85">
        <f t="shared" si="3"/>
        <v>0</v>
      </c>
      <c r="N23" s="90" t="s">
        <v>42</v>
      </c>
      <c r="O23" s="87">
        <f t="shared" si="5"/>
        <v>33.18</v>
      </c>
      <c r="P23" s="87">
        <f>'Planilha Orçamentaria'!J22</f>
        <v>0</v>
      </c>
      <c r="Q23" s="88">
        <f>'Planilha Orçamentaria'!J22</f>
        <v>0</v>
      </c>
    </row>
    <row r="24" spans="1:17" hidden="1" x14ac:dyDescent="0.2">
      <c r="A24" s="7">
        <f>'Planilha Orçamentaria'!A23</f>
        <v>2</v>
      </c>
      <c r="B24" s="47"/>
      <c r="C24" s="27" t="str">
        <f>'Planilha Orçamentaria'!C23</f>
        <v>MEIO FIO, SARJETAS E PASSEIOS</v>
      </c>
      <c r="D24" s="27"/>
      <c r="E24" s="27"/>
      <c r="F24" s="27"/>
      <c r="G24" s="27"/>
      <c r="H24" s="91"/>
      <c r="I24" s="91"/>
      <c r="J24" s="91"/>
      <c r="K24" s="91"/>
      <c r="L24" s="91"/>
      <c r="M24" s="91"/>
      <c r="N24" s="91"/>
      <c r="O24" s="91"/>
      <c r="P24" s="109">
        <f>P25+P26+P27</f>
        <v>0</v>
      </c>
      <c r="Q24" s="111">
        <f>Q25+Q26+Q27</f>
        <v>0</v>
      </c>
    </row>
    <row r="25" spans="1:17" ht="27" hidden="1" customHeight="1" x14ac:dyDescent="0.25">
      <c r="A25" s="8" t="str">
        <f>'Planilha Orçamentaria'!A24</f>
        <v>2.1</v>
      </c>
      <c r="B25" s="2" t="s">
        <v>48</v>
      </c>
      <c r="C25" s="3" t="str">
        <f>'Planilha Orçamentaria'!C24</f>
        <v>Sarjeta de concreto em aterro, tipo DR.SCA-x/y. Largura = 80 cm tipo 50/30 (Execução, incluindo escavação, ornecimento e transporte de todos os materiais)</v>
      </c>
      <c r="D25" s="1" t="s">
        <v>49</v>
      </c>
      <c r="E25" s="17">
        <v>114.25</v>
      </c>
      <c r="F25" s="17">
        <v>28.2</v>
      </c>
      <c r="G25" s="17">
        <f t="shared" si="0"/>
        <v>36.03</v>
      </c>
      <c r="H25" s="82">
        <f t="shared" si="1"/>
        <v>25.22</v>
      </c>
      <c r="I25" s="83">
        <f t="shared" si="2"/>
        <v>2881.39</v>
      </c>
      <c r="J25" s="84">
        <f>'Planilha Orçamentaria'!E24</f>
        <v>0</v>
      </c>
      <c r="K25" s="85"/>
      <c r="L25" s="85">
        <f>'Planilha Orçamentaria'!E24</f>
        <v>0</v>
      </c>
      <c r="M25" s="85">
        <f t="shared" si="3"/>
        <v>0</v>
      </c>
      <c r="N25" s="90" t="s">
        <v>49</v>
      </c>
      <c r="O25" s="87">
        <f>'Planilha Orçamentaria'!H24</f>
        <v>91.74</v>
      </c>
      <c r="P25" s="87">
        <f>'Planilha Orçamentaria'!J24</f>
        <v>0</v>
      </c>
      <c r="Q25" s="88">
        <f>'Planilha Orçamentaria'!J24</f>
        <v>0</v>
      </c>
    </row>
    <row r="26" spans="1:17" ht="16.5" hidden="1" customHeight="1" x14ac:dyDescent="0.25">
      <c r="A26" s="8" t="str">
        <f>'Planilha Orçamentaria'!A25</f>
        <v>2.2</v>
      </c>
      <c r="B26" s="2" t="s">
        <v>50</v>
      </c>
      <c r="C26" s="3" t="str">
        <f>'Planilha Orçamentaria'!C25</f>
        <v>Meio-fio de concreto, tipo DR.MF-01 (Execução, incluindo escavação, fornecimento e transporte de todos os materiais)</v>
      </c>
      <c r="D26" s="1" t="s">
        <v>49</v>
      </c>
      <c r="E26" s="17">
        <f>E25</f>
        <v>114.25</v>
      </c>
      <c r="F26" s="17">
        <v>30</v>
      </c>
      <c r="G26" s="17">
        <f t="shared" si="0"/>
        <v>38.33</v>
      </c>
      <c r="H26" s="82">
        <f t="shared" si="1"/>
        <v>26.83</v>
      </c>
      <c r="I26" s="83">
        <f t="shared" si="2"/>
        <v>3065.33</v>
      </c>
      <c r="J26" s="84">
        <f>'Planilha Orçamentaria'!E25</f>
        <v>0</v>
      </c>
      <c r="K26" s="85"/>
      <c r="L26" s="85">
        <f>'Planilha Orçamentaria'!E25</f>
        <v>0</v>
      </c>
      <c r="M26" s="85">
        <f t="shared" si="3"/>
        <v>0</v>
      </c>
      <c r="N26" s="90" t="s">
        <v>49</v>
      </c>
      <c r="O26" s="87">
        <f>'Planilha Orçamentaria'!H25</f>
        <v>59.48</v>
      </c>
      <c r="P26" s="87">
        <f>'Planilha Orçamentaria'!J25</f>
        <v>0</v>
      </c>
      <c r="Q26" s="88">
        <f>'Planilha Orçamentaria'!J25</f>
        <v>0</v>
      </c>
    </row>
    <row r="27" spans="1:17" ht="14.25" hidden="1" customHeight="1" x14ac:dyDescent="0.25">
      <c r="A27" s="8" t="str">
        <f>'Planilha Orçamentaria'!A26</f>
        <v>2.3</v>
      </c>
      <c r="B27" s="2" t="s">
        <v>51</v>
      </c>
      <c r="C27" s="3" t="str">
        <f>'Planilha Orçamentaria'!C26</f>
        <v>PASSEIOS DE CONCRETO E = 6 CM, FCK = 10 MPA, JUNTA SECA</v>
      </c>
      <c r="D27" s="1" t="s">
        <v>49</v>
      </c>
      <c r="E27" s="17">
        <f>E25</f>
        <v>114.25</v>
      </c>
      <c r="F27" s="17">
        <v>6.5</v>
      </c>
      <c r="G27" s="17">
        <f t="shared" si="0"/>
        <v>8.31</v>
      </c>
      <c r="H27" s="82">
        <f t="shared" si="1"/>
        <v>5.82</v>
      </c>
      <c r="I27" s="83">
        <f t="shared" si="2"/>
        <v>664.94</v>
      </c>
      <c r="J27" s="84">
        <f>'Planilha Orçamentaria'!E26</f>
        <v>0</v>
      </c>
      <c r="K27" s="85"/>
      <c r="L27" s="85">
        <f t="shared" si="4"/>
        <v>0</v>
      </c>
      <c r="M27" s="85">
        <f t="shared" si="3"/>
        <v>0</v>
      </c>
      <c r="N27" s="90" t="s">
        <v>49</v>
      </c>
      <c r="O27" s="87">
        <f>'Planilha Orçamentaria'!H26</f>
        <v>63.63</v>
      </c>
      <c r="P27" s="87">
        <f>'Planilha Orçamentaria'!J26</f>
        <v>0</v>
      </c>
      <c r="Q27" s="88">
        <f>'Planilha Orçamentaria'!J26</f>
        <v>0</v>
      </c>
    </row>
    <row r="28" spans="1:17" ht="2.25" hidden="1" customHeight="1" thickBot="1" x14ac:dyDescent="0.3">
      <c r="A28" s="7">
        <f>'Planilha Orçamentaria'!A27</f>
        <v>3</v>
      </c>
      <c r="B28" s="21"/>
      <c r="C28" s="22" t="s">
        <v>52</v>
      </c>
      <c r="D28" s="24"/>
      <c r="E28" s="24"/>
      <c r="F28" s="24"/>
      <c r="G28" s="24"/>
      <c r="H28" s="92"/>
      <c r="I28" s="92"/>
      <c r="J28" s="92"/>
      <c r="K28" s="92"/>
      <c r="L28" s="92"/>
      <c r="M28" s="92"/>
      <c r="N28" s="92"/>
      <c r="O28" s="95"/>
      <c r="P28" s="113">
        <f>P29+P30+P31+P33</f>
        <v>0</v>
      </c>
      <c r="Q28" s="117">
        <f>Q29+Q30+Q31+Q33+Q32</f>
        <v>0</v>
      </c>
    </row>
    <row r="29" spans="1:17" ht="20.399999999999999" hidden="1" x14ac:dyDescent="0.25">
      <c r="A29" s="8" t="str">
        <f>'Planilha Orçamentaria'!A28</f>
        <v>3.1</v>
      </c>
      <c r="B29" s="2" t="s">
        <v>54</v>
      </c>
      <c r="C29" s="3" t="s">
        <v>53</v>
      </c>
      <c r="D29" s="1" t="s">
        <v>23</v>
      </c>
      <c r="E29" s="17">
        <v>115</v>
      </c>
      <c r="F29" s="17">
        <v>36.08</v>
      </c>
      <c r="G29" s="17">
        <f t="shared" si="0"/>
        <v>46.1</v>
      </c>
      <c r="H29" s="82">
        <f t="shared" si="1"/>
        <v>32.270000000000003</v>
      </c>
      <c r="I29" s="83">
        <f t="shared" si="2"/>
        <v>3711.05</v>
      </c>
      <c r="J29" s="84">
        <f>'Planilha Orçamentaria'!E28</f>
        <v>0</v>
      </c>
      <c r="K29" s="93"/>
      <c r="L29" s="85">
        <f t="shared" si="4"/>
        <v>0</v>
      </c>
      <c r="M29" s="85">
        <f t="shared" si="3"/>
        <v>0</v>
      </c>
      <c r="N29" s="90" t="s">
        <v>23</v>
      </c>
      <c r="O29" s="87">
        <f t="shared" si="5"/>
        <v>32.270000000000003</v>
      </c>
      <c r="P29" s="87">
        <f>'Planilha Orçamentaria'!J28</f>
        <v>0</v>
      </c>
      <c r="Q29" s="88">
        <f>'Planilha Orçamentaria'!J28</f>
        <v>0</v>
      </c>
    </row>
    <row r="30" spans="1:17" hidden="1" x14ac:dyDescent="0.25">
      <c r="A30" s="8" t="str">
        <f>'Planilha Orçamentaria'!A29</f>
        <v>3.2</v>
      </c>
      <c r="B30" s="2" t="s">
        <v>56</v>
      </c>
      <c r="C30" s="3" t="s">
        <v>55</v>
      </c>
      <c r="D30" s="1" t="s">
        <v>23</v>
      </c>
      <c r="E30" s="17">
        <v>254</v>
      </c>
      <c r="F30" s="17">
        <v>9.7200000000000006</v>
      </c>
      <c r="G30" s="17">
        <f t="shared" si="0"/>
        <v>12.42</v>
      </c>
      <c r="H30" s="82">
        <f t="shared" si="1"/>
        <v>8.69</v>
      </c>
      <c r="I30" s="83">
        <f t="shared" si="2"/>
        <v>2207.2600000000002</v>
      </c>
      <c r="J30" s="84">
        <f>'Planilha Orçamentaria'!E29</f>
        <v>0</v>
      </c>
      <c r="K30" s="85"/>
      <c r="L30" s="85">
        <f t="shared" si="4"/>
        <v>0</v>
      </c>
      <c r="M30" s="85">
        <f t="shared" si="3"/>
        <v>0</v>
      </c>
      <c r="N30" s="90" t="s">
        <v>23</v>
      </c>
      <c r="O30" s="87">
        <f t="shared" si="5"/>
        <v>8.69</v>
      </c>
      <c r="P30" s="87">
        <f>'Planilha Orçamentaria'!J29</f>
        <v>0</v>
      </c>
      <c r="Q30" s="88">
        <f>'Planilha Orçamentaria'!J29</f>
        <v>0</v>
      </c>
    </row>
    <row r="31" spans="1:17" ht="23.25" hidden="1" customHeight="1" x14ac:dyDescent="0.25">
      <c r="A31" s="8" t="str">
        <f>'Planilha Orçamentaria'!A30</f>
        <v>3.3</v>
      </c>
      <c r="B31" s="2" t="s">
        <v>59</v>
      </c>
      <c r="C31" s="3" t="s">
        <v>58</v>
      </c>
      <c r="D31" s="1" t="s">
        <v>20</v>
      </c>
      <c r="E31" s="17">
        <f>138.06+(0.3*E68)</f>
        <v>2101.0300000000002</v>
      </c>
      <c r="F31" s="17">
        <v>29.09</v>
      </c>
      <c r="G31" s="17">
        <f t="shared" si="0"/>
        <v>37.17</v>
      </c>
      <c r="H31" s="82">
        <f t="shared" si="1"/>
        <v>26.02</v>
      </c>
      <c r="I31" s="83">
        <f t="shared" si="2"/>
        <v>54668.800000000003</v>
      </c>
      <c r="J31" s="84">
        <f>'Planilha Orçamentaria'!E30</f>
        <v>0</v>
      </c>
      <c r="K31" s="85"/>
      <c r="L31" s="85">
        <f t="shared" si="4"/>
        <v>0</v>
      </c>
      <c r="M31" s="85">
        <f t="shared" si="3"/>
        <v>0</v>
      </c>
      <c r="N31" s="90" t="s">
        <v>20</v>
      </c>
      <c r="O31" s="87">
        <f t="shared" si="5"/>
        <v>26.02</v>
      </c>
      <c r="P31" s="87">
        <f>'Planilha Orçamentaria'!J30</f>
        <v>0</v>
      </c>
      <c r="Q31" s="88">
        <f>'Planilha Orçamentaria'!J30</f>
        <v>0</v>
      </c>
    </row>
    <row r="32" spans="1:17" hidden="1" x14ac:dyDescent="0.25">
      <c r="A32" s="8" t="str">
        <f>'Planilha Orçamentaria'!A31</f>
        <v>4.4</v>
      </c>
      <c r="B32" s="2"/>
      <c r="C32" s="3" t="e">
        <f>#REF!</f>
        <v>#REF!</v>
      </c>
      <c r="D32" s="1"/>
      <c r="E32" s="17"/>
      <c r="F32" s="17"/>
      <c r="G32" s="17"/>
      <c r="H32" s="82">
        <f t="shared" si="1"/>
        <v>0</v>
      </c>
      <c r="I32" s="83"/>
      <c r="J32" s="84">
        <f>'Planilha Orçamentaria'!E31</f>
        <v>0</v>
      </c>
      <c r="K32" s="85"/>
      <c r="L32" s="85">
        <f t="shared" si="4"/>
        <v>0</v>
      </c>
      <c r="M32" s="85">
        <f t="shared" si="3"/>
        <v>0</v>
      </c>
      <c r="N32" s="90" t="s">
        <v>119</v>
      </c>
      <c r="O32" s="87">
        <f t="shared" si="5"/>
        <v>0</v>
      </c>
      <c r="P32" s="87">
        <f>'Planilha Orçamentaria'!J31</f>
        <v>0</v>
      </c>
      <c r="Q32" s="88">
        <f>'Planilha Orçamentaria'!J31</f>
        <v>0</v>
      </c>
    </row>
    <row r="33" spans="1:17" hidden="1" x14ac:dyDescent="0.25">
      <c r="A33" s="8" t="str">
        <f>'Planilha Orçamentaria'!A32</f>
        <v>4.5</v>
      </c>
      <c r="B33" s="2" t="s">
        <v>61</v>
      </c>
      <c r="C33" s="3" t="s">
        <v>60</v>
      </c>
      <c r="D33" s="1" t="s">
        <v>20</v>
      </c>
      <c r="E33" s="17">
        <v>254</v>
      </c>
      <c r="F33" s="17">
        <v>15.99</v>
      </c>
      <c r="G33" s="17">
        <f t="shared" si="0"/>
        <v>20.43</v>
      </c>
      <c r="H33" s="82">
        <f t="shared" si="1"/>
        <v>14.3</v>
      </c>
      <c r="I33" s="83">
        <f t="shared" si="2"/>
        <v>3632.2</v>
      </c>
      <c r="J33" s="84">
        <f>'Planilha Orçamentaria'!E32</f>
        <v>0</v>
      </c>
      <c r="K33" s="85"/>
      <c r="L33" s="85">
        <f t="shared" si="4"/>
        <v>0</v>
      </c>
      <c r="M33" s="85">
        <f t="shared" si="3"/>
        <v>0</v>
      </c>
      <c r="N33" s="90" t="s">
        <v>20</v>
      </c>
      <c r="O33" s="87">
        <f t="shared" si="5"/>
        <v>14.3</v>
      </c>
      <c r="P33" s="87">
        <f>'Planilha Orçamentaria'!J32</f>
        <v>0</v>
      </c>
      <c r="Q33" s="88">
        <f t="shared" ref="Q33" si="6">M33*O33</f>
        <v>0</v>
      </c>
    </row>
    <row r="34" spans="1:17" hidden="1" x14ac:dyDescent="0.25">
      <c r="A34" s="7">
        <f>'Planilha Orçamentaria'!A33</f>
        <v>4</v>
      </c>
      <c r="B34" s="24"/>
      <c r="C34" s="48" t="s">
        <v>135</v>
      </c>
      <c r="D34" s="48"/>
      <c r="E34" s="48"/>
      <c r="F34" s="48"/>
      <c r="G34" s="48"/>
      <c r="H34" s="94"/>
      <c r="I34" s="94"/>
      <c r="J34" s="94"/>
      <c r="K34" s="94"/>
      <c r="L34" s="94"/>
      <c r="M34" s="94"/>
      <c r="N34" s="94"/>
      <c r="O34" s="94"/>
      <c r="P34" s="112">
        <f>P35+P36+P37+P38+P39</f>
        <v>15542.84</v>
      </c>
      <c r="Q34" s="118">
        <f>Q35+Q36+Q37+Q38+Q39</f>
        <v>15542.84</v>
      </c>
    </row>
    <row r="35" spans="1:17" hidden="1" x14ac:dyDescent="0.25">
      <c r="A35" s="8" t="str">
        <f>'Planilha Orçamentaria'!A34</f>
        <v>4.1</v>
      </c>
      <c r="B35" s="20" t="s">
        <v>57</v>
      </c>
      <c r="C35" s="3" t="s">
        <v>63</v>
      </c>
      <c r="D35" s="1" t="s">
        <v>23</v>
      </c>
      <c r="E35" s="17">
        <f>E36</f>
        <v>890.66</v>
      </c>
      <c r="F35" s="17">
        <v>42.79</v>
      </c>
      <c r="G35" s="17">
        <f t="shared" si="0"/>
        <v>54.67</v>
      </c>
      <c r="H35" s="82">
        <f t="shared" si="1"/>
        <v>38.270000000000003</v>
      </c>
      <c r="I35" s="83">
        <f t="shared" si="2"/>
        <v>34085.56</v>
      </c>
      <c r="J35" s="84">
        <f>'Planilha Orçamentaria'!E34</f>
        <v>0</v>
      </c>
      <c r="K35" s="85"/>
      <c r="L35" s="85">
        <f t="shared" si="4"/>
        <v>0</v>
      </c>
      <c r="M35" s="85">
        <f t="shared" si="3"/>
        <v>0</v>
      </c>
      <c r="N35" s="90" t="s">
        <v>23</v>
      </c>
      <c r="O35" s="87">
        <f t="shared" si="5"/>
        <v>38.270000000000003</v>
      </c>
      <c r="P35" s="87">
        <f>'Planilha Orçamentaria'!J34</f>
        <v>0</v>
      </c>
      <c r="Q35" s="88">
        <f>'Planilha Orçamentaria'!J34</f>
        <v>0</v>
      </c>
    </row>
    <row r="36" spans="1:17" ht="20.399999999999999" hidden="1" x14ac:dyDescent="0.25">
      <c r="A36" s="8" t="str">
        <f>'Planilha Orçamentaria'!A35</f>
        <v>4.2</v>
      </c>
      <c r="B36" s="20" t="s">
        <v>155</v>
      </c>
      <c r="C36" s="3" t="s">
        <v>154</v>
      </c>
      <c r="D36" s="46" t="s">
        <v>23</v>
      </c>
      <c r="E36" s="17">
        <v>890.66</v>
      </c>
      <c r="F36" s="17">
        <v>72.23</v>
      </c>
      <c r="G36" s="17">
        <f t="shared" si="0"/>
        <v>92.29</v>
      </c>
      <c r="H36" s="82">
        <f t="shared" si="1"/>
        <v>64.599999999999994</v>
      </c>
      <c r="I36" s="83">
        <f t="shared" si="2"/>
        <v>57536.639999999999</v>
      </c>
      <c r="J36" s="84">
        <f>'Planilha Orçamentaria'!E35</f>
        <v>0</v>
      </c>
      <c r="K36" s="85"/>
      <c r="L36" s="85">
        <f t="shared" si="4"/>
        <v>0</v>
      </c>
      <c r="M36" s="85">
        <f t="shared" si="3"/>
        <v>0</v>
      </c>
      <c r="N36" s="86" t="s">
        <v>23</v>
      </c>
      <c r="O36" s="87">
        <f t="shared" si="5"/>
        <v>64.599999999999994</v>
      </c>
      <c r="P36" s="87">
        <f>'Planilha Orçamentaria'!J35</f>
        <v>0</v>
      </c>
      <c r="Q36" s="88">
        <f>'Planilha Orçamentaria'!J35</f>
        <v>0</v>
      </c>
    </row>
    <row r="37" spans="1:17" ht="20.399999999999999" hidden="1" x14ac:dyDescent="0.25">
      <c r="A37" s="8" t="str">
        <f>'Planilha Orçamentaria'!A36</f>
        <v>4.3</v>
      </c>
      <c r="B37" s="20" t="s">
        <v>65</v>
      </c>
      <c r="C37" s="3" t="s">
        <v>64</v>
      </c>
      <c r="D37" s="46" t="s">
        <v>23</v>
      </c>
      <c r="E37" s="17">
        <v>186</v>
      </c>
      <c r="F37" s="17">
        <v>56.8</v>
      </c>
      <c r="G37" s="17">
        <f t="shared" si="0"/>
        <v>72.569999999999993</v>
      </c>
      <c r="H37" s="82">
        <f t="shared" si="1"/>
        <v>50.8</v>
      </c>
      <c r="I37" s="83">
        <f t="shared" si="2"/>
        <v>9448.7999999999993</v>
      </c>
      <c r="J37" s="84">
        <f>'Planilha Orçamentaria'!E36</f>
        <v>0</v>
      </c>
      <c r="K37" s="85"/>
      <c r="L37" s="85">
        <f t="shared" si="4"/>
        <v>0</v>
      </c>
      <c r="M37" s="85">
        <f t="shared" si="3"/>
        <v>0</v>
      </c>
      <c r="N37" s="86" t="s">
        <v>23</v>
      </c>
      <c r="O37" s="87">
        <f t="shared" si="5"/>
        <v>50.8</v>
      </c>
      <c r="P37" s="87">
        <f>'Planilha Orçamentaria'!J36</f>
        <v>-0.03</v>
      </c>
      <c r="Q37" s="88">
        <f>'Planilha Orçamentaria'!J36</f>
        <v>-0.03</v>
      </c>
    </row>
    <row r="38" spans="1:17" hidden="1" x14ac:dyDescent="0.25">
      <c r="A38" s="8" t="str">
        <f>'Planilha Orçamentaria'!A37</f>
        <v>4.4</v>
      </c>
      <c r="B38" s="20" t="s">
        <v>67</v>
      </c>
      <c r="C38" s="3" t="s">
        <v>66</v>
      </c>
      <c r="D38" s="1" t="s">
        <v>23</v>
      </c>
      <c r="E38" s="17">
        <v>16.5</v>
      </c>
      <c r="F38" s="17">
        <v>245.64</v>
      </c>
      <c r="G38" s="17">
        <f t="shared" si="0"/>
        <v>313.85000000000002</v>
      </c>
      <c r="H38" s="82">
        <f t="shared" si="1"/>
        <v>219.7</v>
      </c>
      <c r="I38" s="83">
        <f t="shared" si="2"/>
        <v>3625.05</v>
      </c>
      <c r="J38" s="84">
        <f>'Planilha Orçamentaria'!E37</f>
        <v>0</v>
      </c>
      <c r="K38" s="85"/>
      <c r="L38" s="85">
        <f t="shared" si="4"/>
        <v>0</v>
      </c>
      <c r="M38" s="85">
        <f t="shared" si="3"/>
        <v>0</v>
      </c>
      <c r="N38" s="90" t="s">
        <v>23</v>
      </c>
      <c r="O38" s="87">
        <f t="shared" si="5"/>
        <v>219.7</v>
      </c>
      <c r="P38" s="87">
        <f>'Planilha Orçamentaria'!J37</f>
        <v>0</v>
      </c>
      <c r="Q38" s="88">
        <f>'Planilha Orçamentaria'!J37</f>
        <v>0</v>
      </c>
    </row>
    <row r="39" spans="1:17" hidden="1" x14ac:dyDescent="0.25">
      <c r="A39" s="8" t="str">
        <f>'Planilha Orçamentaria'!A38</f>
        <v>4.5</v>
      </c>
      <c r="B39" s="20" t="s">
        <v>69</v>
      </c>
      <c r="C39" s="3" t="s">
        <v>68</v>
      </c>
      <c r="D39" s="1" t="s">
        <v>20</v>
      </c>
      <c r="E39" s="17">
        <v>42</v>
      </c>
      <c r="F39" s="17">
        <v>541.04</v>
      </c>
      <c r="G39" s="17">
        <f t="shared" si="0"/>
        <v>691.29</v>
      </c>
      <c r="H39" s="82">
        <f t="shared" si="1"/>
        <v>483.9</v>
      </c>
      <c r="I39" s="83">
        <f t="shared" si="2"/>
        <v>20323.8</v>
      </c>
      <c r="J39" s="84">
        <f>'Planilha Orçamentaria'!E38</f>
        <v>0</v>
      </c>
      <c r="K39" s="85"/>
      <c r="L39" s="85">
        <v>32.119999999999997</v>
      </c>
      <c r="M39" s="85">
        <f t="shared" si="3"/>
        <v>32.119999999999997</v>
      </c>
      <c r="N39" s="90" t="s">
        <v>20</v>
      </c>
      <c r="O39" s="87">
        <f t="shared" si="5"/>
        <v>483.9</v>
      </c>
      <c r="P39" s="87">
        <f>L39*H39</f>
        <v>15542.87</v>
      </c>
      <c r="Q39" s="88">
        <f>P39</f>
        <v>15542.87</v>
      </c>
    </row>
    <row r="40" spans="1:17" hidden="1" x14ac:dyDescent="0.25">
      <c r="A40" s="7">
        <f>'Planilha Orçamentaria'!A39</f>
        <v>5</v>
      </c>
      <c r="B40" s="26"/>
      <c r="C40" s="22" t="s">
        <v>74</v>
      </c>
      <c r="D40" s="21"/>
      <c r="E40" s="21"/>
      <c r="F40" s="21"/>
      <c r="G40" s="21"/>
      <c r="H40" s="95"/>
      <c r="I40" s="95"/>
      <c r="J40" s="95"/>
      <c r="K40" s="95"/>
      <c r="L40" s="95"/>
      <c r="M40" s="95"/>
      <c r="N40" s="95"/>
      <c r="O40" s="95"/>
      <c r="P40" s="113">
        <f>P41+P42+P43+P44+P45+P47+P46</f>
        <v>0</v>
      </c>
      <c r="Q40" s="117">
        <f>Q41+Q42+Q43+Q44+Q45+Q47+Q46</f>
        <v>0</v>
      </c>
    </row>
    <row r="41" spans="1:17" ht="7.5" hidden="1" customHeight="1" thickBot="1" x14ac:dyDescent="0.3">
      <c r="A41" s="8" t="str">
        <f>'Planilha Orçamentaria'!A40</f>
        <v>5.1</v>
      </c>
      <c r="B41" s="20" t="s">
        <v>173</v>
      </c>
      <c r="C41" s="3" t="s">
        <v>174</v>
      </c>
      <c r="D41" s="1" t="s">
        <v>41</v>
      </c>
      <c r="E41" s="17">
        <v>16</v>
      </c>
      <c r="F41" s="17">
        <v>711.67</v>
      </c>
      <c r="G41" s="17">
        <f t="shared" si="0"/>
        <v>909.3</v>
      </c>
      <c r="H41" s="82">
        <f t="shared" si="1"/>
        <v>636.51</v>
      </c>
      <c r="I41" s="83">
        <f t="shared" si="2"/>
        <v>10184.16</v>
      </c>
      <c r="J41" s="84">
        <f>'Planilha Orçamentaria'!E40</f>
        <v>0</v>
      </c>
      <c r="K41" s="85"/>
      <c r="L41" s="85">
        <f t="shared" si="4"/>
        <v>0</v>
      </c>
      <c r="M41" s="85">
        <f t="shared" si="3"/>
        <v>0</v>
      </c>
      <c r="N41" s="90" t="s">
        <v>41</v>
      </c>
      <c r="O41" s="87">
        <f t="shared" si="5"/>
        <v>636.51</v>
      </c>
      <c r="P41" s="87">
        <f>'Planilha Orçamentaria'!J40</f>
        <v>0</v>
      </c>
      <c r="Q41" s="88">
        <f>'Planilha Orçamentaria'!J40</f>
        <v>0</v>
      </c>
    </row>
    <row r="42" spans="1:17" ht="13.8" hidden="1" thickBot="1" x14ac:dyDescent="0.3">
      <c r="A42" s="8" t="str">
        <f>'Planilha Orçamentaria'!A41</f>
        <v>5.2</v>
      </c>
      <c r="B42" s="20" t="s">
        <v>171</v>
      </c>
      <c r="C42" s="3" t="s">
        <v>172</v>
      </c>
      <c r="D42" s="1" t="s">
        <v>41</v>
      </c>
      <c r="E42" s="17">
        <v>16</v>
      </c>
      <c r="F42" s="17">
        <v>170.69</v>
      </c>
      <c r="G42" s="17">
        <f t="shared" si="0"/>
        <v>218.09</v>
      </c>
      <c r="H42" s="82">
        <f t="shared" si="1"/>
        <v>152.66</v>
      </c>
      <c r="I42" s="83">
        <f t="shared" si="2"/>
        <v>2442.56</v>
      </c>
      <c r="J42" s="84">
        <f>'Planilha Orçamentaria'!E41</f>
        <v>0</v>
      </c>
      <c r="K42" s="85"/>
      <c r="L42" s="85">
        <f t="shared" si="4"/>
        <v>0</v>
      </c>
      <c r="M42" s="85">
        <f t="shared" si="3"/>
        <v>0</v>
      </c>
      <c r="N42" s="90" t="s">
        <v>41</v>
      </c>
      <c r="O42" s="87">
        <f t="shared" si="5"/>
        <v>152.66</v>
      </c>
      <c r="P42" s="87">
        <f>'Planilha Orçamentaria'!J41</f>
        <v>0</v>
      </c>
      <c r="Q42" s="88">
        <f>'Planilha Orçamentaria'!J41</f>
        <v>0</v>
      </c>
    </row>
    <row r="43" spans="1:17" ht="23.25" hidden="1" customHeight="1" thickBot="1" x14ac:dyDescent="0.3">
      <c r="A43" s="8" t="str">
        <f>'Planilha Orçamentaria'!A42</f>
        <v>5.3</v>
      </c>
      <c r="B43" s="20" t="s">
        <v>76</v>
      </c>
      <c r="C43" s="3" t="s">
        <v>75</v>
      </c>
      <c r="D43" s="1" t="s">
        <v>42</v>
      </c>
      <c r="E43" s="17">
        <v>11.4</v>
      </c>
      <c r="F43" s="17">
        <v>521.95000000000005</v>
      </c>
      <c r="G43" s="17">
        <f t="shared" si="0"/>
        <v>666.9</v>
      </c>
      <c r="H43" s="82">
        <f t="shared" si="1"/>
        <v>466.83</v>
      </c>
      <c r="I43" s="83">
        <f t="shared" si="2"/>
        <v>5321.86</v>
      </c>
      <c r="J43" s="84">
        <f>'Planilha Orçamentaria'!E42</f>
        <v>0</v>
      </c>
      <c r="K43" s="85"/>
      <c r="L43" s="85"/>
      <c r="M43" s="85">
        <f t="shared" si="3"/>
        <v>0</v>
      </c>
      <c r="N43" s="90" t="s">
        <v>42</v>
      </c>
      <c r="O43" s="87">
        <f t="shared" si="5"/>
        <v>466.83</v>
      </c>
      <c r="P43" s="87"/>
      <c r="Q43" s="88"/>
    </row>
    <row r="44" spans="1:17" ht="6" hidden="1" customHeight="1" x14ac:dyDescent="0.25">
      <c r="A44" s="8" t="str">
        <f>'Planilha Orçamentaria'!A43</f>
        <v>5.4</v>
      </c>
      <c r="B44" s="20" t="s">
        <v>206</v>
      </c>
      <c r="C44" s="3" t="s">
        <v>207</v>
      </c>
      <c r="D44" s="1" t="s">
        <v>49</v>
      </c>
      <c r="E44" s="17">
        <f>(3*2.5)+(2.1*0.9)+(4*2.5)</f>
        <v>19.39</v>
      </c>
      <c r="F44" s="17">
        <v>355.92</v>
      </c>
      <c r="G44" s="17">
        <f t="shared" si="0"/>
        <v>454.76</v>
      </c>
      <c r="H44" s="82">
        <f t="shared" si="1"/>
        <v>318.33</v>
      </c>
      <c r="I44" s="83">
        <f t="shared" si="2"/>
        <v>6172.42</v>
      </c>
      <c r="J44" s="84">
        <f>'Planilha Orçamentaria'!E43</f>
        <v>0</v>
      </c>
      <c r="K44" s="85"/>
      <c r="L44" s="85">
        <f t="shared" si="4"/>
        <v>0</v>
      </c>
      <c r="M44" s="85">
        <f t="shared" si="3"/>
        <v>0</v>
      </c>
      <c r="N44" s="90" t="s">
        <v>49</v>
      </c>
      <c r="O44" s="87">
        <f t="shared" si="5"/>
        <v>318.33</v>
      </c>
      <c r="P44" s="87">
        <f>'Planilha Orçamentaria'!J43</f>
        <v>0</v>
      </c>
      <c r="Q44" s="88">
        <f>'Planilha Orçamentaria'!J43</f>
        <v>0</v>
      </c>
    </row>
    <row r="45" spans="1:17" ht="4.5" hidden="1" customHeight="1" x14ac:dyDescent="0.25">
      <c r="A45" s="8" t="str">
        <f>'Planilha Orçamentaria'!A44</f>
        <v>5.5</v>
      </c>
      <c r="B45" s="20" t="s">
        <v>208</v>
      </c>
      <c r="C45" s="3" t="s">
        <v>209</v>
      </c>
      <c r="D45" s="1" t="s">
        <v>41</v>
      </c>
      <c r="E45" s="17">
        <v>7</v>
      </c>
      <c r="F45" s="17">
        <v>1422.02</v>
      </c>
      <c r="G45" s="17">
        <f t="shared" si="0"/>
        <v>1816.91</v>
      </c>
      <c r="H45" s="82">
        <f t="shared" si="1"/>
        <v>1271.8399999999999</v>
      </c>
      <c r="I45" s="83">
        <f t="shared" si="2"/>
        <v>8902.8799999999992</v>
      </c>
      <c r="J45" s="84">
        <f>'Planilha Orçamentaria'!E44</f>
        <v>0</v>
      </c>
      <c r="K45" s="85"/>
      <c r="L45" s="85">
        <f t="shared" si="4"/>
        <v>0</v>
      </c>
      <c r="M45" s="85">
        <f t="shared" si="3"/>
        <v>0</v>
      </c>
      <c r="N45" s="90" t="s">
        <v>41</v>
      </c>
      <c r="O45" s="87">
        <f t="shared" si="5"/>
        <v>1271.8399999999999</v>
      </c>
      <c r="P45" s="87">
        <f>'Planilha Orçamentaria'!J44</f>
        <v>0</v>
      </c>
      <c r="Q45" s="88">
        <f>'Planilha Orçamentaria'!J44</f>
        <v>0</v>
      </c>
    </row>
    <row r="46" spans="1:17" hidden="1" x14ac:dyDescent="0.25">
      <c r="A46" s="8" t="str">
        <f>'Planilha Orçamentaria'!A45</f>
        <v>5.6</v>
      </c>
      <c r="B46" s="20"/>
      <c r="C46" s="3" t="e">
        <f>#REF!</f>
        <v>#REF!</v>
      </c>
      <c r="D46" s="1"/>
      <c r="E46" s="17"/>
      <c r="F46" s="17"/>
      <c r="G46" s="17"/>
      <c r="H46" s="82" t="e">
        <f>#REF!</f>
        <v>#REF!</v>
      </c>
      <c r="I46" s="83"/>
      <c r="J46" s="84">
        <f>'Planilha Orçamentaria'!E45</f>
        <v>0</v>
      </c>
      <c r="K46" s="85"/>
      <c r="L46" s="85">
        <f t="shared" si="4"/>
        <v>0</v>
      </c>
      <c r="M46" s="85"/>
      <c r="N46" s="90"/>
      <c r="O46" s="87" t="e">
        <f t="shared" si="5"/>
        <v>#REF!</v>
      </c>
      <c r="P46" s="87">
        <f>'Planilha Orçamentaria'!J45</f>
        <v>0</v>
      </c>
      <c r="Q46" s="88">
        <f>'Planilha Orçamentaria'!J45</f>
        <v>0</v>
      </c>
    </row>
    <row r="47" spans="1:17" ht="21" hidden="1" thickBot="1" x14ac:dyDescent="0.3">
      <c r="A47" s="8" t="str">
        <f>'Planilha Orçamentaria'!A46</f>
        <v>5.4</v>
      </c>
      <c r="B47" s="20" t="s">
        <v>78</v>
      </c>
      <c r="C47" s="3" t="s">
        <v>77</v>
      </c>
      <c r="D47" s="1" t="s">
        <v>42</v>
      </c>
      <c r="E47" s="17">
        <v>7.5</v>
      </c>
      <c r="F47" s="17">
        <v>232.18</v>
      </c>
      <c r="G47" s="17">
        <f t="shared" si="0"/>
        <v>296.66000000000003</v>
      </c>
      <c r="H47" s="82">
        <f t="shared" si="1"/>
        <v>207.66</v>
      </c>
      <c r="I47" s="83">
        <f t="shared" si="2"/>
        <v>1557.45</v>
      </c>
      <c r="J47" s="84">
        <f>'Planilha Orçamentaria'!E46</f>
        <v>0</v>
      </c>
      <c r="K47" s="85"/>
      <c r="L47" s="85"/>
      <c r="M47" s="85">
        <f t="shared" si="3"/>
        <v>0</v>
      </c>
      <c r="N47" s="90" t="s">
        <v>42</v>
      </c>
      <c r="O47" s="87">
        <f t="shared" si="5"/>
        <v>207.66</v>
      </c>
      <c r="P47" s="87"/>
      <c r="Q47" s="88"/>
    </row>
    <row r="48" spans="1:17" ht="13.8" hidden="1" thickBot="1" x14ac:dyDescent="0.3">
      <c r="A48" s="7">
        <f>'Planilha Orçamentaria'!A47</f>
        <v>6</v>
      </c>
      <c r="B48" s="21"/>
      <c r="C48" s="22" t="s">
        <v>240</v>
      </c>
      <c r="D48" s="21"/>
      <c r="E48" s="21"/>
      <c r="F48" s="21"/>
      <c r="G48" s="21"/>
      <c r="H48" s="95"/>
      <c r="I48" s="95"/>
      <c r="J48" s="95"/>
      <c r="K48" s="95"/>
      <c r="L48" s="95"/>
      <c r="M48" s="95"/>
      <c r="N48" s="95"/>
      <c r="O48" s="95"/>
      <c r="P48" s="113">
        <f>P49+P50+P51+P52+P53+P56+P54+P55</f>
        <v>0</v>
      </c>
      <c r="Q48" s="117">
        <f>Q49+Q50+Q51+Q52+Q53+Q56+Q54+Q55</f>
        <v>0</v>
      </c>
    </row>
    <row r="49" spans="1:17" ht="31.2" hidden="1" thickBot="1" x14ac:dyDescent="0.3">
      <c r="A49" s="8" t="str">
        <f>'Planilha Orçamentaria'!A48</f>
        <v>6.1</v>
      </c>
      <c r="B49" s="2" t="s">
        <v>80</v>
      </c>
      <c r="C49" s="3" t="s">
        <v>79</v>
      </c>
      <c r="D49" s="1" t="s">
        <v>41</v>
      </c>
      <c r="E49" s="17">
        <v>10</v>
      </c>
      <c r="F49" s="17">
        <v>106.5</v>
      </c>
      <c r="G49" s="17">
        <f t="shared" si="0"/>
        <v>136.08000000000001</v>
      </c>
      <c r="H49" s="82">
        <f t="shared" si="1"/>
        <v>95.26</v>
      </c>
      <c r="I49" s="83">
        <f t="shared" si="2"/>
        <v>952.6</v>
      </c>
      <c r="J49" s="84">
        <f>'Planilha Orçamentaria'!E48</f>
        <v>0</v>
      </c>
      <c r="K49" s="85"/>
      <c r="L49" s="85">
        <f t="shared" si="4"/>
        <v>0</v>
      </c>
      <c r="M49" s="85">
        <f t="shared" si="3"/>
        <v>0</v>
      </c>
      <c r="N49" s="90" t="s">
        <v>41</v>
      </c>
      <c r="O49" s="87">
        <f t="shared" si="5"/>
        <v>95.26</v>
      </c>
      <c r="P49" s="87">
        <f>'Planilha Orçamentaria'!J48</f>
        <v>0</v>
      </c>
      <c r="Q49" s="88">
        <f>P49</f>
        <v>0</v>
      </c>
    </row>
    <row r="50" spans="1:17" ht="31.2" hidden="1" thickBot="1" x14ac:dyDescent="0.3">
      <c r="A50" s="8" t="str">
        <f>'Planilha Orçamentaria'!A49</f>
        <v>6.2</v>
      </c>
      <c r="B50" s="2" t="s">
        <v>84</v>
      </c>
      <c r="C50" s="3" t="s">
        <v>83</v>
      </c>
      <c r="D50" s="1" t="s">
        <v>41</v>
      </c>
      <c r="E50" s="17">
        <v>10</v>
      </c>
      <c r="F50" s="17">
        <v>185.3</v>
      </c>
      <c r="G50" s="17">
        <f t="shared" si="0"/>
        <v>236.76</v>
      </c>
      <c r="H50" s="82">
        <f t="shared" si="1"/>
        <v>165.73</v>
      </c>
      <c r="I50" s="83">
        <f t="shared" si="2"/>
        <v>1657.3</v>
      </c>
      <c r="J50" s="84">
        <f>'Planilha Orçamentaria'!E49</f>
        <v>0</v>
      </c>
      <c r="K50" s="85"/>
      <c r="L50" s="85">
        <f t="shared" si="4"/>
        <v>0</v>
      </c>
      <c r="M50" s="85">
        <f t="shared" si="3"/>
        <v>0</v>
      </c>
      <c r="N50" s="90" t="s">
        <v>41</v>
      </c>
      <c r="O50" s="87">
        <f t="shared" si="5"/>
        <v>165.73</v>
      </c>
      <c r="P50" s="87">
        <f>'Planilha Orçamentaria'!J49</f>
        <v>0</v>
      </c>
      <c r="Q50" s="88">
        <f t="shared" ref="Q50:Q56" si="7">P50</f>
        <v>0</v>
      </c>
    </row>
    <row r="51" spans="1:17" ht="13.8" hidden="1" thickBot="1" x14ac:dyDescent="0.3">
      <c r="A51" s="8" t="str">
        <f>'Planilha Orçamentaria'!A50</f>
        <v>6.3</v>
      </c>
      <c r="B51" s="2" t="s">
        <v>194</v>
      </c>
      <c r="C51" s="3" t="s">
        <v>195</v>
      </c>
      <c r="D51" s="1" t="s">
        <v>119</v>
      </c>
      <c r="E51" s="17">
        <v>32</v>
      </c>
      <c r="F51" s="17">
        <v>16.170000000000002</v>
      </c>
      <c r="G51" s="17">
        <f t="shared" si="0"/>
        <v>20.66</v>
      </c>
      <c r="H51" s="82">
        <f t="shared" si="1"/>
        <v>14.46</v>
      </c>
      <c r="I51" s="83">
        <f t="shared" si="2"/>
        <v>462.72</v>
      </c>
      <c r="J51" s="84">
        <f>'Planilha Orçamentaria'!E50</f>
        <v>0</v>
      </c>
      <c r="K51" s="85"/>
      <c r="L51" s="85">
        <f t="shared" si="4"/>
        <v>0</v>
      </c>
      <c r="M51" s="85">
        <f t="shared" si="3"/>
        <v>0</v>
      </c>
      <c r="N51" s="90" t="s">
        <v>119</v>
      </c>
      <c r="O51" s="87">
        <f t="shared" si="5"/>
        <v>14.46</v>
      </c>
      <c r="P51" s="87">
        <f>'Planilha Orçamentaria'!J50</f>
        <v>0</v>
      </c>
      <c r="Q51" s="88">
        <f t="shared" si="7"/>
        <v>0</v>
      </c>
    </row>
    <row r="52" spans="1:17" ht="13.8" hidden="1" thickBot="1" x14ac:dyDescent="0.3">
      <c r="A52" s="8" t="str">
        <f>'Planilha Orçamentaria'!A51</f>
        <v>6.4</v>
      </c>
      <c r="B52" s="2" t="s">
        <v>196</v>
      </c>
      <c r="C52" s="3" t="s">
        <v>197</v>
      </c>
      <c r="D52" s="1" t="s">
        <v>119</v>
      </c>
      <c r="E52" s="17">
        <v>27</v>
      </c>
      <c r="F52" s="17">
        <v>34.18</v>
      </c>
      <c r="G52" s="17">
        <f t="shared" si="0"/>
        <v>43.67</v>
      </c>
      <c r="H52" s="82">
        <f t="shared" si="1"/>
        <v>30.57</v>
      </c>
      <c r="I52" s="83">
        <f t="shared" si="2"/>
        <v>825.39</v>
      </c>
      <c r="J52" s="84">
        <f>'Planilha Orçamentaria'!E51</f>
        <v>0</v>
      </c>
      <c r="K52" s="85"/>
      <c r="L52" s="85">
        <f t="shared" si="4"/>
        <v>0</v>
      </c>
      <c r="M52" s="85">
        <f t="shared" si="3"/>
        <v>0</v>
      </c>
      <c r="N52" s="90" t="s">
        <v>119</v>
      </c>
      <c r="O52" s="87">
        <f t="shared" si="5"/>
        <v>30.57</v>
      </c>
      <c r="P52" s="87">
        <f>'Planilha Orçamentaria'!J51</f>
        <v>0</v>
      </c>
      <c r="Q52" s="88">
        <f t="shared" si="7"/>
        <v>0</v>
      </c>
    </row>
    <row r="53" spans="1:17" ht="21.75" hidden="1" customHeight="1" thickBot="1" x14ac:dyDescent="0.3">
      <c r="A53" s="8" t="str">
        <f>'Planilha Orçamentaria'!A52</f>
        <v>6.5</v>
      </c>
      <c r="B53" s="2" t="s">
        <v>192</v>
      </c>
      <c r="C53" s="3" t="s">
        <v>193</v>
      </c>
      <c r="D53" s="1" t="s">
        <v>41</v>
      </c>
      <c r="E53" s="17">
        <v>2</v>
      </c>
      <c r="F53" s="17">
        <v>596.91999999999996</v>
      </c>
      <c r="G53" s="17">
        <f t="shared" si="0"/>
        <v>762.68</v>
      </c>
      <c r="H53" s="82">
        <f t="shared" si="1"/>
        <v>533.88</v>
      </c>
      <c r="I53" s="83">
        <f t="shared" si="2"/>
        <v>1067.76</v>
      </c>
      <c r="J53" s="84">
        <f>'Planilha Orçamentaria'!E52</f>
        <v>0</v>
      </c>
      <c r="K53" s="85"/>
      <c r="L53" s="85">
        <f t="shared" si="4"/>
        <v>0</v>
      </c>
      <c r="M53" s="85">
        <f t="shared" si="3"/>
        <v>0</v>
      </c>
      <c r="N53" s="90" t="s">
        <v>41</v>
      </c>
      <c r="O53" s="87">
        <f t="shared" si="5"/>
        <v>533.88</v>
      </c>
      <c r="P53" s="87">
        <f>'Planilha Orçamentaria'!J52</f>
        <v>0</v>
      </c>
      <c r="Q53" s="88">
        <f t="shared" si="7"/>
        <v>0</v>
      </c>
    </row>
    <row r="54" spans="1:17" hidden="1" x14ac:dyDescent="0.25">
      <c r="A54" s="8" t="str">
        <f>'Planilha Orçamentaria'!A53</f>
        <v>6.6</v>
      </c>
      <c r="B54" s="2"/>
      <c r="C54" s="3" t="e">
        <f>#REF!</f>
        <v>#REF!</v>
      </c>
      <c r="D54" s="1"/>
      <c r="E54" s="17"/>
      <c r="F54" s="17"/>
      <c r="G54" s="17"/>
      <c r="H54" s="82" t="e">
        <f>#REF!</f>
        <v>#REF!</v>
      </c>
      <c r="I54" s="83"/>
      <c r="J54" s="84">
        <f>'Planilha Orçamentaria'!E53</f>
        <v>0</v>
      </c>
      <c r="K54" s="85"/>
      <c r="L54" s="85">
        <f t="shared" si="4"/>
        <v>0</v>
      </c>
      <c r="M54" s="85">
        <f t="shared" si="3"/>
        <v>0</v>
      </c>
      <c r="N54" s="90" t="s">
        <v>41</v>
      </c>
      <c r="O54" s="87" t="e">
        <f t="shared" si="5"/>
        <v>#REF!</v>
      </c>
      <c r="P54" s="87">
        <f>'Planilha Orçamentaria'!J53</f>
        <v>0</v>
      </c>
      <c r="Q54" s="88">
        <f t="shared" si="7"/>
        <v>0</v>
      </c>
    </row>
    <row r="55" spans="1:17" hidden="1" x14ac:dyDescent="0.25">
      <c r="A55" s="8" t="str">
        <f>'Planilha Orçamentaria'!A54</f>
        <v>6.7</v>
      </c>
      <c r="B55" s="2"/>
      <c r="C55" s="3" t="e">
        <f>#REF!</f>
        <v>#REF!</v>
      </c>
      <c r="D55" s="1"/>
      <c r="E55" s="17"/>
      <c r="F55" s="17"/>
      <c r="G55" s="17"/>
      <c r="H55" s="82" t="e">
        <f>#REF!</f>
        <v>#REF!</v>
      </c>
      <c r="I55" s="83"/>
      <c r="J55" s="84">
        <f>'Planilha Orçamentaria'!E54</f>
        <v>0</v>
      </c>
      <c r="K55" s="85"/>
      <c r="L55" s="85">
        <f t="shared" si="4"/>
        <v>0</v>
      </c>
      <c r="M55" s="85"/>
      <c r="N55" s="90"/>
      <c r="O55" s="87" t="e">
        <f t="shared" si="5"/>
        <v>#REF!</v>
      </c>
      <c r="P55" s="87">
        <f>'Planilha Orçamentaria'!J54</f>
        <v>0</v>
      </c>
      <c r="Q55" s="88">
        <f t="shared" si="7"/>
        <v>0</v>
      </c>
    </row>
    <row r="56" spans="1:17" ht="31.2" hidden="1" thickBot="1" x14ac:dyDescent="0.3">
      <c r="A56" s="8" t="str">
        <f>'Planilha Orçamentaria'!A55</f>
        <v>6.6</v>
      </c>
      <c r="B56" s="2" t="s">
        <v>82</v>
      </c>
      <c r="C56" s="3" t="s">
        <v>81</v>
      </c>
      <c r="D56" s="1" t="s">
        <v>41</v>
      </c>
      <c r="E56" s="17">
        <v>10</v>
      </c>
      <c r="F56" s="17">
        <v>260.60000000000002</v>
      </c>
      <c r="G56" s="17">
        <f t="shared" si="0"/>
        <v>332.97</v>
      </c>
      <c r="H56" s="82">
        <f t="shared" si="1"/>
        <v>233.08</v>
      </c>
      <c r="I56" s="83">
        <f t="shared" si="2"/>
        <v>2330.8000000000002</v>
      </c>
      <c r="J56" s="84">
        <f>'Planilha Orçamentaria'!E55</f>
        <v>0</v>
      </c>
      <c r="K56" s="85"/>
      <c r="L56" s="85">
        <f t="shared" si="4"/>
        <v>0</v>
      </c>
      <c r="M56" s="85">
        <f t="shared" si="3"/>
        <v>0</v>
      </c>
      <c r="N56" s="90" t="s">
        <v>41</v>
      </c>
      <c r="O56" s="87">
        <f t="shared" si="5"/>
        <v>233.08</v>
      </c>
      <c r="P56" s="87">
        <f>'Planilha Orçamentaria'!J55</f>
        <v>0</v>
      </c>
      <c r="Q56" s="88">
        <f t="shared" si="7"/>
        <v>0</v>
      </c>
    </row>
    <row r="57" spans="1:17" ht="13.8" hidden="1" thickBot="1" x14ac:dyDescent="0.3">
      <c r="A57" s="7">
        <f>'Planilha Orçamentaria'!A56</f>
        <v>7</v>
      </c>
      <c r="B57" s="57"/>
      <c r="C57" s="27" t="s">
        <v>62</v>
      </c>
      <c r="D57" s="27"/>
      <c r="E57" s="28"/>
      <c r="F57" s="28"/>
      <c r="G57" s="28"/>
      <c r="H57" s="96"/>
      <c r="I57" s="96"/>
      <c r="J57" s="96"/>
      <c r="K57" s="96"/>
      <c r="L57" s="96"/>
      <c r="M57" s="96"/>
      <c r="N57" s="96"/>
      <c r="O57" s="96"/>
      <c r="P57" s="114">
        <f>P58+P59+P60+P61+P62+P64</f>
        <v>0</v>
      </c>
      <c r="Q57" s="119">
        <f>Q58+Q59+Q60+Q61+Q62+Q64</f>
        <v>0</v>
      </c>
    </row>
    <row r="58" spans="1:17" ht="51" hidden="1" x14ac:dyDescent="0.25">
      <c r="A58" s="8" t="str">
        <f>'Planilha Orçamentaria'!A57</f>
        <v>7.1</v>
      </c>
      <c r="B58" s="2" t="s">
        <v>99</v>
      </c>
      <c r="C58" s="3" t="s">
        <v>98</v>
      </c>
      <c r="D58" s="1" t="s">
        <v>41</v>
      </c>
      <c r="E58" s="17">
        <v>12</v>
      </c>
      <c r="F58" s="17">
        <v>195.81</v>
      </c>
      <c r="G58" s="17">
        <f t="shared" si="0"/>
        <v>250.19</v>
      </c>
      <c r="H58" s="82">
        <f t="shared" si="1"/>
        <v>175.13</v>
      </c>
      <c r="I58" s="83">
        <f t="shared" si="2"/>
        <v>2101.56</v>
      </c>
      <c r="J58" s="84">
        <f>'Planilha Orçamentaria'!E57</f>
        <v>0</v>
      </c>
      <c r="K58" s="85"/>
      <c r="L58" s="85">
        <f t="shared" si="4"/>
        <v>0</v>
      </c>
      <c r="M58" s="85">
        <f t="shared" si="3"/>
        <v>0</v>
      </c>
      <c r="N58" s="90" t="s">
        <v>41</v>
      </c>
      <c r="O58" s="87">
        <f t="shared" si="5"/>
        <v>175.13</v>
      </c>
      <c r="P58" s="87">
        <f>'Planilha Orçamentaria'!J57</f>
        <v>0</v>
      </c>
      <c r="Q58" s="88">
        <f>'Planilha Orçamentaria'!J57</f>
        <v>0</v>
      </c>
    </row>
    <row r="59" spans="1:17" ht="44.25" hidden="1" customHeight="1" x14ac:dyDescent="0.25">
      <c r="A59" s="8" t="str">
        <f>'Planilha Orçamentaria'!A58</f>
        <v>7.2</v>
      </c>
      <c r="B59" s="2" t="s">
        <v>102</v>
      </c>
      <c r="C59" s="3" t="s">
        <v>101</v>
      </c>
      <c r="D59" s="1" t="s">
        <v>41</v>
      </c>
      <c r="E59" s="17">
        <v>27</v>
      </c>
      <c r="F59" s="17">
        <v>100.05</v>
      </c>
      <c r="G59" s="17">
        <f t="shared" si="0"/>
        <v>127.83</v>
      </c>
      <c r="H59" s="82">
        <f t="shared" si="1"/>
        <v>89.48</v>
      </c>
      <c r="I59" s="83">
        <f t="shared" si="2"/>
        <v>2415.96</v>
      </c>
      <c r="J59" s="84">
        <f>'Planilha Orçamentaria'!E58</f>
        <v>0</v>
      </c>
      <c r="K59" s="85"/>
      <c r="L59" s="85">
        <f t="shared" si="4"/>
        <v>0</v>
      </c>
      <c r="M59" s="85">
        <f t="shared" si="3"/>
        <v>0</v>
      </c>
      <c r="N59" s="90" t="s">
        <v>41</v>
      </c>
      <c r="O59" s="87">
        <f t="shared" si="5"/>
        <v>89.48</v>
      </c>
      <c r="P59" s="87">
        <f>'Planilha Orçamentaria'!J58</f>
        <v>0</v>
      </c>
      <c r="Q59" s="88">
        <f>'Planilha Orçamentaria'!J58</f>
        <v>0</v>
      </c>
    </row>
    <row r="60" spans="1:17" ht="0.75" hidden="1" customHeight="1" x14ac:dyDescent="0.25">
      <c r="A60" s="8" t="str">
        <f>'Planilha Orçamentaria'!A59</f>
        <v>7.3</v>
      </c>
      <c r="B60" s="2" t="s">
        <v>107</v>
      </c>
      <c r="C60" s="3" t="s">
        <v>170</v>
      </c>
      <c r="D60" s="1" t="s">
        <v>41</v>
      </c>
      <c r="E60" s="17">
        <v>59</v>
      </c>
      <c r="F60" s="17">
        <v>114.95</v>
      </c>
      <c r="G60" s="17">
        <f t="shared" si="0"/>
        <v>146.87</v>
      </c>
      <c r="H60" s="82">
        <f t="shared" si="1"/>
        <v>102.81</v>
      </c>
      <c r="I60" s="83">
        <f t="shared" si="2"/>
        <v>6065.79</v>
      </c>
      <c r="J60" s="84">
        <f>'Planilha Orçamentaria'!E59</f>
        <v>0</v>
      </c>
      <c r="K60" s="85"/>
      <c r="L60" s="85">
        <f t="shared" si="4"/>
        <v>0</v>
      </c>
      <c r="M60" s="85">
        <f t="shared" si="3"/>
        <v>0</v>
      </c>
      <c r="N60" s="90" t="s">
        <v>41</v>
      </c>
      <c r="O60" s="87">
        <f t="shared" si="5"/>
        <v>102.81</v>
      </c>
      <c r="P60" s="87">
        <f>'Planilha Orçamentaria'!J59</f>
        <v>0</v>
      </c>
      <c r="Q60" s="88">
        <f>'Planilha Orçamentaria'!J59</f>
        <v>0</v>
      </c>
    </row>
    <row r="61" spans="1:17" hidden="1" x14ac:dyDescent="0.25">
      <c r="A61" s="8" t="str">
        <f>'Planilha Orçamentaria'!A60</f>
        <v>7.3</v>
      </c>
      <c r="B61" s="2" t="s">
        <v>175</v>
      </c>
      <c r="C61" s="3" t="s">
        <v>176</v>
      </c>
      <c r="D61" s="1" t="s">
        <v>41</v>
      </c>
      <c r="E61" s="17">
        <v>129</v>
      </c>
      <c r="F61" s="17">
        <v>22.62</v>
      </c>
      <c r="G61" s="17">
        <f t="shared" si="0"/>
        <v>28.9</v>
      </c>
      <c r="H61" s="82">
        <f t="shared" si="1"/>
        <v>20.23</v>
      </c>
      <c r="I61" s="83">
        <f t="shared" si="2"/>
        <v>2609.67</v>
      </c>
      <c r="J61" s="84">
        <f>'Planilha Orçamentaria'!E60</f>
        <v>0</v>
      </c>
      <c r="K61" s="85"/>
      <c r="L61" s="85">
        <f t="shared" si="4"/>
        <v>0</v>
      </c>
      <c r="M61" s="85">
        <f t="shared" si="3"/>
        <v>0</v>
      </c>
      <c r="N61" s="90" t="s">
        <v>41</v>
      </c>
      <c r="O61" s="87">
        <f t="shared" si="5"/>
        <v>20.23</v>
      </c>
      <c r="P61" s="87">
        <f>'Planilha Orçamentaria'!J60</f>
        <v>0</v>
      </c>
      <c r="Q61" s="88">
        <f>'Planilha Orçamentaria'!J60</f>
        <v>0</v>
      </c>
    </row>
    <row r="62" spans="1:17" ht="12" hidden="1" customHeight="1" x14ac:dyDescent="0.25">
      <c r="A62" s="8" t="str">
        <f>'Planilha Orçamentaria'!A61</f>
        <v>7.4</v>
      </c>
      <c r="B62" s="2" t="s">
        <v>168</v>
      </c>
      <c r="C62" s="3" t="s">
        <v>169</v>
      </c>
      <c r="D62" s="1" t="s">
        <v>41</v>
      </c>
      <c r="E62" s="17">
        <v>26</v>
      </c>
      <c r="F62" s="17">
        <v>40.880000000000003</v>
      </c>
      <c r="G62" s="17">
        <f t="shared" si="0"/>
        <v>52.23</v>
      </c>
      <c r="H62" s="82">
        <f t="shared" si="1"/>
        <v>36.56</v>
      </c>
      <c r="I62" s="83">
        <f t="shared" si="2"/>
        <v>950.56</v>
      </c>
      <c r="J62" s="84">
        <f>'Planilha Orçamentaria'!E61</f>
        <v>0</v>
      </c>
      <c r="K62" s="85"/>
      <c r="L62" s="85">
        <f t="shared" si="4"/>
        <v>0</v>
      </c>
      <c r="M62" s="85">
        <f t="shared" si="3"/>
        <v>0</v>
      </c>
      <c r="N62" s="90" t="s">
        <v>41</v>
      </c>
      <c r="O62" s="87">
        <f t="shared" si="5"/>
        <v>36.56</v>
      </c>
      <c r="P62" s="87">
        <f>'Planilha Orçamentaria'!J61</f>
        <v>0</v>
      </c>
      <c r="Q62" s="88">
        <f>'Planilha Orçamentaria'!J61</f>
        <v>0</v>
      </c>
    </row>
    <row r="63" spans="1:17" hidden="1" x14ac:dyDescent="0.25">
      <c r="A63" s="8" t="str">
        <f>'Planilha Orçamentaria'!A62</f>
        <v>7.6</v>
      </c>
      <c r="B63" s="2"/>
      <c r="C63" s="3" t="e">
        <f>#REF!</f>
        <v>#REF!</v>
      </c>
      <c r="D63" s="1"/>
      <c r="E63" s="17"/>
      <c r="F63" s="17"/>
      <c r="G63" s="17"/>
      <c r="H63" s="82" t="e">
        <f>#REF!*0.7</f>
        <v>#REF!</v>
      </c>
      <c r="I63" s="83"/>
      <c r="J63" s="84">
        <f>'Planilha Orçamentaria'!E62</f>
        <v>0</v>
      </c>
      <c r="K63" s="85"/>
      <c r="L63" s="85">
        <f t="shared" si="4"/>
        <v>0</v>
      </c>
      <c r="M63" s="85"/>
      <c r="N63" s="90"/>
      <c r="O63" s="87" t="e">
        <f t="shared" si="5"/>
        <v>#REF!</v>
      </c>
      <c r="P63" s="87">
        <f>'Planilha Orçamentaria'!J62</f>
        <v>0</v>
      </c>
      <c r="Q63" s="88">
        <f>'Planilha Orçamentaria'!J62</f>
        <v>0</v>
      </c>
    </row>
    <row r="64" spans="1:17" ht="51" hidden="1" x14ac:dyDescent="0.25">
      <c r="A64" s="8" t="str">
        <f>'Planilha Orçamentaria'!A63</f>
        <v>7.5</v>
      </c>
      <c r="B64" s="2" t="s">
        <v>103</v>
      </c>
      <c r="C64" s="3" t="s">
        <v>104</v>
      </c>
      <c r="D64" s="1" t="s">
        <v>41</v>
      </c>
      <c r="E64" s="17">
        <v>109</v>
      </c>
      <c r="F64" s="17">
        <v>299.76</v>
      </c>
      <c r="G64" s="17">
        <f t="shared" si="0"/>
        <v>383</v>
      </c>
      <c r="H64" s="82">
        <f t="shared" si="1"/>
        <v>268.10000000000002</v>
      </c>
      <c r="I64" s="83">
        <f t="shared" si="2"/>
        <v>29222.9</v>
      </c>
      <c r="J64" s="84">
        <f>'Planilha Orçamentaria'!E63</f>
        <v>0</v>
      </c>
      <c r="K64" s="85"/>
      <c r="L64" s="85">
        <f t="shared" si="4"/>
        <v>0</v>
      </c>
      <c r="M64" s="85">
        <f t="shared" si="3"/>
        <v>0</v>
      </c>
      <c r="N64" s="90" t="s">
        <v>41</v>
      </c>
      <c r="O64" s="87">
        <f t="shared" si="5"/>
        <v>268.10000000000002</v>
      </c>
      <c r="P64" s="87">
        <f>'Planilha Orçamentaria'!J63</f>
        <v>0</v>
      </c>
      <c r="Q64" s="88">
        <f>'Planilha Orçamentaria'!J63</f>
        <v>0</v>
      </c>
    </row>
    <row r="65" spans="1:17" hidden="1" x14ac:dyDescent="0.25">
      <c r="A65" s="7">
        <f>'Planilha Orçamentaria'!A64</f>
        <v>8</v>
      </c>
      <c r="B65" s="29"/>
      <c r="C65" s="5" t="s">
        <v>38</v>
      </c>
      <c r="D65" s="4"/>
      <c r="E65" s="15"/>
      <c r="F65" s="15"/>
      <c r="G65" s="43"/>
      <c r="H65" s="97"/>
      <c r="I65" s="97"/>
      <c r="J65" s="97"/>
      <c r="K65" s="97"/>
      <c r="L65" s="97"/>
      <c r="M65" s="97"/>
      <c r="N65" s="97"/>
      <c r="O65" s="97"/>
      <c r="P65" s="115">
        <f>P66+P67+P68+P69+P70+P71+P74+P72+P73</f>
        <v>0</v>
      </c>
      <c r="Q65" s="120">
        <f>Q66+Q67+Q68+Q69+Q70+Q71+Q74+Q73+Q72</f>
        <v>0</v>
      </c>
    </row>
    <row r="66" spans="1:17" hidden="1" x14ac:dyDescent="0.25">
      <c r="A66" s="8" t="str">
        <f>'Planilha Orçamentaria'!A65</f>
        <v>8.1</v>
      </c>
      <c r="B66" s="2" t="s">
        <v>111</v>
      </c>
      <c r="C66" s="14" t="s">
        <v>158</v>
      </c>
      <c r="D66" s="2" t="s">
        <v>42</v>
      </c>
      <c r="E66" s="16">
        <f>40*(0.8*2.1)*2</f>
        <v>134.4</v>
      </c>
      <c r="F66" s="16">
        <v>3.31</v>
      </c>
      <c r="G66" s="16">
        <f t="shared" si="0"/>
        <v>4.2300000000000004</v>
      </c>
      <c r="H66" s="82">
        <f t="shared" si="1"/>
        <v>2.96</v>
      </c>
      <c r="I66" s="83">
        <f t="shared" si="2"/>
        <v>397.82</v>
      </c>
      <c r="J66" s="84">
        <f>'Planilha Orçamentaria'!E65</f>
        <v>0</v>
      </c>
      <c r="K66" s="85"/>
      <c r="L66" s="85">
        <f t="shared" si="4"/>
        <v>0</v>
      </c>
      <c r="M66" s="85">
        <f t="shared" si="3"/>
        <v>0</v>
      </c>
      <c r="N66" s="98" t="s">
        <v>42</v>
      </c>
      <c r="O66" s="87">
        <f t="shared" si="5"/>
        <v>2.96</v>
      </c>
      <c r="P66" s="87">
        <f>'Planilha Orçamentaria'!J65</f>
        <v>0</v>
      </c>
      <c r="Q66" s="88">
        <f>'Planilha Orçamentaria'!J65</f>
        <v>0</v>
      </c>
    </row>
    <row r="67" spans="1:17" ht="20.399999999999999" hidden="1" x14ac:dyDescent="0.25">
      <c r="A67" s="8" t="str">
        <f>'Planilha Orçamentaria'!A66</f>
        <v>8.2</v>
      </c>
      <c r="B67" s="2" t="s">
        <v>113</v>
      </c>
      <c r="C67" s="14" t="s">
        <v>112</v>
      </c>
      <c r="D67" s="2" t="s">
        <v>23</v>
      </c>
      <c r="E67" s="16">
        <f>E66</f>
        <v>134.4</v>
      </c>
      <c r="F67" s="16">
        <v>18.04</v>
      </c>
      <c r="G67" s="16">
        <f t="shared" si="0"/>
        <v>23.05</v>
      </c>
      <c r="H67" s="82">
        <f t="shared" si="1"/>
        <v>16.14</v>
      </c>
      <c r="I67" s="83">
        <f t="shared" si="2"/>
        <v>2169.2199999999998</v>
      </c>
      <c r="J67" s="84">
        <f>'Planilha Orçamentaria'!E66</f>
        <v>0</v>
      </c>
      <c r="K67" s="85"/>
      <c r="L67" s="85">
        <f t="shared" si="4"/>
        <v>0</v>
      </c>
      <c r="M67" s="85">
        <f t="shared" si="3"/>
        <v>0</v>
      </c>
      <c r="N67" s="98" t="s">
        <v>23</v>
      </c>
      <c r="O67" s="87">
        <f t="shared" si="5"/>
        <v>16.14</v>
      </c>
      <c r="P67" s="87">
        <f>'Planilha Orçamentaria'!J66</f>
        <v>0</v>
      </c>
      <c r="Q67" s="88">
        <f>'Planilha Orçamentaria'!J66</f>
        <v>0</v>
      </c>
    </row>
    <row r="68" spans="1:17" hidden="1" x14ac:dyDescent="0.25">
      <c r="A68" s="8" t="str">
        <f>'Planilha Orçamentaria'!A67</f>
        <v>8.3</v>
      </c>
      <c r="B68" s="2" t="s">
        <v>161</v>
      </c>
      <c r="C68" s="14" t="s">
        <v>158</v>
      </c>
      <c r="D68" s="2" t="s">
        <v>23</v>
      </c>
      <c r="E68" s="16">
        <v>6543.22</v>
      </c>
      <c r="F68" s="16">
        <v>2.19</v>
      </c>
      <c r="G68" s="16">
        <f t="shared" si="0"/>
        <v>2.8</v>
      </c>
      <c r="H68" s="82">
        <f t="shared" si="1"/>
        <v>1.96</v>
      </c>
      <c r="I68" s="83">
        <f t="shared" si="2"/>
        <v>12824.71</v>
      </c>
      <c r="J68" s="84">
        <f>'Planilha Orçamentaria'!E67</f>
        <v>0</v>
      </c>
      <c r="K68" s="85"/>
      <c r="L68" s="85">
        <f t="shared" si="4"/>
        <v>0</v>
      </c>
      <c r="M68" s="85">
        <f t="shared" si="3"/>
        <v>0</v>
      </c>
      <c r="N68" s="98" t="s">
        <v>23</v>
      </c>
      <c r="O68" s="87">
        <f t="shared" si="5"/>
        <v>1.96</v>
      </c>
      <c r="P68" s="87">
        <f>'Planilha Orçamentaria'!J67</f>
        <v>0</v>
      </c>
      <c r="Q68" s="88">
        <f>'Planilha Orçamentaria'!J67</f>
        <v>0</v>
      </c>
    </row>
    <row r="69" spans="1:17" hidden="1" x14ac:dyDescent="0.25">
      <c r="A69" s="8" t="str">
        <f>'Planilha Orçamentaria'!A68</f>
        <v>8.4</v>
      </c>
      <c r="B69" s="2" t="s">
        <v>159</v>
      </c>
      <c r="C69" s="14" t="s">
        <v>160</v>
      </c>
      <c r="D69" s="2" t="s">
        <v>23</v>
      </c>
      <c r="E69" s="16">
        <f>E70</f>
        <v>534.33000000000004</v>
      </c>
      <c r="F69" s="16">
        <v>2.4700000000000002</v>
      </c>
      <c r="G69" s="16">
        <f t="shared" si="0"/>
        <v>3.16</v>
      </c>
      <c r="H69" s="82">
        <f t="shared" si="1"/>
        <v>2.21</v>
      </c>
      <c r="I69" s="83">
        <f t="shared" si="2"/>
        <v>1180.8699999999999</v>
      </c>
      <c r="J69" s="84">
        <f>'Planilha Orçamentaria'!E68</f>
        <v>0</v>
      </c>
      <c r="K69" s="85"/>
      <c r="L69" s="85">
        <f t="shared" si="4"/>
        <v>0</v>
      </c>
      <c r="M69" s="85">
        <f t="shared" si="3"/>
        <v>0</v>
      </c>
      <c r="N69" s="98" t="s">
        <v>23</v>
      </c>
      <c r="O69" s="87">
        <f t="shared" si="5"/>
        <v>2.21</v>
      </c>
      <c r="P69" s="87">
        <f>'Planilha Orçamentaria'!J68</f>
        <v>0</v>
      </c>
      <c r="Q69" s="88">
        <f>'Planilha Orçamentaria'!J68</f>
        <v>0</v>
      </c>
    </row>
    <row r="70" spans="1:17" hidden="1" x14ac:dyDescent="0.25">
      <c r="A70" s="8" t="str">
        <f>'Planilha Orçamentaria'!A69</f>
        <v>8.5</v>
      </c>
      <c r="B70" s="2" t="s">
        <v>157</v>
      </c>
      <c r="C70" s="14" t="s">
        <v>156</v>
      </c>
      <c r="D70" s="2" t="s">
        <v>23</v>
      </c>
      <c r="E70" s="16">
        <v>534.33000000000004</v>
      </c>
      <c r="F70" s="16">
        <v>16.5</v>
      </c>
      <c r="G70" s="16">
        <f t="shared" si="0"/>
        <v>21.08</v>
      </c>
      <c r="H70" s="82">
        <f t="shared" si="1"/>
        <v>14.76</v>
      </c>
      <c r="I70" s="83">
        <f t="shared" si="2"/>
        <v>7886.71</v>
      </c>
      <c r="J70" s="84">
        <f>'Planilha Orçamentaria'!E69</f>
        <v>0</v>
      </c>
      <c r="K70" s="85"/>
      <c r="L70" s="85">
        <f t="shared" si="4"/>
        <v>0</v>
      </c>
      <c r="M70" s="85">
        <f t="shared" si="3"/>
        <v>0</v>
      </c>
      <c r="N70" s="98" t="s">
        <v>23</v>
      </c>
      <c r="O70" s="87">
        <f t="shared" si="5"/>
        <v>14.76</v>
      </c>
      <c r="P70" s="87">
        <f>'Planilha Orçamentaria'!J69</f>
        <v>0</v>
      </c>
      <c r="Q70" s="88">
        <f>'Planilha Orçamentaria'!J69</f>
        <v>0</v>
      </c>
    </row>
    <row r="71" spans="1:17" ht="8.25" hidden="1" customHeight="1" x14ac:dyDescent="0.25">
      <c r="A71" s="8" t="str">
        <f>'Planilha Orçamentaria'!A70</f>
        <v>8.6</v>
      </c>
      <c r="B71" s="2" t="s">
        <v>164</v>
      </c>
      <c r="C71" s="14" t="s">
        <v>165</v>
      </c>
      <c r="D71" s="2" t="s">
        <v>23</v>
      </c>
      <c r="E71" s="16">
        <f>E68-E74</f>
        <v>2617.29</v>
      </c>
      <c r="F71" s="16">
        <v>22.48</v>
      </c>
      <c r="G71" s="16">
        <f t="shared" si="0"/>
        <v>28.72</v>
      </c>
      <c r="H71" s="82">
        <f t="shared" si="1"/>
        <v>20.100000000000001</v>
      </c>
      <c r="I71" s="83">
        <f t="shared" si="2"/>
        <v>52607.53</v>
      </c>
      <c r="J71" s="84">
        <f>'Planilha Orçamentaria'!E70</f>
        <v>0</v>
      </c>
      <c r="K71" s="85"/>
      <c r="L71" s="85">
        <f t="shared" si="4"/>
        <v>0</v>
      </c>
      <c r="M71" s="85">
        <f t="shared" si="3"/>
        <v>0</v>
      </c>
      <c r="N71" s="98" t="s">
        <v>23</v>
      </c>
      <c r="O71" s="87">
        <f t="shared" si="5"/>
        <v>20.100000000000001</v>
      </c>
      <c r="P71" s="87">
        <f>'Planilha Orçamentaria'!J70</f>
        <v>0</v>
      </c>
      <c r="Q71" s="88">
        <f>'Planilha Orçamentaria'!J70</f>
        <v>0</v>
      </c>
    </row>
    <row r="72" spans="1:17" hidden="1" x14ac:dyDescent="0.25">
      <c r="A72" s="8" t="str">
        <f>'Planilha Orçamentaria'!A71</f>
        <v>8.7</v>
      </c>
      <c r="B72" s="2"/>
      <c r="C72" s="14" t="e">
        <f>#REF!</f>
        <v>#REF!</v>
      </c>
      <c r="D72" s="2"/>
      <c r="E72" s="16"/>
      <c r="F72" s="16"/>
      <c r="G72" s="16"/>
      <c r="H72" s="82" t="e">
        <f>#REF!</f>
        <v>#REF!</v>
      </c>
      <c r="I72" s="83"/>
      <c r="J72" s="84">
        <f>'Planilha Orçamentaria'!E71</f>
        <v>0</v>
      </c>
      <c r="K72" s="85"/>
      <c r="L72" s="85">
        <f t="shared" si="4"/>
        <v>0</v>
      </c>
      <c r="M72" s="85"/>
      <c r="N72" s="98"/>
      <c r="O72" s="87" t="e">
        <f t="shared" si="5"/>
        <v>#REF!</v>
      </c>
      <c r="P72" s="87">
        <f>'Planilha Orçamentaria'!J71</f>
        <v>0</v>
      </c>
      <c r="Q72" s="88">
        <f>'Planilha Orçamentaria'!J71</f>
        <v>0</v>
      </c>
    </row>
    <row r="73" spans="1:17" hidden="1" x14ac:dyDescent="0.25">
      <c r="A73" s="8" t="str">
        <f>'Planilha Orçamentaria'!A72</f>
        <v>8.8</v>
      </c>
      <c r="B73" s="2"/>
      <c r="C73" s="14" t="e">
        <f>#REF!</f>
        <v>#REF!</v>
      </c>
      <c r="D73" s="2"/>
      <c r="E73" s="16"/>
      <c r="F73" s="16"/>
      <c r="G73" s="16"/>
      <c r="H73" s="82" t="e">
        <f>#REF!</f>
        <v>#REF!</v>
      </c>
      <c r="I73" s="83"/>
      <c r="J73" s="84">
        <f>'Planilha Orçamentaria'!E72</f>
        <v>0</v>
      </c>
      <c r="K73" s="85"/>
      <c r="L73" s="85">
        <f t="shared" si="4"/>
        <v>0</v>
      </c>
      <c r="M73" s="85">
        <f t="shared" si="3"/>
        <v>0</v>
      </c>
      <c r="N73" s="98"/>
      <c r="O73" s="87" t="e">
        <f t="shared" si="5"/>
        <v>#REF!</v>
      </c>
      <c r="P73" s="87">
        <f>'Planilha Orçamentaria'!J72</f>
        <v>0</v>
      </c>
      <c r="Q73" s="88">
        <f>'Planilha Orçamentaria'!J72</f>
        <v>0</v>
      </c>
    </row>
    <row r="74" spans="1:17" hidden="1" x14ac:dyDescent="0.25">
      <c r="A74" s="8" t="str">
        <f>'Planilha Orçamentaria'!A73</f>
        <v>8.7</v>
      </c>
      <c r="B74" s="2" t="s">
        <v>162</v>
      </c>
      <c r="C74" s="14" t="s">
        <v>163</v>
      </c>
      <c r="D74" s="2" t="s">
        <v>23</v>
      </c>
      <c r="E74" s="16">
        <f>E68*0.6</f>
        <v>3925.93</v>
      </c>
      <c r="F74" s="16">
        <v>14.74</v>
      </c>
      <c r="G74" s="16">
        <f t="shared" si="0"/>
        <v>18.829999999999998</v>
      </c>
      <c r="H74" s="82">
        <f t="shared" si="1"/>
        <v>13.18</v>
      </c>
      <c r="I74" s="83">
        <f t="shared" si="2"/>
        <v>51743.76</v>
      </c>
      <c r="J74" s="84">
        <f>'Planilha Orçamentaria'!E73</f>
        <v>0</v>
      </c>
      <c r="K74" s="85"/>
      <c r="L74" s="85">
        <f t="shared" si="4"/>
        <v>0</v>
      </c>
      <c r="M74" s="85">
        <f t="shared" si="3"/>
        <v>0</v>
      </c>
      <c r="N74" s="98" t="s">
        <v>23</v>
      </c>
      <c r="O74" s="87">
        <f t="shared" si="5"/>
        <v>13.18</v>
      </c>
      <c r="P74" s="87">
        <f>'Planilha Orçamentaria'!J73</f>
        <v>0</v>
      </c>
      <c r="Q74" s="88">
        <f>'Planilha Orçamentaria'!J73</f>
        <v>0</v>
      </c>
    </row>
    <row r="75" spans="1:17" hidden="1" x14ac:dyDescent="0.25">
      <c r="A75" s="7">
        <f>'Planilha Orçamentaria'!A74</f>
        <v>9</v>
      </c>
      <c r="B75" s="29"/>
      <c r="C75" s="5" t="s">
        <v>143</v>
      </c>
      <c r="D75" s="4"/>
      <c r="E75" s="15"/>
      <c r="F75" s="15"/>
      <c r="G75" s="15"/>
      <c r="H75" s="97"/>
      <c r="I75" s="97"/>
      <c r="J75" s="97"/>
      <c r="K75" s="97"/>
      <c r="L75" s="97"/>
      <c r="M75" s="97"/>
      <c r="N75" s="97"/>
      <c r="O75" s="97"/>
      <c r="P75" s="115">
        <f>P76+P77+P78+P79+P80+P81+P82+P83+P84</f>
        <v>1097750</v>
      </c>
      <c r="Q75" s="120">
        <f>Q76+Q77+Q78+Q79+Q80+Q81+Q83+Q82+Q84</f>
        <v>1097750</v>
      </c>
    </row>
    <row r="76" spans="1:17" hidden="1" x14ac:dyDescent="0.25">
      <c r="A76" s="8" t="str">
        <f>'Planilha Orçamentaria'!A75</f>
        <v>9.1</v>
      </c>
      <c r="B76" s="2" t="s">
        <v>118</v>
      </c>
      <c r="C76" s="3" t="s">
        <v>116</v>
      </c>
      <c r="D76" s="1" t="s">
        <v>23</v>
      </c>
      <c r="E76" s="17">
        <v>704.41</v>
      </c>
      <c r="F76" s="17">
        <v>41</v>
      </c>
      <c r="G76" s="17">
        <f t="shared" si="0"/>
        <v>52.39</v>
      </c>
      <c r="H76" s="82">
        <f t="shared" si="1"/>
        <v>36.67</v>
      </c>
      <c r="I76" s="83">
        <f t="shared" si="2"/>
        <v>25830.71</v>
      </c>
      <c r="J76" s="84">
        <f>'Planilha Orçamentaria'!E75</f>
        <v>0</v>
      </c>
      <c r="K76" s="99"/>
      <c r="L76" s="85">
        <f>J76-38.85</f>
        <v>-38.85</v>
      </c>
      <c r="M76" s="85">
        <f t="shared" si="3"/>
        <v>-38.85</v>
      </c>
      <c r="N76" s="90" t="s">
        <v>23</v>
      </c>
      <c r="O76" s="87">
        <f t="shared" si="5"/>
        <v>36.67</v>
      </c>
      <c r="P76" s="87">
        <f>L76*H76</f>
        <v>-1424.63</v>
      </c>
      <c r="Q76" s="88">
        <f>P76</f>
        <v>-1424.63</v>
      </c>
    </row>
    <row r="77" spans="1:17" hidden="1" x14ac:dyDescent="0.25">
      <c r="A77" s="8" t="str">
        <f>'Planilha Orçamentaria'!A76</f>
        <v>9.2</v>
      </c>
      <c r="B77" s="2" t="s">
        <v>144</v>
      </c>
      <c r="C77" s="30" t="s">
        <v>117</v>
      </c>
      <c r="D77" s="1" t="s">
        <v>119</v>
      </c>
      <c r="E77" s="17">
        <v>428.62</v>
      </c>
      <c r="F77" s="17">
        <v>8.5</v>
      </c>
      <c r="G77" s="17">
        <f t="shared" si="0"/>
        <v>10.86</v>
      </c>
      <c r="H77" s="82">
        <f t="shared" si="1"/>
        <v>7.6</v>
      </c>
      <c r="I77" s="83">
        <f t="shared" si="2"/>
        <v>3257.51</v>
      </c>
      <c r="J77" s="84">
        <f>'Planilha Orçamentaria'!E76</f>
        <v>0</v>
      </c>
      <c r="K77" s="99"/>
      <c r="L77" s="85">
        <f>J77-36.2</f>
        <v>-36.200000000000003</v>
      </c>
      <c r="M77" s="85">
        <f t="shared" si="3"/>
        <v>-36.200000000000003</v>
      </c>
      <c r="N77" s="90" t="s">
        <v>119</v>
      </c>
      <c r="O77" s="87">
        <f t="shared" si="5"/>
        <v>7.6</v>
      </c>
      <c r="P77" s="87">
        <f>L77*H77</f>
        <v>-275.12</v>
      </c>
      <c r="Q77" s="88">
        <f>P77</f>
        <v>-275.12</v>
      </c>
    </row>
    <row r="78" spans="1:17" hidden="1" x14ac:dyDescent="0.25">
      <c r="A78" s="8" t="str">
        <f>'Planilha Orçamentaria'!A77</f>
        <v>9.3</v>
      </c>
      <c r="B78" s="2" t="s">
        <v>145</v>
      </c>
      <c r="C78" s="30" t="s">
        <v>146</v>
      </c>
      <c r="D78" s="1" t="s">
        <v>23</v>
      </c>
      <c r="E78" s="17">
        <v>266.51</v>
      </c>
      <c r="F78" s="17">
        <v>73.75</v>
      </c>
      <c r="G78" s="17">
        <f t="shared" si="0"/>
        <v>94.23</v>
      </c>
      <c r="H78" s="82">
        <f t="shared" si="1"/>
        <v>65.959999999999994</v>
      </c>
      <c r="I78" s="83">
        <f t="shared" si="2"/>
        <v>17579</v>
      </c>
      <c r="J78" s="84">
        <f>'Planilha Orçamentaria'!E77</f>
        <v>0</v>
      </c>
      <c r="K78" s="99"/>
      <c r="L78" s="85">
        <f t="shared" ref="L78:L105" si="8">J78</f>
        <v>0</v>
      </c>
      <c r="M78" s="85">
        <f t="shared" si="3"/>
        <v>0</v>
      </c>
      <c r="N78" s="90" t="s">
        <v>23</v>
      </c>
      <c r="O78" s="87">
        <f t="shared" si="5"/>
        <v>65.959999999999994</v>
      </c>
      <c r="P78" s="87">
        <f>'Planilha Orçamentaria'!J77</f>
        <v>0</v>
      </c>
      <c r="Q78" s="88">
        <f>'Planilha Orçamentaria'!J77</f>
        <v>0</v>
      </c>
    </row>
    <row r="79" spans="1:17" ht="20.399999999999999" hidden="1" x14ac:dyDescent="0.25">
      <c r="A79" s="8" t="str">
        <f>'Planilha Orçamentaria'!A78</f>
        <v>9.4</v>
      </c>
      <c r="B79" s="2" t="s">
        <v>147</v>
      </c>
      <c r="C79" s="31" t="s">
        <v>205</v>
      </c>
      <c r="D79" s="1" t="s">
        <v>119</v>
      </c>
      <c r="E79" s="17">
        <f>18.96+48.15+70.47+70.47+78.61+78.61</f>
        <v>365.27</v>
      </c>
      <c r="F79" s="17">
        <v>24.64</v>
      </c>
      <c r="G79" s="17">
        <f t="shared" si="0"/>
        <v>31.48</v>
      </c>
      <c r="H79" s="82">
        <f t="shared" ref="H79:H105" si="9">G79*0.7</f>
        <v>22.04</v>
      </c>
      <c r="I79" s="83">
        <f t="shared" si="2"/>
        <v>8050.55</v>
      </c>
      <c r="J79" s="84">
        <f>'Planilha Orçamentaria'!E78</f>
        <v>0</v>
      </c>
      <c r="K79" s="99"/>
      <c r="L79" s="85">
        <f t="shared" si="8"/>
        <v>0</v>
      </c>
      <c r="M79" s="85">
        <f t="shared" si="3"/>
        <v>0</v>
      </c>
      <c r="N79" s="90" t="s">
        <v>119</v>
      </c>
      <c r="O79" s="87">
        <f t="shared" si="5"/>
        <v>22.04</v>
      </c>
      <c r="P79" s="87">
        <f>'Planilha Orçamentaria'!J78</f>
        <v>0</v>
      </c>
      <c r="Q79" s="88">
        <f>'Planilha Orçamentaria'!J78</f>
        <v>0</v>
      </c>
    </row>
    <row r="80" spans="1:17" hidden="1" x14ac:dyDescent="0.25">
      <c r="A80" s="8" t="str">
        <f>'Planilha Orçamentaria'!A79</f>
        <v>1.1</v>
      </c>
      <c r="B80" s="2" t="s">
        <v>177</v>
      </c>
      <c r="C80" s="31" t="s">
        <v>178</v>
      </c>
      <c r="D80" s="1" t="s">
        <v>23</v>
      </c>
      <c r="E80" s="17">
        <v>160</v>
      </c>
      <c r="F80" s="17">
        <v>54.39</v>
      </c>
      <c r="G80" s="17">
        <f t="shared" si="0"/>
        <v>69.489999999999995</v>
      </c>
      <c r="H80" s="82">
        <f t="shared" si="9"/>
        <v>48.64</v>
      </c>
      <c r="I80" s="83">
        <f t="shared" si="2"/>
        <v>7782.4</v>
      </c>
      <c r="J80" s="84">
        <f>'Planilha Orçamentaria'!E79</f>
        <v>1000</v>
      </c>
      <c r="K80" s="100"/>
      <c r="L80" s="85">
        <f t="shared" si="8"/>
        <v>1000</v>
      </c>
      <c r="M80" s="85">
        <f t="shared" si="3"/>
        <v>1000</v>
      </c>
      <c r="N80" s="90" t="s">
        <v>23</v>
      </c>
      <c r="O80" s="87">
        <f t="shared" si="5"/>
        <v>48.64</v>
      </c>
      <c r="P80" s="87">
        <f>'Planilha Orçamentaria'!J79</f>
        <v>705642</v>
      </c>
      <c r="Q80" s="88">
        <f>'Planilha Orçamentaria'!J79</f>
        <v>705642</v>
      </c>
    </row>
    <row r="81" spans="1:17" hidden="1" x14ac:dyDescent="0.25">
      <c r="A81" s="8" t="str">
        <f>'Planilha Orçamentaria'!A80</f>
        <v>1.2</v>
      </c>
      <c r="B81" s="2" t="s">
        <v>179</v>
      </c>
      <c r="C81" s="59" t="s">
        <v>180</v>
      </c>
      <c r="D81" s="1" t="s">
        <v>119</v>
      </c>
      <c r="E81" s="17">
        <v>155</v>
      </c>
      <c r="F81" s="17">
        <v>39.909999999999997</v>
      </c>
      <c r="G81" s="17">
        <f t="shared" si="0"/>
        <v>50.99</v>
      </c>
      <c r="H81" s="82">
        <f t="shared" si="9"/>
        <v>35.69</v>
      </c>
      <c r="I81" s="83">
        <f t="shared" si="2"/>
        <v>5531.95</v>
      </c>
      <c r="J81" s="84">
        <f>'Planilha Orçamentaria'!E80</f>
        <v>500</v>
      </c>
      <c r="K81" s="100"/>
      <c r="L81" s="85">
        <f t="shared" si="8"/>
        <v>500</v>
      </c>
      <c r="M81" s="85">
        <f t="shared" si="3"/>
        <v>500</v>
      </c>
      <c r="N81" s="90" t="s">
        <v>119</v>
      </c>
      <c r="O81" s="87">
        <f t="shared" si="5"/>
        <v>35.69</v>
      </c>
      <c r="P81" s="87">
        <f>'Planilha Orçamentaria'!J80</f>
        <v>22326.5</v>
      </c>
      <c r="Q81" s="88">
        <f>'Planilha Orçamentaria'!J80</f>
        <v>22326.5</v>
      </c>
    </row>
    <row r="82" spans="1:17" hidden="1" x14ac:dyDescent="0.25">
      <c r="A82" s="8" t="str">
        <f>'Planilha Orçamentaria'!A81</f>
        <v>1.3</v>
      </c>
      <c r="B82" s="2" t="s">
        <v>186</v>
      </c>
      <c r="C82" s="60" t="s">
        <v>187</v>
      </c>
      <c r="D82" s="1" t="s">
        <v>119</v>
      </c>
      <c r="E82" s="17">
        <v>45</v>
      </c>
      <c r="F82" s="17">
        <v>67.69</v>
      </c>
      <c r="G82" s="17">
        <f t="shared" si="0"/>
        <v>86.49</v>
      </c>
      <c r="H82" s="82">
        <f t="shared" si="9"/>
        <v>60.54</v>
      </c>
      <c r="I82" s="83">
        <f t="shared" si="2"/>
        <v>2724.3</v>
      </c>
      <c r="J82" s="84">
        <f>'Planilha Orçamentaria'!E81</f>
        <v>12500</v>
      </c>
      <c r="K82" s="100"/>
      <c r="L82" s="85">
        <f t="shared" si="8"/>
        <v>12500</v>
      </c>
      <c r="M82" s="85">
        <f t="shared" si="3"/>
        <v>12500</v>
      </c>
      <c r="N82" s="90" t="s">
        <v>119</v>
      </c>
      <c r="O82" s="87">
        <f t="shared" si="5"/>
        <v>60.54</v>
      </c>
      <c r="P82" s="87">
        <f>'Planilha Orçamentaria'!J81</f>
        <v>315175</v>
      </c>
      <c r="Q82" s="88">
        <f>'Planilha Orçamentaria'!J81</f>
        <v>315175</v>
      </c>
    </row>
    <row r="83" spans="1:17" hidden="1" x14ac:dyDescent="0.25">
      <c r="A83" s="8" t="str">
        <f>'Planilha Orçamentaria'!A82</f>
        <v>1.4</v>
      </c>
      <c r="B83" s="2" t="s">
        <v>188</v>
      </c>
      <c r="C83" s="60" t="s">
        <v>189</v>
      </c>
      <c r="D83" s="1" t="s">
        <v>119</v>
      </c>
      <c r="E83" s="17">
        <v>112.49</v>
      </c>
      <c r="F83" s="17">
        <v>5.67</v>
      </c>
      <c r="G83" s="17">
        <f t="shared" si="0"/>
        <v>7.24</v>
      </c>
      <c r="H83" s="82">
        <f t="shared" si="9"/>
        <v>5.07</v>
      </c>
      <c r="I83" s="83">
        <f t="shared" ref="I83:I105" si="10">H83*E83</f>
        <v>570.32000000000005</v>
      </c>
      <c r="J83" s="84">
        <f>'Planilha Orçamentaria'!E82</f>
        <v>3125</v>
      </c>
      <c r="K83" s="100"/>
      <c r="L83" s="85">
        <f t="shared" si="8"/>
        <v>3125</v>
      </c>
      <c r="M83" s="85">
        <f t="shared" ref="M83:M105" si="11">L83+K83</f>
        <v>3125</v>
      </c>
      <c r="N83" s="90" t="s">
        <v>119</v>
      </c>
      <c r="O83" s="87">
        <f t="shared" ref="O83:O105" si="12">H83</f>
        <v>5.07</v>
      </c>
      <c r="P83" s="87">
        <f>'Planilha Orçamentaria'!J82</f>
        <v>56306.25</v>
      </c>
      <c r="Q83" s="88">
        <f>'Planilha Orçamentaria'!J82</f>
        <v>56306.25</v>
      </c>
    </row>
    <row r="84" spans="1:17" hidden="1" x14ac:dyDescent="0.25">
      <c r="A84" s="8">
        <f>'Planilha Orçamentaria'!A83</f>
        <v>0</v>
      </c>
      <c r="B84" s="2" t="s">
        <v>190</v>
      </c>
      <c r="C84" s="60" t="s">
        <v>191</v>
      </c>
      <c r="D84" s="1" t="s">
        <v>119</v>
      </c>
      <c r="E84" s="61">
        <v>115</v>
      </c>
      <c r="F84" s="17">
        <v>11.7</v>
      </c>
      <c r="G84" s="17">
        <f t="shared" si="0"/>
        <v>14.95</v>
      </c>
      <c r="H84" s="82">
        <f t="shared" si="9"/>
        <v>10.47</v>
      </c>
      <c r="I84" s="83">
        <f t="shared" si="10"/>
        <v>1204.05</v>
      </c>
      <c r="J84" s="84">
        <f>'Planilha Orçamentaria'!E83</f>
        <v>0</v>
      </c>
      <c r="K84" s="100"/>
      <c r="L84" s="85">
        <f t="shared" si="8"/>
        <v>0</v>
      </c>
      <c r="M84" s="85">
        <f t="shared" si="11"/>
        <v>0</v>
      </c>
      <c r="N84" s="90" t="s">
        <v>119</v>
      </c>
      <c r="O84" s="87">
        <f t="shared" si="12"/>
        <v>10.47</v>
      </c>
      <c r="P84" s="87">
        <f>'Planilha Orçamentaria'!J83</f>
        <v>0</v>
      </c>
      <c r="Q84" s="88">
        <f>'Planilha Orçamentaria'!J83</f>
        <v>0</v>
      </c>
    </row>
    <row r="85" spans="1:17" hidden="1" x14ac:dyDescent="0.25">
      <c r="A85" s="7" t="e">
        <f>'Planilha Orçamentaria'!#REF!</f>
        <v>#REF!</v>
      </c>
      <c r="B85" s="35"/>
      <c r="C85" s="35" t="s">
        <v>85</v>
      </c>
      <c r="D85" s="35"/>
      <c r="E85" s="35"/>
      <c r="F85" s="15"/>
      <c r="G85" s="15"/>
      <c r="H85" s="101"/>
      <c r="I85" s="101"/>
      <c r="J85" s="101"/>
      <c r="K85" s="101"/>
      <c r="L85" s="101"/>
      <c r="M85" s="101"/>
      <c r="N85" s="101"/>
      <c r="O85" s="101"/>
      <c r="P85" s="116" t="e">
        <f>P86+P87+P88+P89+P90+P91+P92+P94+P95+P96+P97+P98+P99+P103+P100+P101+P102+P93</f>
        <v>#REF!</v>
      </c>
      <c r="Q85" s="121" t="e">
        <f>Q86+Q87+Q88+Q89+Q90+Q91+Q92+Q94+Q95+Q96+Q97+Q98+Q99+Q103+Q100+Q101+Q102+Q93</f>
        <v>#REF!</v>
      </c>
    </row>
    <row r="86" spans="1:17" ht="30.6" hidden="1" x14ac:dyDescent="0.25">
      <c r="A86" s="8" t="e">
        <f>'Planilha Orçamentaria'!#REF!</f>
        <v>#REF!</v>
      </c>
      <c r="B86" s="32" t="s">
        <v>121</v>
      </c>
      <c r="C86" s="36" t="s">
        <v>120</v>
      </c>
      <c r="D86" s="32" t="s">
        <v>87</v>
      </c>
      <c r="E86" s="38">
        <v>11</v>
      </c>
      <c r="F86" s="17">
        <v>245.82</v>
      </c>
      <c r="G86" s="17">
        <f t="shared" si="0"/>
        <v>314.08</v>
      </c>
      <c r="H86" s="82">
        <f t="shared" si="9"/>
        <v>219.86</v>
      </c>
      <c r="I86" s="83">
        <f t="shared" si="10"/>
        <v>2418.46</v>
      </c>
      <c r="J86" s="84" t="e">
        <f>'Planilha Orçamentaria'!#REF!</f>
        <v>#REF!</v>
      </c>
      <c r="K86" s="100"/>
      <c r="L86" s="85" t="e">
        <f t="shared" si="8"/>
        <v>#REF!</v>
      </c>
      <c r="M86" s="85" t="e">
        <f t="shared" si="11"/>
        <v>#REF!</v>
      </c>
      <c r="N86" s="102" t="s">
        <v>87</v>
      </c>
      <c r="O86" s="87">
        <f t="shared" si="12"/>
        <v>219.86</v>
      </c>
      <c r="P86" s="87" t="e">
        <f>'Planilha Orçamentaria'!J85</f>
        <v>#REF!</v>
      </c>
      <c r="Q86" s="88" t="e">
        <f>'Planilha Orçamentaria'!J85</f>
        <v>#REF!</v>
      </c>
    </row>
    <row r="87" spans="1:17" ht="9.75" hidden="1" customHeight="1" x14ac:dyDescent="0.25">
      <c r="A87" s="8" t="e">
        <f>'Planilha Orçamentaria'!#REF!</f>
        <v>#REF!</v>
      </c>
      <c r="B87" s="32" t="s">
        <v>122</v>
      </c>
      <c r="C87" s="36" t="s">
        <v>89</v>
      </c>
      <c r="D87" s="32" t="s">
        <v>87</v>
      </c>
      <c r="E87" s="38">
        <v>11</v>
      </c>
      <c r="F87" s="17">
        <v>47.4</v>
      </c>
      <c r="G87" s="17">
        <f t="shared" si="0"/>
        <v>60.56</v>
      </c>
      <c r="H87" s="82">
        <f t="shared" si="9"/>
        <v>42.39</v>
      </c>
      <c r="I87" s="83">
        <f t="shared" si="10"/>
        <v>466.29</v>
      </c>
      <c r="J87" s="84" t="e">
        <f>'Planilha Orçamentaria'!#REF!</f>
        <v>#REF!</v>
      </c>
      <c r="K87" s="100"/>
      <c r="L87" s="85" t="e">
        <f t="shared" si="8"/>
        <v>#REF!</v>
      </c>
      <c r="M87" s="85" t="e">
        <f t="shared" si="11"/>
        <v>#REF!</v>
      </c>
      <c r="N87" s="102" t="s">
        <v>87</v>
      </c>
      <c r="O87" s="87">
        <f t="shared" si="12"/>
        <v>42.39</v>
      </c>
      <c r="P87" s="87" t="e">
        <f>'Planilha Orçamentaria'!J86</f>
        <v>#REF!</v>
      </c>
      <c r="Q87" s="88" t="e">
        <f>'Planilha Orçamentaria'!J86</f>
        <v>#REF!</v>
      </c>
    </row>
    <row r="88" spans="1:17" ht="0.75" hidden="1" customHeight="1" x14ac:dyDescent="0.25">
      <c r="A88" s="8" t="e">
        <f>'Planilha Orçamentaria'!#REF!</f>
        <v>#REF!</v>
      </c>
      <c r="B88" s="32" t="s">
        <v>123</v>
      </c>
      <c r="C88" s="37" t="s">
        <v>91</v>
      </c>
      <c r="D88" s="39" t="s">
        <v>87</v>
      </c>
      <c r="E88" s="40">
        <v>11</v>
      </c>
      <c r="F88" s="17">
        <v>50.81</v>
      </c>
      <c r="G88" s="17">
        <f t="shared" si="0"/>
        <v>64.92</v>
      </c>
      <c r="H88" s="82">
        <f t="shared" si="9"/>
        <v>45.44</v>
      </c>
      <c r="I88" s="83">
        <f t="shared" si="10"/>
        <v>499.84</v>
      </c>
      <c r="J88" s="84" t="e">
        <f>'Planilha Orçamentaria'!#REF!</f>
        <v>#REF!</v>
      </c>
      <c r="K88" s="100"/>
      <c r="L88" s="85" t="e">
        <f t="shared" si="8"/>
        <v>#REF!</v>
      </c>
      <c r="M88" s="85" t="e">
        <f t="shared" si="11"/>
        <v>#REF!</v>
      </c>
      <c r="N88" s="103" t="s">
        <v>87</v>
      </c>
      <c r="O88" s="87">
        <f t="shared" si="12"/>
        <v>45.44</v>
      </c>
      <c r="P88" s="87" t="e">
        <f>'Planilha Orçamentaria'!J87</f>
        <v>#REF!</v>
      </c>
      <c r="Q88" s="88" t="e">
        <f>'Planilha Orçamentaria'!J87</f>
        <v>#REF!</v>
      </c>
    </row>
    <row r="89" spans="1:17" hidden="1" x14ac:dyDescent="0.25">
      <c r="A89" s="8" t="e">
        <f>'Planilha Orçamentaria'!#REF!</f>
        <v>#REF!</v>
      </c>
      <c r="B89" s="32" t="s">
        <v>125</v>
      </c>
      <c r="C89" s="36" t="s">
        <v>124</v>
      </c>
      <c r="D89" s="32" t="s">
        <v>87</v>
      </c>
      <c r="E89" s="38">
        <v>11</v>
      </c>
      <c r="F89" s="17">
        <v>37.22</v>
      </c>
      <c r="G89" s="17">
        <f t="shared" si="0"/>
        <v>47.56</v>
      </c>
      <c r="H89" s="82">
        <f t="shared" si="9"/>
        <v>33.29</v>
      </c>
      <c r="I89" s="83">
        <f t="shared" si="10"/>
        <v>366.19</v>
      </c>
      <c r="J89" s="84" t="e">
        <f>'Planilha Orçamentaria'!#REF!</f>
        <v>#REF!</v>
      </c>
      <c r="K89" s="100"/>
      <c r="L89" s="85" t="e">
        <f t="shared" si="8"/>
        <v>#REF!</v>
      </c>
      <c r="M89" s="85" t="e">
        <f t="shared" si="11"/>
        <v>#REF!</v>
      </c>
      <c r="N89" s="102" t="s">
        <v>87</v>
      </c>
      <c r="O89" s="87">
        <f t="shared" si="12"/>
        <v>33.29</v>
      </c>
      <c r="P89" s="87" t="e">
        <f>'Planilha Orçamentaria'!J88</f>
        <v>#REF!</v>
      </c>
      <c r="Q89" s="88" t="e">
        <f>'Planilha Orçamentaria'!J88</f>
        <v>#REF!</v>
      </c>
    </row>
    <row r="90" spans="1:17" ht="20.399999999999999" hidden="1" x14ac:dyDescent="0.25">
      <c r="A90" s="8" t="e">
        <f>'Planilha Orçamentaria'!#REF!</f>
        <v>#REF!</v>
      </c>
      <c r="B90" s="32" t="s">
        <v>126</v>
      </c>
      <c r="C90" s="36" t="s">
        <v>92</v>
      </c>
      <c r="D90" s="32" t="s">
        <v>87</v>
      </c>
      <c r="E90" s="38">
        <v>11</v>
      </c>
      <c r="F90" s="17">
        <v>224.45</v>
      </c>
      <c r="G90" s="17">
        <f t="shared" si="0"/>
        <v>286.77999999999997</v>
      </c>
      <c r="H90" s="82">
        <f t="shared" si="9"/>
        <v>200.75</v>
      </c>
      <c r="I90" s="83">
        <f t="shared" si="10"/>
        <v>2208.25</v>
      </c>
      <c r="J90" s="84" t="e">
        <f>'Planilha Orçamentaria'!#REF!</f>
        <v>#REF!</v>
      </c>
      <c r="K90" s="100"/>
      <c r="L90" s="85" t="e">
        <f t="shared" si="8"/>
        <v>#REF!</v>
      </c>
      <c r="M90" s="85" t="e">
        <f t="shared" si="11"/>
        <v>#REF!</v>
      </c>
      <c r="N90" s="102" t="s">
        <v>87</v>
      </c>
      <c r="O90" s="87">
        <f t="shared" si="12"/>
        <v>200.75</v>
      </c>
      <c r="P90" s="87" t="e">
        <f>'Planilha Orçamentaria'!J89</f>
        <v>#REF!</v>
      </c>
      <c r="Q90" s="88" t="e">
        <f>'Planilha Orçamentaria'!J89</f>
        <v>#REF!</v>
      </c>
    </row>
    <row r="91" spans="1:17" hidden="1" x14ac:dyDescent="0.25">
      <c r="A91" s="8" t="e">
        <f>'Planilha Orçamentaria'!#REF!</f>
        <v>#REF!</v>
      </c>
      <c r="B91" s="32" t="s">
        <v>127</v>
      </c>
      <c r="C91" s="36" t="s">
        <v>93</v>
      </c>
      <c r="D91" s="32" t="s">
        <v>23</v>
      </c>
      <c r="E91" s="38">
        <v>12.5</v>
      </c>
      <c r="F91" s="17">
        <v>315.39999999999998</v>
      </c>
      <c r="G91" s="17">
        <f t="shared" si="0"/>
        <v>402.99</v>
      </c>
      <c r="H91" s="82">
        <f t="shared" si="9"/>
        <v>282.08999999999997</v>
      </c>
      <c r="I91" s="83">
        <f t="shared" si="10"/>
        <v>3526.13</v>
      </c>
      <c r="J91" s="84" t="e">
        <f>'Planilha Orçamentaria'!#REF!</f>
        <v>#REF!</v>
      </c>
      <c r="K91" s="100"/>
      <c r="L91" s="85" t="e">
        <f t="shared" si="8"/>
        <v>#REF!</v>
      </c>
      <c r="M91" s="85" t="e">
        <f t="shared" si="11"/>
        <v>#REF!</v>
      </c>
      <c r="N91" s="102" t="s">
        <v>23</v>
      </c>
      <c r="O91" s="87">
        <f t="shared" si="12"/>
        <v>282.08999999999997</v>
      </c>
      <c r="P91" s="87" t="e">
        <f>'Planilha Orçamentaria'!J90</f>
        <v>#REF!</v>
      </c>
      <c r="Q91" s="88" t="e">
        <f>'Planilha Orçamentaria'!J90</f>
        <v>#REF!</v>
      </c>
    </row>
    <row r="92" spans="1:17" ht="21" hidden="1" customHeight="1" x14ac:dyDescent="0.25">
      <c r="A92" s="8" t="e">
        <f>'Planilha Orçamentaria'!#REF!</f>
        <v>#REF!</v>
      </c>
      <c r="B92" s="32" t="s">
        <v>128</v>
      </c>
      <c r="C92" s="36" t="s">
        <v>136</v>
      </c>
      <c r="D92" s="32" t="s">
        <v>94</v>
      </c>
      <c r="E92" s="38">
        <v>12</v>
      </c>
      <c r="F92" s="17">
        <v>39.53</v>
      </c>
      <c r="G92" s="17">
        <f t="shared" si="0"/>
        <v>50.51</v>
      </c>
      <c r="H92" s="82">
        <f t="shared" si="9"/>
        <v>35.36</v>
      </c>
      <c r="I92" s="83">
        <f t="shared" si="10"/>
        <v>424.32</v>
      </c>
      <c r="J92" s="84" t="e">
        <f>'Planilha Orçamentaria'!#REF!</f>
        <v>#REF!</v>
      </c>
      <c r="K92" s="100"/>
      <c r="L92" s="85" t="e">
        <f>J92</f>
        <v>#REF!</v>
      </c>
      <c r="M92" s="85" t="e">
        <f t="shared" si="11"/>
        <v>#REF!</v>
      </c>
      <c r="N92" s="102" t="s">
        <v>94</v>
      </c>
      <c r="O92" s="87">
        <f t="shared" si="12"/>
        <v>35.36</v>
      </c>
      <c r="P92" s="87" t="e">
        <f>'Planilha Orçamentaria'!J91</f>
        <v>#REF!</v>
      </c>
      <c r="Q92" s="88" t="e">
        <f>'Planilha Orçamentaria'!J91</f>
        <v>#REF!</v>
      </c>
    </row>
    <row r="93" spans="1:17" ht="12" hidden="1" customHeight="1" x14ac:dyDescent="0.25">
      <c r="A93" s="8" t="e">
        <f>'Planilha Orçamentaria'!#REF!</f>
        <v>#REF!</v>
      </c>
      <c r="B93" s="32"/>
      <c r="C93" s="36" t="e">
        <f>#REF!</f>
        <v>#REF!</v>
      </c>
      <c r="D93" s="32"/>
      <c r="E93" s="38"/>
      <c r="F93" s="17"/>
      <c r="G93" s="17"/>
      <c r="H93" s="82" t="e">
        <f>#REF!</f>
        <v>#REF!</v>
      </c>
      <c r="I93" s="83"/>
      <c r="J93" s="84" t="e">
        <f>'Planilha Orçamentaria'!#REF!</f>
        <v>#REF!</v>
      </c>
      <c r="K93" s="100"/>
      <c r="L93" s="85" t="e">
        <f t="shared" si="8"/>
        <v>#REF!</v>
      </c>
      <c r="M93" s="85"/>
      <c r="N93" s="102"/>
      <c r="O93" s="87" t="e">
        <f t="shared" si="12"/>
        <v>#REF!</v>
      </c>
      <c r="P93" s="87" t="e">
        <f>'Planilha Orçamentaria'!J92</f>
        <v>#REF!</v>
      </c>
      <c r="Q93" s="88" t="e">
        <f>'Planilha Orçamentaria'!J92</f>
        <v>#REF!</v>
      </c>
    </row>
    <row r="94" spans="1:17" hidden="1" x14ac:dyDescent="0.25">
      <c r="A94" s="8" t="e">
        <f>'Planilha Orçamentaria'!#REF!</f>
        <v>#REF!</v>
      </c>
      <c r="B94" s="32" t="s">
        <v>129</v>
      </c>
      <c r="C94" s="37" t="s">
        <v>95</v>
      </c>
      <c r="D94" s="39" t="s">
        <v>87</v>
      </c>
      <c r="E94" s="40">
        <v>11</v>
      </c>
      <c r="F94" s="17">
        <v>25.37</v>
      </c>
      <c r="G94" s="17">
        <f t="shared" si="0"/>
        <v>32.42</v>
      </c>
      <c r="H94" s="82">
        <f t="shared" si="9"/>
        <v>22.69</v>
      </c>
      <c r="I94" s="83">
        <f t="shared" si="10"/>
        <v>249.59</v>
      </c>
      <c r="J94" s="84" t="e">
        <f>'Planilha Orçamentaria'!#REF!</f>
        <v>#REF!</v>
      </c>
      <c r="K94" s="100"/>
      <c r="L94" s="85"/>
      <c r="M94" s="85">
        <f t="shared" si="11"/>
        <v>0</v>
      </c>
      <c r="N94" s="103" t="s">
        <v>87</v>
      </c>
      <c r="O94" s="87">
        <f t="shared" si="12"/>
        <v>22.69</v>
      </c>
      <c r="P94" s="87"/>
      <c r="Q94" s="88"/>
    </row>
    <row r="95" spans="1:17" ht="30.6" hidden="1" x14ac:dyDescent="0.25">
      <c r="A95" s="8" t="e">
        <f>'Planilha Orçamentaria'!#REF!</f>
        <v>#REF!</v>
      </c>
      <c r="B95" s="32" t="s">
        <v>130</v>
      </c>
      <c r="C95" s="49" t="s">
        <v>131</v>
      </c>
      <c r="D95" s="39" t="s">
        <v>87</v>
      </c>
      <c r="E95" s="40">
        <v>9</v>
      </c>
      <c r="F95" s="17">
        <v>454.37</v>
      </c>
      <c r="G95" s="17">
        <f t="shared" si="0"/>
        <v>580.54999999999995</v>
      </c>
      <c r="H95" s="82">
        <f t="shared" si="9"/>
        <v>406.39</v>
      </c>
      <c r="I95" s="83">
        <f t="shared" si="10"/>
        <v>3657.51</v>
      </c>
      <c r="J95" s="84" t="e">
        <f>'Planilha Orçamentaria'!#REF!</f>
        <v>#REF!</v>
      </c>
      <c r="K95" s="100"/>
      <c r="L95" s="85" t="e">
        <f t="shared" si="8"/>
        <v>#REF!</v>
      </c>
      <c r="M95" s="85" t="e">
        <f t="shared" si="11"/>
        <v>#REF!</v>
      </c>
      <c r="N95" s="103" t="s">
        <v>87</v>
      </c>
      <c r="O95" s="87">
        <f t="shared" si="12"/>
        <v>406.39</v>
      </c>
      <c r="P95" s="87" t="e">
        <f>'Planilha Orçamentaria'!J94</f>
        <v>#REF!</v>
      </c>
      <c r="Q95" s="88" t="e">
        <f>'Planilha Orçamentaria'!J94</f>
        <v>#REF!</v>
      </c>
    </row>
    <row r="96" spans="1:17" ht="30.6" hidden="1" x14ac:dyDescent="0.25">
      <c r="A96" s="8" t="e">
        <f>'Planilha Orçamentaria'!#REF!</f>
        <v>#REF!</v>
      </c>
      <c r="B96" s="32" t="s">
        <v>133</v>
      </c>
      <c r="C96" s="34" t="s">
        <v>132</v>
      </c>
      <c r="D96" s="33" t="s">
        <v>87</v>
      </c>
      <c r="E96" s="42">
        <v>2</v>
      </c>
      <c r="F96" s="17">
        <v>558.28</v>
      </c>
      <c r="G96" s="17">
        <f t="shared" si="0"/>
        <v>713.31</v>
      </c>
      <c r="H96" s="82">
        <f t="shared" si="9"/>
        <v>499.32</v>
      </c>
      <c r="I96" s="83">
        <f t="shared" si="10"/>
        <v>998.64</v>
      </c>
      <c r="J96" s="84" t="e">
        <f>'Planilha Orçamentaria'!#REF!</f>
        <v>#REF!</v>
      </c>
      <c r="K96" s="100"/>
      <c r="L96" s="85" t="e">
        <f t="shared" si="8"/>
        <v>#REF!</v>
      </c>
      <c r="M96" s="85" t="e">
        <f t="shared" si="11"/>
        <v>#REF!</v>
      </c>
      <c r="N96" s="104" t="s">
        <v>87</v>
      </c>
      <c r="O96" s="87">
        <f t="shared" si="12"/>
        <v>499.32</v>
      </c>
      <c r="P96" s="87" t="e">
        <f>'Planilha Orçamentaria'!J95</f>
        <v>#REF!</v>
      </c>
      <c r="Q96" s="88" t="e">
        <f>'Planilha Orçamentaria'!J95</f>
        <v>#REF!</v>
      </c>
    </row>
    <row r="97" spans="1:17" ht="0.75" hidden="1" customHeight="1" x14ac:dyDescent="0.25">
      <c r="A97" s="8" t="e">
        <f>'Planilha Orçamentaria'!#REF!</f>
        <v>#REF!</v>
      </c>
      <c r="B97" s="32" t="s">
        <v>152</v>
      </c>
      <c r="C97" s="34" t="s">
        <v>153</v>
      </c>
      <c r="D97" s="33" t="s">
        <v>23</v>
      </c>
      <c r="E97" s="42">
        <v>185</v>
      </c>
      <c r="F97" s="17">
        <v>216.27</v>
      </c>
      <c r="G97" s="17">
        <f t="shared" si="0"/>
        <v>276.33</v>
      </c>
      <c r="H97" s="82">
        <f t="shared" si="9"/>
        <v>193.43</v>
      </c>
      <c r="I97" s="83">
        <f t="shared" si="10"/>
        <v>35784.550000000003</v>
      </c>
      <c r="J97" s="84" t="e">
        <f>'Planilha Orçamentaria'!#REF!</f>
        <v>#REF!</v>
      </c>
      <c r="K97" s="100"/>
      <c r="L97" s="85" t="e">
        <f t="shared" si="8"/>
        <v>#REF!</v>
      </c>
      <c r="M97" s="85" t="e">
        <f t="shared" si="11"/>
        <v>#REF!</v>
      </c>
      <c r="N97" s="104" t="s">
        <v>23</v>
      </c>
      <c r="O97" s="87">
        <f t="shared" si="12"/>
        <v>193.43</v>
      </c>
      <c r="P97" s="87" t="e">
        <f>'Planilha Orçamentaria'!J96</f>
        <v>#REF!</v>
      </c>
      <c r="Q97" s="88" t="e">
        <f>'Planilha Orçamentaria'!J96</f>
        <v>#REF!</v>
      </c>
    </row>
    <row r="98" spans="1:17" ht="36.75" hidden="1" customHeight="1" x14ac:dyDescent="0.25">
      <c r="A98" s="8">
        <f>'Planilha Orçamentaria'!A84</f>
        <v>0</v>
      </c>
      <c r="B98" s="32" t="s">
        <v>138</v>
      </c>
      <c r="C98" s="34" t="s">
        <v>137</v>
      </c>
      <c r="D98" s="33" t="s">
        <v>87</v>
      </c>
      <c r="E98" s="42">
        <v>3</v>
      </c>
      <c r="F98" s="17">
        <v>112.76</v>
      </c>
      <c r="G98" s="17">
        <f t="shared" si="0"/>
        <v>144.07</v>
      </c>
      <c r="H98" s="82">
        <f t="shared" si="9"/>
        <v>100.85</v>
      </c>
      <c r="I98" s="83">
        <f t="shared" si="10"/>
        <v>302.55</v>
      </c>
      <c r="J98" s="84">
        <f>'Planilha Orçamentaria'!E84</f>
        <v>0</v>
      </c>
      <c r="K98" s="100"/>
      <c r="L98" s="85">
        <f t="shared" si="8"/>
        <v>0</v>
      </c>
      <c r="M98" s="85">
        <f t="shared" si="11"/>
        <v>0</v>
      </c>
      <c r="N98" s="104" t="s">
        <v>87</v>
      </c>
      <c r="O98" s="87">
        <f t="shared" si="12"/>
        <v>100.85</v>
      </c>
      <c r="P98" s="87">
        <f>'Planilha Orçamentaria'!J97</f>
        <v>1099449.75</v>
      </c>
      <c r="Q98" s="88">
        <f>'Planilha Orçamentaria'!J97</f>
        <v>1099449.75</v>
      </c>
    </row>
    <row r="99" spans="1:17" ht="40.799999999999997" hidden="1" x14ac:dyDescent="0.25">
      <c r="A99" s="8" t="str">
        <f>'Planilha Orçamentaria'!A85</f>
        <v>ORIZÂNIA/MG, 07 DE ABRIL DE 2023.</v>
      </c>
      <c r="B99" s="32" t="s">
        <v>140</v>
      </c>
      <c r="C99" s="34" t="s">
        <v>139</v>
      </c>
      <c r="D99" s="33" t="s">
        <v>87</v>
      </c>
      <c r="E99" s="42">
        <v>3</v>
      </c>
      <c r="F99" s="17">
        <v>50.33</v>
      </c>
      <c r="G99" s="17">
        <f t="shared" si="0"/>
        <v>64.31</v>
      </c>
      <c r="H99" s="82">
        <f t="shared" si="9"/>
        <v>45.02</v>
      </c>
      <c r="I99" s="83">
        <f t="shared" si="10"/>
        <v>135.06</v>
      </c>
      <c r="J99" s="84">
        <f>'Planilha Orçamentaria'!E85</f>
        <v>0</v>
      </c>
      <c r="K99" s="100"/>
      <c r="L99" s="85">
        <f t="shared" si="8"/>
        <v>0</v>
      </c>
      <c r="M99" s="85">
        <f t="shared" si="11"/>
        <v>0</v>
      </c>
      <c r="N99" s="104" t="s">
        <v>87</v>
      </c>
      <c r="O99" s="87">
        <f t="shared" si="12"/>
        <v>45.02</v>
      </c>
      <c r="P99" s="87">
        <f>'Planilha Orçamentaria'!J98</f>
        <v>0</v>
      </c>
      <c r="Q99" s="88">
        <f>'Planilha Orçamentaria'!J98</f>
        <v>0</v>
      </c>
    </row>
    <row r="100" spans="1:17" hidden="1" x14ac:dyDescent="0.25">
      <c r="A100" s="8">
        <f>'Planilha Orçamentaria'!A86</f>
        <v>0</v>
      </c>
      <c r="B100" s="32"/>
      <c r="C100" s="34" t="e">
        <f>#REF!</f>
        <v>#REF!</v>
      </c>
      <c r="D100" s="33"/>
      <c r="E100" s="42"/>
      <c r="F100" s="17"/>
      <c r="G100" s="17"/>
      <c r="H100" s="82" t="e">
        <f>#REF!*0.7</f>
        <v>#REF!</v>
      </c>
      <c r="I100" s="83"/>
      <c r="J100" s="84">
        <f>'Planilha Orçamentaria'!E86</f>
        <v>0</v>
      </c>
      <c r="K100" s="100"/>
      <c r="L100" s="85">
        <f t="shared" si="8"/>
        <v>0</v>
      </c>
      <c r="M100" s="85"/>
      <c r="N100" s="104"/>
      <c r="O100" s="87" t="e">
        <f t="shared" si="12"/>
        <v>#REF!</v>
      </c>
      <c r="P100" s="87">
        <f>'Planilha Orçamentaria'!J99</f>
        <v>0</v>
      </c>
      <c r="Q100" s="88">
        <f>'Planilha Orçamentaria'!J99</f>
        <v>0</v>
      </c>
    </row>
    <row r="101" spans="1:17" hidden="1" x14ac:dyDescent="0.25">
      <c r="A101" s="8">
        <f>'Planilha Orçamentaria'!A87</f>
        <v>0</v>
      </c>
      <c r="B101" s="32"/>
      <c r="C101" s="34" t="e">
        <f>#REF!</f>
        <v>#REF!</v>
      </c>
      <c r="D101" s="33"/>
      <c r="E101" s="42"/>
      <c r="F101" s="17"/>
      <c r="G101" s="17"/>
      <c r="H101" s="82" t="e">
        <f>#REF!</f>
        <v>#REF!</v>
      </c>
      <c r="I101" s="83"/>
      <c r="J101" s="84">
        <f>'Planilha Orçamentaria'!E87</f>
        <v>0</v>
      </c>
      <c r="K101" s="100"/>
      <c r="L101" s="85">
        <f t="shared" si="8"/>
        <v>0</v>
      </c>
      <c r="M101" s="85"/>
      <c r="N101" s="104"/>
      <c r="O101" s="87" t="e">
        <f t="shared" si="12"/>
        <v>#REF!</v>
      </c>
      <c r="P101" s="87">
        <f>'Planilha Orçamentaria'!J100</f>
        <v>0</v>
      </c>
      <c r="Q101" s="88">
        <f>'Planilha Orçamentaria'!J100</f>
        <v>0</v>
      </c>
    </row>
    <row r="102" spans="1:17" hidden="1" x14ac:dyDescent="0.25">
      <c r="A102" s="8">
        <f>'Planilha Orçamentaria'!A88</f>
        <v>0</v>
      </c>
      <c r="B102" s="32"/>
      <c r="C102" s="34" t="e">
        <f>#REF!</f>
        <v>#REF!</v>
      </c>
      <c r="D102" s="33"/>
      <c r="E102" s="42"/>
      <c r="F102" s="17"/>
      <c r="G102" s="17"/>
      <c r="H102" s="82" t="e">
        <f>#REF!</f>
        <v>#REF!</v>
      </c>
      <c r="I102" s="83"/>
      <c r="J102" s="84">
        <f>'Planilha Orçamentaria'!E88</f>
        <v>0</v>
      </c>
      <c r="K102" s="100"/>
      <c r="L102" s="85">
        <f t="shared" si="8"/>
        <v>0</v>
      </c>
      <c r="M102" s="85"/>
      <c r="N102" s="104"/>
      <c r="O102" s="87" t="e">
        <f>H102</f>
        <v>#REF!</v>
      </c>
      <c r="P102" s="87">
        <f>'Planilha Orçamentaria'!J101</f>
        <v>0</v>
      </c>
      <c r="Q102" s="88">
        <f>'Planilha Orçamentaria'!J101</f>
        <v>0</v>
      </c>
    </row>
    <row r="103" spans="1:17" ht="20.399999999999999" hidden="1" x14ac:dyDescent="0.25">
      <c r="A103" s="8">
        <f>'Planilha Orçamentaria'!A89</f>
        <v>0</v>
      </c>
      <c r="B103" s="32" t="s">
        <v>134</v>
      </c>
      <c r="C103" s="50" t="s">
        <v>96</v>
      </c>
      <c r="D103" s="41" t="s">
        <v>87</v>
      </c>
      <c r="E103" s="42">
        <v>11</v>
      </c>
      <c r="F103" s="17">
        <v>76.38</v>
      </c>
      <c r="G103" s="17">
        <f t="shared" si="0"/>
        <v>97.59</v>
      </c>
      <c r="H103" s="82">
        <f t="shared" si="9"/>
        <v>68.31</v>
      </c>
      <c r="I103" s="83">
        <f t="shared" si="10"/>
        <v>751.41</v>
      </c>
      <c r="J103" s="84">
        <f>'Planilha Orçamentaria'!E89</f>
        <v>0</v>
      </c>
      <c r="K103" s="100"/>
      <c r="L103" s="85">
        <f t="shared" si="8"/>
        <v>0</v>
      </c>
      <c r="M103" s="85">
        <f t="shared" si="11"/>
        <v>0</v>
      </c>
      <c r="N103" s="105" t="s">
        <v>87</v>
      </c>
      <c r="O103" s="87">
        <f t="shared" si="12"/>
        <v>68.31</v>
      </c>
      <c r="P103" s="87">
        <f>'Planilha Orçamentaria'!J102</f>
        <v>0</v>
      </c>
      <c r="Q103" s="88">
        <f>'Planilha Orçamentaria'!J102</f>
        <v>0</v>
      </c>
    </row>
    <row r="104" spans="1:17" hidden="1" x14ac:dyDescent="0.25">
      <c r="A104" s="7">
        <f>'Planilha Orçamentaria'!A90</f>
        <v>0</v>
      </c>
      <c r="B104" s="29"/>
      <c r="C104" s="5" t="s">
        <v>29</v>
      </c>
      <c r="D104" s="4"/>
      <c r="E104" s="15"/>
      <c r="F104" s="15"/>
      <c r="G104" s="15"/>
      <c r="H104" s="97"/>
      <c r="I104" s="97"/>
      <c r="J104" s="84">
        <f>'Planilha Orçamentaria'!E90</f>
        <v>0</v>
      </c>
      <c r="K104" s="97"/>
      <c r="L104" s="85">
        <f t="shared" si="8"/>
        <v>0</v>
      </c>
      <c r="M104" s="97"/>
      <c r="N104" s="97"/>
      <c r="O104" s="97"/>
      <c r="P104" s="115">
        <f>P105</f>
        <v>0</v>
      </c>
      <c r="Q104" s="120">
        <f>Q105</f>
        <v>0</v>
      </c>
    </row>
    <row r="105" spans="1:17" hidden="1" x14ac:dyDescent="0.25">
      <c r="A105" s="8">
        <f>'Planilha Orçamentaria'!A91</f>
        <v>0</v>
      </c>
      <c r="B105" s="2" t="s">
        <v>100</v>
      </c>
      <c r="C105" s="3" t="s">
        <v>29</v>
      </c>
      <c r="D105" s="1" t="s">
        <v>23</v>
      </c>
      <c r="E105" s="17">
        <v>5376.23</v>
      </c>
      <c r="F105" s="17">
        <v>4.82</v>
      </c>
      <c r="G105" s="17">
        <f t="shared" ref="G105" si="13">F105*1.2777</f>
        <v>6.16</v>
      </c>
      <c r="H105" s="82">
        <f t="shared" si="9"/>
        <v>4.3099999999999996</v>
      </c>
      <c r="I105" s="83">
        <f t="shared" si="10"/>
        <v>23171.55</v>
      </c>
      <c r="J105" s="84">
        <f>'Planilha Orçamentaria'!E91</f>
        <v>0</v>
      </c>
      <c r="K105" s="100"/>
      <c r="L105" s="85">
        <f t="shared" si="8"/>
        <v>0</v>
      </c>
      <c r="M105" s="85">
        <f t="shared" si="11"/>
        <v>0</v>
      </c>
      <c r="N105" s="90" t="s">
        <v>23</v>
      </c>
      <c r="O105" s="87">
        <f t="shared" si="12"/>
        <v>4.3099999999999996</v>
      </c>
      <c r="P105" s="87">
        <f t="shared" ref="P105" si="14">L105*H105</f>
        <v>0</v>
      </c>
      <c r="Q105" s="88">
        <f t="shared" ref="Q105" si="15">M105*O105</f>
        <v>0</v>
      </c>
    </row>
    <row r="106" spans="1:17" ht="12" customHeight="1" thickBot="1" x14ac:dyDescent="0.3">
      <c r="A106" s="56"/>
      <c r="B106" s="57"/>
      <c r="C106" s="58" t="s">
        <v>28</v>
      </c>
      <c r="D106" s="57"/>
      <c r="E106" s="57"/>
      <c r="F106" s="57"/>
      <c r="G106" s="57"/>
      <c r="H106" s="106"/>
      <c r="I106" s="106"/>
      <c r="J106" s="106"/>
      <c r="K106" s="106"/>
      <c r="L106" s="140"/>
      <c r="M106" s="106"/>
      <c r="N106" s="106"/>
      <c r="O106" s="136"/>
      <c r="P106" s="136">
        <f>P24+P12</f>
        <v>0</v>
      </c>
      <c r="Q106" s="137">
        <f>Q24+Q12</f>
        <v>0</v>
      </c>
    </row>
    <row r="107" spans="1:17" x14ac:dyDescent="0.25">
      <c r="A107" s="9"/>
      <c r="I107" s="10"/>
      <c r="O107" s="464"/>
      <c r="P107" s="465"/>
      <c r="Q107" s="466"/>
    </row>
    <row r="108" spans="1:17" x14ac:dyDescent="0.25">
      <c r="A108" s="9"/>
      <c r="I108" s="10"/>
      <c r="O108" s="467"/>
      <c r="P108" s="468"/>
      <c r="Q108" s="469"/>
    </row>
    <row r="109" spans="1:17" x14ac:dyDescent="0.25">
      <c r="A109" s="9"/>
      <c r="I109" s="10"/>
      <c r="O109" s="467"/>
      <c r="P109" s="468"/>
      <c r="Q109" s="469"/>
    </row>
    <row r="110" spans="1:17" x14ac:dyDescent="0.25">
      <c r="A110" s="9"/>
      <c r="I110" s="10"/>
      <c r="O110" s="467"/>
      <c r="P110" s="468"/>
      <c r="Q110" s="469"/>
    </row>
    <row r="111" spans="1:17" x14ac:dyDescent="0.25">
      <c r="A111" s="9"/>
      <c r="I111" s="10"/>
      <c r="O111" s="467"/>
      <c r="P111" s="468"/>
      <c r="Q111" s="469"/>
    </row>
    <row r="112" spans="1:17" x14ac:dyDescent="0.25">
      <c r="A112" s="9"/>
      <c r="I112" s="10"/>
      <c r="O112" s="467"/>
      <c r="P112" s="468"/>
      <c r="Q112" s="469"/>
    </row>
    <row r="113" spans="1:17" ht="13.8" thickBot="1" x14ac:dyDescent="0.3">
      <c r="A113" s="11"/>
      <c r="B113" s="12"/>
      <c r="C113" s="12"/>
      <c r="D113" s="12"/>
      <c r="E113" s="12"/>
      <c r="F113" s="12"/>
      <c r="G113" s="12"/>
      <c r="H113" s="12"/>
      <c r="I113" s="13"/>
      <c r="J113" s="12"/>
      <c r="K113" s="12"/>
      <c r="L113" s="12"/>
      <c r="M113" s="12"/>
      <c r="N113" s="12"/>
      <c r="O113" s="470"/>
      <c r="P113" s="471"/>
      <c r="Q113" s="472"/>
    </row>
  </sheetData>
  <mergeCells count="38">
    <mergeCell ref="A1:Q1"/>
    <mergeCell ref="A2:Q2"/>
    <mergeCell ref="A4:E4"/>
    <mergeCell ref="H5:K5"/>
    <mergeCell ref="H6:K6"/>
    <mergeCell ref="A3:D3"/>
    <mergeCell ref="A5:D5"/>
    <mergeCell ref="A6:D6"/>
    <mergeCell ref="E6:E7"/>
    <mergeCell ref="F6:F7"/>
    <mergeCell ref="A7:D7"/>
    <mergeCell ref="H4:K4"/>
    <mergeCell ref="H3:K3"/>
    <mergeCell ref="A8:A9"/>
    <mergeCell ref="N8:N9"/>
    <mergeCell ref="O8:O9"/>
    <mergeCell ref="O107:Q113"/>
    <mergeCell ref="N5:Q5"/>
    <mergeCell ref="L5:M5"/>
    <mergeCell ref="P8:Q8"/>
    <mergeCell ref="C10:G10"/>
    <mergeCell ref="L6:M6"/>
    <mergeCell ref="P7:Q7"/>
    <mergeCell ref="P6:Q6"/>
    <mergeCell ref="H7:K7"/>
    <mergeCell ref="H8:H9"/>
    <mergeCell ref="D8:D9"/>
    <mergeCell ref="C8:C9"/>
    <mergeCell ref="J8:J9"/>
    <mergeCell ref="K8:M8"/>
    <mergeCell ref="N6:O6"/>
    <mergeCell ref="P3:Q3"/>
    <mergeCell ref="N3:O3"/>
    <mergeCell ref="N4:O4"/>
    <mergeCell ref="N7:O7"/>
    <mergeCell ref="L7:M7"/>
    <mergeCell ref="L3:M3"/>
    <mergeCell ref="L4:M4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>
      <selection activeCell="A7" sqref="A7:C7"/>
    </sheetView>
  </sheetViews>
  <sheetFormatPr defaultRowHeight="13.2" x14ac:dyDescent="0.25"/>
  <cols>
    <col min="1" max="1" width="8.6640625" customWidth="1"/>
    <col min="2" max="2" width="8.88671875" hidden="1" customWidth="1"/>
    <col min="3" max="3" width="59.44140625" customWidth="1"/>
    <col min="4" max="4" width="12.77734375" customWidth="1"/>
    <col min="5" max="5" width="12.44140625" customWidth="1"/>
    <col min="6" max="7" width="11.44140625" customWidth="1"/>
    <col min="8" max="8" width="11.5546875" customWidth="1"/>
  </cols>
  <sheetData>
    <row r="1" spans="1:11" ht="36" customHeight="1" x14ac:dyDescent="0.25">
      <c r="A1" s="519" t="s">
        <v>358</v>
      </c>
      <c r="B1" s="520"/>
      <c r="C1" s="520"/>
      <c r="D1" s="520"/>
      <c r="E1" s="520"/>
      <c r="F1" s="520"/>
      <c r="G1" s="520"/>
      <c r="H1" s="520"/>
      <c r="I1" s="520"/>
      <c r="J1" s="520"/>
      <c r="K1" s="521"/>
    </row>
    <row r="2" spans="1:11" x14ac:dyDescent="0.25">
      <c r="A2" s="522"/>
      <c r="B2" s="523"/>
      <c r="C2" s="523"/>
      <c r="D2" s="523"/>
      <c r="E2" s="523"/>
      <c r="F2" s="523"/>
      <c r="G2" s="523"/>
      <c r="H2" s="523"/>
      <c r="I2" s="523"/>
      <c r="J2" s="523"/>
      <c r="K2" s="524"/>
    </row>
    <row r="3" spans="1:11" ht="13.8" thickBot="1" x14ac:dyDescent="0.3">
      <c r="A3" s="525"/>
      <c r="B3" s="526"/>
      <c r="C3" s="526"/>
      <c r="D3" s="526"/>
      <c r="E3" s="526"/>
      <c r="F3" s="526"/>
      <c r="G3" s="526"/>
      <c r="H3" s="526"/>
      <c r="I3" s="526"/>
      <c r="J3" s="526"/>
      <c r="K3" s="527"/>
    </row>
    <row r="4" spans="1:11" ht="13.8" hidden="1" thickBot="1" x14ac:dyDescent="0.3">
      <c r="A4" s="228"/>
      <c r="B4" s="229"/>
      <c r="C4" s="229"/>
      <c r="D4" s="227"/>
      <c r="E4" s="227"/>
      <c r="F4" s="229"/>
      <c r="G4" s="229"/>
      <c r="H4" s="229"/>
      <c r="I4" s="229"/>
      <c r="J4" s="229"/>
      <c r="K4" s="230"/>
    </row>
    <row r="5" spans="1:11" ht="13.8" thickBot="1" x14ac:dyDescent="0.3">
      <c r="A5" s="547" t="s">
        <v>359</v>
      </c>
      <c r="B5" s="548"/>
      <c r="C5" s="548"/>
      <c r="D5" s="548"/>
      <c r="E5" s="548"/>
      <c r="F5" s="548"/>
      <c r="G5" s="548"/>
      <c r="H5" s="548"/>
      <c r="I5" s="548"/>
      <c r="J5" s="548"/>
      <c r="K5" s="549"/>
    </row>
    <row r="6" spans="1:11" x14ac:dyDescent="0.25">
      <c r="A6" s="550" t="str">
        <f>'[1]Planilha à executar'!$A$6:$E$6</f>
        <v>PREFEITURA: Prefeitura Municipal de Orizânia/MG</v>
      </c>
      <c r="B6" s="551"/>
      <c r="C6" s="552"/>
      <c r="D6" s="553">
        <f>'Planilha Orçamentaria'!A5:D5</f>
        <v>0</v>
      </c>
      <c r="E6" s="554"/>
      <c r="F6" s="554"/>
      <c r="G6" s="554"/>
      <c r="H6" s="555"/>
      <c r="I6" s="559" t="s">
        <v>357</v>
      </c>
      <c r="J6" s="559"/>
      <c r="K6" s="560"/>
    </row>
    <row r="7" spans="1:11" ht="13.8" thickBot="1" x14ac:dyDescent="0.3">
      <c r="A7" s="561" t="str">
        <f>'Planilha Orçamentaria'!A4:E4</f>
        <v>SERVIÇO: Fornecimento e aplicação de concreto usinado.</v>
      </c>
      <c r="B7" s="562"/>
      <c r="C7" s="563"/>
      <c r="D7" s="556"/>
      <c r="E7" s="557"/>
      <c r="F7" s="557"/>
      <c r="G7" s="557"/>
      <c r="H7" s="558"/>
      <c r="I7" s="564" t="s">
        <v>356</v>
      </c>
      <c r="J7" s="562"/>
      <c r="K7" s="565"/>
    </row>
    <row r="8" spans="1:11" ht="26.4" x14ac:dyDescent="0.25">
      <c r="A8" s="231" t="s">
        <v>1</v>
      </c>
      <c r="B8" s="232" t="s">
        <v>341</v>
      </c>
      <c r="C8" s="232" t="s">
        <v>342</v>
      </c>
      <c r="D8" s="233" t="s">
        <v>343</v>
      </c>
      <c r="E8" s="233" t="s">
        <v>344</v>
      </c>
      <c r="F8" s="232" t="s">
        <v>345</v>
      </c>
      <c r="G8" s="232" t="s">
        <v>346</v>
      </c>
      <c r="H8" s="232" t="s">
        <v>347</v>
      </c>
      <c r="I8" s="232" t="s">
        <v>348</v>
      </c>
      <c r="J8" s="232" t="s">
        <v>349</v>
      </c>
      <c r="K8" s="234" t="s">
        <v>350</v>
      </c>
    </row>
    <row r="9" spans="1:11" x14ac:dyDescent="0.25">
      <c r="A9" s="545">
        <f>'[2]Planilha à executar'!A13</f>
        <v>1</v>
      </c>
      <c r="B9" s="546"/>
      <c r="C9" s="546"/>
      <c r="D9" s="235" t="s">
        <v>351</v>
      </c>
      <c r="E9" s="236" t="e">
        <f>E10/E32</f>
        <v>#REF!</v>
      </c>
      <c r="F9" s="236"/>
      <c r="G9" s="236">
        <v>1</v>
      </c>
      <c r="H9" s="236"/>
      <c r="I9" s="237"/>
      <c r="J9" s="238"/>
      <c r="K9" s="239"/>
    </row>
    <row r="10" spans="1:11" x14ac:dyDescent="0.25">
      <c r="A10" s="543"/>
      <c r="B10" s="542"/>
      <c r="C10" s="542"/>
      <c r="D10" s="240" t="s">
        <v>352</v>
      </c>
      <c r="E10" s="241">
        <f>'Planilha Orçamentaria'!I11</f>
        <v>1570642.5</v>
      </c>
      <c r="F10" s="242"/>
      <c r="G10" s="242">
        <f t="shared" ref="G10" si="0">G9*$E$10</f>
        <v>1570642.5</v>
      </c>
      <c r="H10" s="243"/>
      <c r="I10" s="244"/>
      <c r="J10" s="244"/>
      <c r="K10" s="245"/>
    </row>
    <row r="11" spans="1:11" x14ac:dyDescent="0.25">
      <c r="A11" s="543">
        <v>2</v>
      </c>
      <c r="B11" s="542"/>
      <c r="C11" s="542" t="e">
        <f>'Planilha Orçamentaria'!#REF!</f>
        <v>#REF!</v>
      </c>
      <c r="D11" s="246" t="s">
        <v>351</v>
      </c>
      <c r="E11" s="236" t="e">
        <f>E12/E32</f>
        <v>#REF!</v>
      </c>
      <c r="F11" s="236"/>
      <c r="G11" s="236"/>
      <c r="H11" s="236">
        <v>1</v>
      </c>
      <c r="I11" s="237"/>
      <c r="J11" s="238"/>
      <c r="K11" s="239"/>
    </row>
    <row r="12" spans="1:11" x14ac:dyDescent="0.25">
      <c r="A12" s="543"/>
      <c r="B12" s="542"/>
      <c r="C12" s="542"/>
      <c r="D12" s="240" t="s">
        <v>352</v>
      </c>
      <c r="E12" s="241" t="e">
        <f>'Planilha Orçamentaria'!#REF!</f>
        <v>#REF!</v>
      </c>
      <c r="F12" s="242"/>
      <c r="G12" s="242"/>
      <c r="H12" s="242" t="e">
        <f t="shared" ref="H12" si="1">H11*$E$12</f>
        <v>#REF!</v>
      </c>
      <c r="I12" s="247"/>
      <c r="J12" s="247"/>
      <c r="K12" s="248"/>
    </row>
    <row r="13" spans="1:11" x14ac:dyDescent="0.25">
      <c r="A13" s="543">
        <v>3</v>
      </c>
      <c r="B13" s="542"/>
      <c r="C13" s="542" t="e">
        <f>'Planilha Orçamentaria'!#REF!</f>
        <v>#REF!</v>
      </c>
      <c r="D13" s="246" t="s">
        <v>351</v>
      </c>
      <c r="E13" s="236" t="e">
        <f>E31-E11-E9</f>
        <v>#REF!</v>
      </c>
      <c r="F13" s="236">
        <v>1</v>
      </c>
      <c r="G13" s="236"/>
      <c r="H13" s="236"/>
      <c r="I13" s="237"/>
      <c r="J13" s="238"/>
      <c r="K13" s="239"/>
    </row>
    <row r="14" spans="1:11" ht="12.6" customHeight="1" x14ac:dyDescent="0.25">
      <c r="A14" s="543"/>
      <c r="B14" s="542"/>
      <c r="C14" s="542"/>
      <c r="D14" s="240" t="s">
        <v>352</v>
      </c>
      <c r="E14" s="241" t="e">
        <f>'Planilha Orçamentaria'!#REF!</f>
        <v>#REF!</v>
      </c>
      <c r="F14" s="242" t="e">
        <f t="shared" ref="F14" si="2">F13*$E$14</f>
        <v>#REF!</v>
      </c>
      <c r="G14" s="242"/>
      <c r="H14" s="242"/>
      <c r="I14" s="247"/>
      <c r="J14" s="247"/>
      <c r="K14" s="248"/>
    </row>
    <row r="15" spans="1:11" hidden="1" x14ac:dyDescent="0.25">
      <c r="A15" s="544"/>
      <c r="B15" s="542"/>
      <c r="C15" s="542"/>
      <c r="D15" s="246" t="s">
        <v>351</v>
      </c>
      <c r="E15" s="236"/>
      <c r="F15" s="236"/>
      <c r="G15" s="236"/>
      <c r="H15" s="236"/>
      <c r="I15" s="237"/>
      <c r="J15" s="238"/>
      <c r="K15" s="239"/>
    </row>
    <row r="16" spans="1:11" hidden="1" x14ac:dyDescent="0.25">
      <c r="A16" s="544"/>
      <c r="B16" s="542"/>
      <c r="C16" s="542"/>
      <c r="D16" s="246" t="s">
        <v>352</v>
      </c>
      <c r="E16" s="249"/>
      <c r="F16" s="249" t="e">
        <f t="shared" ref="F16:H16" si="3">F15*$E$14</f>
        <v>#REF!</v>
      </c>
      <c r="G16" s="249" t="e">
        <f t="shared" si="3"/>
        <v>#REF!</v>
      </c>
      <c r="H16" s="249" t="e">
        <f t="shared" si="3"/>
        <v>#REF!</v>
      </c>
      <c r="I16" s="250"/>
      <c r="J16" s="250"/>
      <c r="K16" s="251"/>
    </row>
    <row r="17" spans="1:11" hidden="1" x14ac:dyDescent="0.25">
      <c r="A17" s="528"/>
      <c r="B17" s="530"/>
      <c r="C17" s="542"/>
      <c r="D17" s="252" t="s">
        <v>351</v>
      </c>
      <c r="E17" s="253"/>
      <c r="F17" s="253"/>
      <c r="G17" s="253"/>
      <c r="H17" s="253"/>
      <c r="I17" s="237"/>
      <c r="J17" s="238"/>
      <c r="K17" s="239"/>
    </row>
    <row r="18" spans="1:11" hidden="1" x14ac:dyDescent="0.25">
      <c r="A18" s="528"/>
      <c r="B18" s="530"/>
      <c r="C18" s="542"/>
      <c r="D18" s="252" t="s">
        <v>352</v>
      </c>
      <c r="E18" s="250"/>
      <c r="F18" s="250">
        <f t="shared" ref="F18:H18" si="4">F17*$E$18</f>
        <v>0</v>
      </c>
      <c r="G18" s="250">
        <f t="shared" si="4"/>
        <v>0</v>
      </c>
      <c r="H18" s="250">
        <f t="shared" si="4"/>
        <v>0</v>
      </c>
      <c r="I18" s="250"/>
      <c r="J18" s="250"/>
      <c r="K18" s="251"/>
    </row>
    <row r="19" spans="1:11" hidden="1" x14ac:dyDescent="0.25">
      <c r="A19" s="528"/>
      <c r="B19" s="530"/>
      <c r="C19" s="542"/>
      <c r="D19" s="252" t="s">
        <v>351</v>
      </c>
      <c r="E19" s="253"/>
      <c r="F19" s="253"/>
      <c r="G19" s="253"/>
      <c r="H19" s="253"/>
      <c r="I19" s="237"/>
      <c r="J19" s="238"/>
      <c r="K19" s="239"/>
    </row>
    <row r="20" spans="1:11" hidden="1" x14ac:dyDescent="0.25">
      <c r="A20" s="528"/>
      <c r="B20" s="530"/>
      <c r="C20" s="542"/>
      <c r="D20" s="252" t="s">
        <v>352</v>
      </c>
      <c r="E20" s="250"/>
      <c r="F20" s="250">
        <f t="shared" ref="F20:H20" si="5">F19*$E$20</f>
        <v>0</v>
      </c>
      <c r="G20" s="250">
        <f t="shared" si="5"/>
        <v>0</v>
      </c>
      <c r="H20" s="250">
        <f t="shared" si="5"/>
        <v>0</v>
      </c>
      <c r="I20" s="250"/>
      <c r="J20" s="250"/>
      <c r="K20" s="251"/>
    </row>
    <row r="21" spans="1:11" hidden="1" x14ac:dyDescent="0.25">
      <c r="A21" s="528"/>
      <c r="B21" s="530"/>
      <c r="C21" s="542"/>
      <c r="D21" s="252" t="s">
        <v>351</v>
      </c>
      <c r="E21" s="253"/>
      <c r="F21" s="253"/>
      <c r="G21" s="253"/>
      <c r="H21" s="253"/>
      <c r="I21" s="237"/>
      <c r="J21" s="238"/>
      <c r="K21" s="239"/>
    </row>
    <row r="22" spans="1:11" hidden="1" x14ac:dyDescent="0.25">
      <c r="A22" s="528"/>
      <c r="B22" s="530"/>
      <c r="C22" s="542"/>
      <c r="D22" s="252" t="s">
        <v>352</v>
      </c>
      <c r="E22" s="250"/>
      <c r="F22" s="250">
        <f t="shared" ref="F22:H22" si="6">F21*$E$22</f>
        <v>0</v>
      </c>
      <c r="G22" s="250">
        <f t="shared" si="6"/>
        <v>0</v>
      </c>
      <c r="H22" s="250">
        <f t="shared" si="6"/>
        <v>0</v>
      </c>
      <c r="I22" s="250"/>
      <c r="J22" s="250"/>
      <c r="K22" s="251"/>
    </row>
    <row r="23" spans="1:11" hidden="1" x14ac:dyDescent="0.25">
      <c r="A23" s="528"/>
      <c r="B23" s="530"/>
      <c r="C23" s="542"/>
      <c r="D23" s="252" t="s">
        <v>351</v>
      </c>
      <c r="E23" s="253"/>
      <c r="F23" s="253"/>
      <c r="G23" s="253"/>
      <c r="H23" s="253"/>
      <c r="I23" s="237"/>
      <c r="J23" s="238"/>
      <c r="K23" s="239"/>
    </row>
    <row r="24" spans="1:11" hidden="1" x14ac:dyDescent="0.25">
      <c r="A24" s="528"/>
      <c r="B24" s="530"/>
      <c r="C24" s="542"/>
      <c r="D24" s="252" t="s">
        <v>352</v>
      </c>
      <c r="E24" s="250"/>
      <c r="F24" s="250">
        <f t="shared" ref="F24:H24" si="7">F23*$E$24</f>
        <v>0</v>
      </c>
      <c r="G24" s="250">
        <f t="shared" si="7"/>
        <v>0</v>
      </c>
      <c r="H24" s="250">
        <f t="shared" si="7"/>
        <v>0</v>
      </c>
      <c r="I24" s="250"/>
      <c r="J24" s="250"/>
      <c r="K24" s="251"/>
    </row>
    <row r="25" spans="1:11" hidden="1" x14ac:dyDescent="0.25">
      <c r="A25" s="528"/>
      <c r="B25" s="530"/>
      <c r="C25" s="530"/>
      <c r="D25" s="252" t="s">
        <v>351</v>
      </c>
      <c r="E25" s="253"/>
      <c r="F25" s="253"/>
      <c r="G25" s="253"/>
      <c r="H25" s="253"/>
      <c r="I25" s="237"/>
      <c r="J25" s="238"/>
      <c r="K25" s="239"/>
    </row>
    <row r="26" spans="1:11" hidden="1" x14ac:dyDescent="0.25">
      <c r="A26" s="528"/>
      <c r="B26" s="530"/>
      <c r="C26" s="530"/>
      <c r="D26" s="252" t="s">
        <v>352</v>
      </c>
      <c r="E26" s="250"/>
      <c r="F26" s="250">
        <f t="shared" ref="F26:H26" si="8">F25*$E$26</f>
        <v>0</v>
      </c>
      <c r="G26" s="250">
        <f t="shared" si="8"/>
        <v>0</v>
      </c>
      <c r="H26" s="250">
        <f t="shared" si="8"/>
        <v>0</v>
      </c>
      <c r="I26" s="250"/>
      <c r="J26" s="250"/>
      <c r="K26" s="251"/>
    </row>
    <row r="27" spans="1:11" hidden="1" x14ac:dyDescent="0.25">
      <c r="A27" s="540"/>
      <c r="B27" s="541"/>
      <c r="C27" s="541"/>
      <c r="D27" s="252" t="s">
        <v>351</v>
      </c>
      <c r="E27" s="253"/>
      <c r="F27" s="253"/>
      <c r="G27" s="253"/>
      <c r="H27" s="253"/>
      <c r="I27" s="237"/>
      <c r="J27" s="238"/>
      <c r="K27" s="239"/>
    </row>
    <row r="28" spans="1:11" hidden="1" x14ac:dyDescent="0.25">
      <c r="A28" s="540"/>
      <c r="B28" s="541"/>
      <c r="C28" s="541"/>
      <c r="D28" s="252" t="s">
        <v>352</v>
      </c>
      <c r="E28" s="250"/>
      <c r="F28" s="250">
        <f t="shared" ref="F28:H28" si="9">F27*$E$28</f>
        <v>0</v>
      </c>
      <c r="G28" s="250">
        <f t="shared" si="9"/>
        <v>0</v>
      </c>
      <c r="H28" s="250">
        <f t="shared" si="9"/>
        <v>0</v>
      </c>
      <c r="I28" s="250"/>
      <c r="J28" s="250"/>
      <c r="K28" s="251"/>
    </row>
    <row r="29" spans="1:11" hidden="1" x14ac:dyDescent="0.25">
      <c r="A29" s="528"/>
      <c r="B29" s="530"/>
      <c r="C29" s="530"/>
      <c r="D29" s="252" t="s">
        <v>351</v>
      </c>
      <c r="E29" s="253"/>
      <c r="F29" s="253"/>
      <c r="G29" s="253"/>
      <c r="H29" s="253"/>
      <c r="I29" s="237"/>
      <c r="J29" s="238"/>
      <c r="K29" s="239"/>
    </row>
    <row r="30" spans="1:11" hidden="1" x14ac:dyDescent="0.25">
      <c r="A30" s="529"/>
      <c r="B30" s="531"/>
      <c r="C30" s="531"/>
      <c r="D30" s="254" t="s">
        <v>352</v>
      </c>
      <c r="E30" s="250"/>
      <c r="F30" s="250">
        <f t="shared" ref="F30:H30" si="10">F29*$E$30</f>
        <v>0</v>
      </c>
      <c r="G30" s="250">
        <f t="shared" si="10"/>
        <v>0</v>
      </c>
      <c r="H30" s="250">
        <f t="shared" si="10"/>
        <v>0</v>
      </c>
      <c r="I30" s="250"/>
      <c r="J30" s="250"/>
      <c r="K30" s="251"/>
    </row>
    <row r="31" spans="1:11" x14ac:dyDescent="0.25">
      <c r="A31" s="532" t="s">
        <v>353</v>
      </c>
      <c r="B31" s="533"/>
      <c r="C31" s="534"/>
      <c r="D31" s="255" t="s">
        <v>351</v>
      </c>
      <c r="E31" s="256">
        <v>1</v>
      </c>
      <c r="F31" s="256" t="e">
        <f>E13</f>
        <v>#REF!</v>
      </c>
      <c r="G31" s="256" t="e">
        <f>G32/E32</f>
        <v>#REF!</v>
      </c>
      <c r="H31" s="256" t="e">
        <f>E11</f>
        <v>#REF!</v>
      </c>
      <c r="I31" s="256"/>
      <c r="J31" s="256"/>
      <c r="K31" s="257"/>
    </row>
    <row r="32" spans="1:11" ht="13.8" thickBot="1" x14ac:dyDescent="0.3">
      <c r="A32" s="535"/>
      <c r="B32" s="536"/>
      <c r="C32" s="537"/>
      <c r="D32" s="258" t="s">
        <v>352</v>
      </c>
      <c r="E32" s="259" t="e">
        <f>E14+E12+E10</f>
        <v>#REF!</v>
      </c>
      <c r="F32" s="259" t="e">
        <f>F14</f>
        <v>#REF!</v>
      </c>
      <c r="G32" s="259">
        <f>G10</f>
        <v>1570642.5</v>
      </c>
      <c r="H32" s="259" t="e">
        <f>H12</f>
        <v>#REF!</v>
      </c>
      <c r="I32" s="259"/>
      <c r="J32" s="259"/>
      <c r="K32" s="260"/>
    </row>
    <row r="33" spans="1:11" ht="13.8" thickBot="1" x14ac:dyDescent="0.3">
      <c r="A33" s="261"/>
      <c r="B33" s="262"/>
      <c r="C33" s="262"/>
      <c r="D33" s="263"/>
      <c r="E33" s="263"/>
      <c r="F33" s="262"/>
      <c r="G33" s="262"/>
      <c r="H33" s="262"/>
      <c r="I33" s="262"/>
      <c r="J33" s="262"/>
      <c r="K33" s="264"/>
    </row>
    <row r="34" spans="1:11" x14ac:dyDescent="0.25">
      <c r="A34" s="265"/>
      <c r="B34" s="266"/>
      <c r="C34" s="266"/>
      <c r="D34" s="266"/>
      <c r="E34" s="266"/>
      <c r="F34" s="266"/>
      <c r="G34" s="267"/>
      <c r="H34" s="268"/>
      <c r="I34" s="269"/>
      <c r="J34" s="269"/>
      <c r="K34" s="270"/>
    </row>
    <row r="35" spans="1:11" x14ac:dyDescent="0.25">
      <c r="A35" s="271"/>
      <c r="B35" s="272"/>
      <c r="C35" s="272"/>
      <c r="D35" s="273"/>
      <c r="E35" s="538" t="str">
        <f>'[1]Planilha à executar'!E35:F35</f>
        <v>CREA MG 212.406/D</v>
      </c>
      <c r="F35" s="538"/>
      <c r="G35" s="274"/>
      <c r="H35" s="275" t="s">
        <v>354</v>
      </c>
      <c r="I35" s="229"/>
      <c r="J35" s="229"/>
      <c r="K35" s="276"/>
    </row>
    <row r="36" spans="1:11" x14ac:dyDescent="0.25">
      <c r="A36" s="277"/>
      <c r="B36" s="518" t="str">
        <f>'[1]Planilha à executar'!C36</f>
        <v>Geovane Cardoso Oliveira- Engenheiro Civil</v>
      </c>
      <c r="C36" s="518"/>
      <c r="D36" s="227"/>
      <c r="E36" s="539" t="s">
        <v>355</v>
      </c>
      <c r="F36" s="539"/>
      <c r="G36" s="278"/>
      <c r="H36" s="279"/>
      <c r="I36" s="229"/>
      <c r="J36" s="229"/>
      <c r="K36" s="230"/>
    </row>
    <row r="37" spans="1:11" x14ac:dyDescent="0.25">
      <c r="A37" s="280"/>
      <c r="B37" s="281"/>
      <c r="C37" s="281"/>
      <c r="D37" s="227"/>
      <c r="E37" s="227"/>
      <c r="F37" s="229"/>
      <c r="G37" s="282"/>
      <c r="H37" s="279"/>
      <c r="I37" s="229"/>
      <c r="J37" s="229"/>
      <c r="K37" s="230"/>
    </row>
    <row r="38" spans="1:11" x14ac:dyDescent="0.25">
      <c r="A38" s="283"/>
      <c r="B38" s="517"/>
      <c r="C38" s="517"/>
      <c r="D38" s="284"/>
      <c r="E38" s="284"/>
      <c r="F38" s="285"/>
      <c r="G38" s="282"/>
      <c r="H38" s="279"/>
      <c r="I38" s="229"/>
      <c r="J38" s="229"/>
      <c r="K38" s="230"/>
    </row>
    <row r="39" spans="1:11" x14ac:dyDescent="0.25">
      <c r="A39" s="286"/>
      <c r="B39" s="518" t="str">
        <f>'[1]Planilha à executar'!C40</f>
        <v>Jonia Leite Filho- Prefeito Municipal</v>
      </c>
      <c r="C39" s="518"/>
      <c r="D39" s="287"/>
      <c r="E39" s="287"/>
      <c r="F39" s="229"/>
      <c r="G39" s="282"/>
      <c r="H39" s="279"/>
      <c r="I39" s="229"/>
      <c r="J39" s="229"/>
      <c r="K39" s="230"/>
    </row>
    <row r="40" spans="1:11" ht="13.8" thickBot="1" x14ac:dyDescent="0.3">
      <c r="A40" s="288"/>
      <c r="B40" s="289"/>
      <c r="C40" s="289"/>
      <c r="D40" s="290"/>
      <c r="E40" s="290"/>
      <c r="F40" s="289"/>
      <c r="G40" s="289"/>
      <c r="H40" s="291"/>
      <c r="I40" s="289"/>
      <c r="J40" s="289"/>
      <c r="K40" s="292"/>
    </row>
  </sheetData>
  <mergeCells count="46">
    <mergeCell ref="A5:K5"/>
    <mergeCell ref="A6:C6"/>
    <mergeCell ref="D6:H7"/>
    <mergeCell ref="I6:K6"/>
    <mergeCell ref="A7:C7"/>
    <mergeCell ref="I7:K7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B38:C38"/>
    <mergeCell ref="B39:C39"/>
    <mergeCell ref="A1:K3"/>
    <mergeCell ref="A29:A30"/>
    <mergeCell ref="B29:B30"/>
    <mergeCell ref="C29:C30"/>
    <mergeCell ref="A31:C32"/>
    <mergeCell ref="E35:F35"/>
    <mergeCell ref="B36:C36"/>
    <mergeCell ref="E36:F36"/>
    <mergeCell ref="A25:A26"/>
    <mergeCell ref="B25:B26"/>
    <mergeCell ref="C25:C26"/>
    <mergeCell ref="A27:A28"/>
    <mergeCell ref="B27:B28"/>
    <mergeCell ref="C27:C28"/>
  </mergeCells>
  <pageMargins left="0.51181102362204722" right="0.51181102362204722" top="0.78740157480314965" bottom="0.78740157480314965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Planilha Orçamentaria</vt:lpstr>
      <vt:lpstr>Composições</vt:lpstr>
      <vt:lpstr>BDI</vt:lpstr>
      <vt:lpstr>1° BM </vt:lpstr>
      <vt:lpstr>Cronograma</vt:lpstr>
      <vt:lpstr>'1° BM '!Area_de_impressao</vt:lpstr>
      <vt:lpstr>BDI!Area_de_impressao</vt:lpstr>
      <vt:lpstr>Composições!Area_de_impressao</vt:lpstr>
      <vt:lpstr>Cronograma!Area_de_impressao</vt:lpstr>
      <vt:lpstr>'Planilha Orçamentaria'!Area_de_impressao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M1339928</dc:creator>
  <cp:lastModifiedBy>geovane</cp:lastModifiedBy>
  <cp:lastPrinted>2024-03-27T14:16:25Z</cp:lastPrinted>
  <dcterms:created xsi:type="dcterms:W3CDTF">2018-08-17T16:24:56Z</dcterms:created>
  <dcterms:modified xsi:type="dcterms:W3CDTF">2024-07-15T17:58:43Z</dcterms:modified>
</cp:coreProperties>
</file>